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5200" windowHeight="11880" tabRatio="687" firstSheet="2" activeTab="3"/>
  </bookViews>
  <sheets>
    <sheet name="1 - Read me " sheetId="1" r:id="rId1"/>
    <sheet name="2 - Revision control" sheetId="2" r:id="rId2"/>
    <sheet name="3 - Prioritisation" sheetId="3" r:id="rId3"/>
    <sheet name="4 - Risk Register" sheetId="4" r:id="rId4"/>
    <sheet name="Customer Risk 110716" sheetId="5" r:id="rId5"/>
    <sheet name="Consultant Risk 110716" sheetId="6" r:id="rId6"/>
    <sheet name="5 - Risk monitor" sheetId="7" r:id="rId7"/>
    <sheet name="Prompt list" sheetId="8" r:id="rId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Pal_Workbook_GUID" hidden="1">"82V5HAAETF4XTC2Q2FCCTIAQ"</definedName>
    <definedName name="PalisadeReportWorksheetCreatedBy" localSheetId="4">"AtRisk"</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1</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2</definedName>
    <definedName name="RiskUpdateDisplay" hidden="1">TRUE</definedName>
    <definedName name="RiskUseDifferentSeedForEachSim" hidden="1">FALSE</definedName>
    <definedName name="RiskUseFixedSeed" hidden="1">TRUE</definedName>
    <definedName name="RiskUseMultipleCPUs" hidden="1">TRUE</definedName>
    <definedName name="Z_7D4EFF91_CB5B_4E5E_BA13_F1362D727A02_.wvu.Cols" localSheetId="3" hidden="1">'4 - Risk Register'!$A:$A</definedName>
    <definedName name="Z_7D4EFF91_CB5B_4E5E_BA13_F1362D727A02_.wvu.PrintArea" localSheetId="3" hidden="1">'4 - Risk Register'!$B$7:$AQ$121</definedName>
    <definedName name="Z_7D4EFF91_CB5B_4E5E_BA13_F1362D727A02_.wvu.PrintArea" localSheetId="6" hidden="1">'5 - Risk monitor'!$D$1:$AA$43</definedName>
    <definedName name="Z_7D4EFF91_CB5B_4E5E_BA13_F1362D727A02_.wvu.Rows" localSheetId="2" hidden="1">'3 - Prioritisation'!$36:$65536,'3 - Prioritisation'!$22:$35</definedName>
    <definedName name="Z_7D4EFF91_CB5B_4E5E_BA13_F1362D727A02_.wvu.Rows" localSheetId="3" hidden="1">'4 - Risk Register'!#REF!,'4 - Risk Register'!#REF!</definedName>
    <definedName name="Z_F84613AF_2211_42BC_9CE9_41502C7D4360_.wvu.Cols" localSheetId="3" hidden="1">'4 - Risk Register'!$A:$A</definedName>
    <definedName name="Z_F84613AF_2211_42BC_9CE9_41502C7D4360_.wvu.PrintArea" localSheetId="3" hidden="1">'4 - Risk Register'!$B$7:$AQ$121</definedName>
    <definedName name="Z_F84613AF_2211_42BC_9CE9_41502C7D4360_.wvu.PrintArea" localSheetId="6" hidden="1">'5 - Risk monitor'!$D$1:$AA$43</definedName>
    <definedName name="Z_F84613AF_2211_42BC_9CE9_41502C7D4360_.wvu.Rows" localSheetId="2" hidden="1">'3 - Prioritisation'!$36:$65536,'3 - Prioritisation'!$22:$35</definedName>
    <definedName name="Z_F84613AF_2211_42BC_9CE9_41502C7D4360_.wvu.Rows" localSheetId="3" hidden="1">'4 - Risk Register'!#REF!,'4 - Risk Register'!#REF!</definedName>
  </definedNames>
  <calcPr fullCalcOnLoad="1"/>
</workbook>
</file>

<file path=xl/comments3.xml><?xml version="1.0" encoding="utf-8"?>
<comments xmlns="http://schemas.openxmlformats.org/spreadsheetml/2006/main">
  <authors>
    <author>Wells, Tim</author>
  </authors>
  <commentList>
    <comment ref="K7" authorId="0">
      <text>
        <r>
          <rPr>
            <b/>
            <sz val="8"/>
            <rFont val="Tahoma"/>
            <family val="2"/>
          </rPr>
          <t>TJW</t>
        </r>
        <r>
          <rPr>
            <sz val="8"/>
            <rFont val="Tahoma"/>
            <family val="2"/>
          </rPr>
          <t xml:space="preserve">
Add project value here to help define intervals of cost consequences</t>
        </r>
      </text>
    </comment>
    <comment ref="N7" authorId="0">
      <text>
        <r>
          <rPr>
            <b/>
            <sz val="8"/>
            <rFont val="Tahoma"/>
            <family val="2"/>
          </rPr>
          <t>TJW
Add project timescale here to help define intervals of time consequences</t>
        </r>
      </text>
    </comment>
  </commentList>
</comments>
</file>

<file path=xl/comments4.xml><?xml version="1.0" encoding="utf-8"?>
<comments xmlns="http://schemas.openxmlformats.org/spreadsheetml/2006/main">
  <authors>
    <author>Wells, Tim</author>
    <author>Environment Agency User</author>
  </authors>
  <commentList>
    <comment ref="K16" authorId="0">
      <text>
        <r>
          <rPr>
            <b/>
            <sz val="8"/>
            <rFont val="Tahoma"/>
            <family val="2"/>
          </rPr>
          <t xml:space="preserve">Estimate of potential cost of consequence should the risk source occur (according to scale in 'Prioritisation' worksheet; L,M,H,VH) </t>
        </r>
        <r>
          <rPr>
            <sz val="8"/>
            <rFont val="Tahoma"/>
            <family val="2"/>
          </rPr>
          <t xml:space="preserve">
 </t>
        </r>
      </text>
    </comment>
    <comment ref="J16" authorId="0">
      <text>
        <r>
          <rPr>
            <b/>
            <sz val="8"/>
            <rFont val="Tahoma"/>
            <family val="2"/>
          </rPr>
          <t>Probability category of risk source (according to scale in 'Prioritisation' worksheet: L, M, H, VH)</t>
        </r>
      </text>
    </comment>
    <comment ref="L16" authorId="0">
      <text>
        <r>
          <rPr>
            <b/>
            <sz val="8"/>
            <rFont val="Tahoma"/>
            <family val="2"/>
          </rPr>
          <t>Estimate of potential time delay to whole programme should the risk source occur (according to scale in 'Prioritisation' worksheet; L,M,H,VH)</t>
        </r>
      </text>
    </comment>
    <comment ref="M16" authorId="0">
      <text>
        <r>
          <rPr>
            <b/>
            <sz val="8"/>
            <rFont val="Tahoma"/>
            <family val="2"/>
          </rPr>
          <t xml:space="preserve">Hidden Column: Combined Time and Cost Consequence (for use in risk prioritisation)
</t>
        </r>
        <r>
          <rPr>
            <b/>
            <sz val="8"/>
            <rFont val="Tahoma"/>
            <family val="2"/>
          </rPr>
          <t>Do not alter this formulae - Need to copy down when adding new rows</t>
        </r>
      </text>
    </comment>
    <comment ref="N16" authorId="0">
      <text>
        <r>
          <rPr>
            <b/>
            <sz val="8"/>
            <rFont val="Tahoma"/>
            <family val="2"/>
          </rPr>
          <t>Risk Priority (based on combination of Probability and Consequence)</t>
        </r>
        <r>
          <rPr>
            <sz val="8"/>
            <rFont val="Tahoma"/>
            <family val="2"/>
          </rPr>
          <t xml:space="preserve">
</t>
        </r>
        <r>
          <rPr>
            <b/>
            <sz val="8"/>
            <rFont val="Tahoma"/>
            <family val="2"/>
          </rPr>
          <t>Do not alter this formulae - Need to copy down when adding new rows</t>
        </r>
      </text>
    </comment>
    <comment ref="Q16" authorId="0">
      <text>
        <r>
          <rPr>
            <b/>
            <sz val="8"/>
            <rFont val="Tahoma"/>
            <family val="2"/>
          </rPr>
          <t>Specific response action implementable within the project programme</t>
        </r>
      </text>
    </comment>
    <comment ref="R16" authorId="0">
      <text>
        <r>
          <rPr>
            <b/>
            <sz val="8"/>
            <rFont val="Tahoma"/>
            <family val="2"/>
          </rPr>
          <t xml:space="preserve">Cost of mitigation action allows a decision on whether to carry it out based on the benefits or damage avoided (unlikely to be known at risk workshop) </t>
        </r>
      </text>
    </comment>
    <comment ref="S16" authorId="0">
      <text>
        <r>
          <rPr>
            <b/>
            <sz val="8"/>
            <rFont val="Tahoma"/>
            <family val="2"/>
          </rPr>
          <t>Named individual who has delegated responsibility to undertake/manage the response action (could be the risk owner or other party who is best person to manage)</t>
        </r>
        <r>
          <rPr>
            <sz val="8"/>
            <rFont val="Tahoma"/>
            <family val="2"/>
          </rPr>
          <t xml:space="preserve">
</t>
        </r>
      </text>
    </comment>
    <comment ref="T16" authorId="0">
      <text>
        <r>
          <rPr>
            <b/>
            <sz val="8"/>
            <rFont val="Tahoma"/>
            <family val="2"/>
          </rPr>
          <t>Target and Actual completion date of Response Action</t>
        </r>
        <r>
          <rPr>
            <sz val="8"/>
            <rFont val="Tahoma"/>
            <family val="2"/>
          </rPr>
          <t xml:space="preserve">
</t>
        </r>
      </text>
    </comment>
    <comment ref="U16" authorId="0">
      <text>
        <r>
          <rPr>
            <b/>
            <sz val="8"/>
            <rFont val="Tahoma"/>
            <family val="2"/>
          </rPr>
          <t xml:space="preserve">
Probability of the risk source occurring after the Response Action has been carried out.
This value is used in the quantified analysis with 1-p being the probability of the hazard not occurring (i.e. consequence =0).
The residual probability can be thought of as the point at which the consequence can't be absorbed within the project.</t>
        </r>
      </text>
    </comment>
    <comment ref="AA16" authorId="0">
      <text>
        <r>
          <rPr>
            <b/>
            <sz val="8"/>
            <rFont val="Tahoma"/>
            <family val="2"/>
          </rPr>
          <t>Estimated least value of the consequence should the risk occur</t>
        </r>
        <r>
          <rPr>
            <sz val="8"/>
            <rFont val="Tahoma"/>
            <family val="2"/>
          </rPr>
          <t xml:space="preserve">
</t>
        </r>
      </text>
    </comment>
    <comment ref="AB16" authorId="0">
      <text>
        <r>
          <rPr>
            <b/>
            <sz val="8"/>
            <rFont val="Tahoma"/>
            <family val="2"/>
          </rPr>
          <t>Estimated most likely value of the consequence should the risk occur</t>
        </r>
        <r>
          <rPr>
            <sz val="8"/>
            <rFont val="Tahoma"/>
            <family val="2"/>
          </rPr>
          <t xml:space="preserve">
</t>
        </r>
      </text>
    </comment>
    <comment ref="AC16" authorId="0">
      <text>
        <r>
          <rPr>
            <b/>
            <sz val="8"/>
            <rFont val="Tahoma"/>
            <family val="2"/>
          </rPr>
          <t>Estimated maximum value of the consequence should the risk occur</t>
        </r>
        <r>
          <rPr>
            <sz val="8"/>
            <rFont val="Tahoma"/>
            <family val="2"/>
          </rPr>
          <t xml:space="preserve">
</t>
        </r>
      </text>
    </comment>
    <comment ref="AE16" authorId="0">
      <text>
        <r>
          <rPr>
            <b/>
            <sz val="8"/>
            <rFont val="Tahoma"/>
            <family val="2"/>
          </rPr>
          <t xml:space="preserve">
Part of the risk value quantification that assigns the likelihood of the @Risk PERT distribution being sampled (not user defined unless data supports the use of alternative distribution)</t>
        </r>
        <r>
          <rPr>
            <sz val="8"/>
            <rFont val="Tahoma"/>
            <family val="2"/>
          </rPr>
          <t xml:space="preserve">
</t>
        </r>
      </text>
    </comment>
    <comment ref="AF16" authorId="0">
      <text>
        <r>
          <rPr>
            <b/>
            <sz val="8"/>
            <rFont val="Tahoma"/>
            <family val="2"/>
          </rPr>
          <t>@Risk distribution that allows the Consequence range to be sampled (Least to Maximum).
(Not user defined unless data supports use of alternative distribution)</t>
        </r>
      </text>
    </comment>
    <comment ref="AG16" authorId="0">
      <text>
        <r>
          <rPr>
            <b/>
            <sz val="8"/>
            <rFont val="Tahoma"/>
            <family val="2"/>
          </rPr>
          <t xml:space="preserve">
Calculated risk value 
Values sampled with either be zero, or the value from the PERT distribution (these values are summed to give the total distribution for all risks)</t>
        </r>
      </text>
    </comment>
    <comment ref="AH15" authorId="0">
      <text>
        <r>
          <rPr>
            <b/>
            <sz val="8"/>
            <rFont val="Tahoma"/>
            <family val="2"/>
          </rPr>
          <t xml:space="preserve">
Assumptions used to build up the least, most likely and maximum cost values</t>
        </r>
      </text>
    </comment>
    <comment ref="AJ15" authorId="0">
      <text>
        <r>
          <rPr>
            <b/>
            <sz val="8"/>
            <rFont val="Tahoma"/>
            <family val="2"/>
          </rPr>
          <t>Allocation of risk values to the particular risk owners (not user defined)</t>
        </r>
        <r>
          <rPr>
            <sz val="8"/>
            <rFont val="Tahoma"/>
            <family val="2"/>
          </rPr>
          <t xml:space="preserve">
</t>
        </r>
      </text>
    </comment>
    <comment ref="Z16" authorId="0">
      <text>
        <r>
          <rPr>
            <b/>
            <sz val="8"/>
            <rFont val="Tahoma"/>
            <family val="2"/>
          </rPr>
          <t>Risk Priority after mitigation (based on combination of Probability and Consequence)</t>
        </r>
        <r>
          <rPr>
            <sz val="8"/>
            <rFont val="Tahoma"/>
            <family val="2"/>
          </rPr>
          <t xml:space="preserve">
</t>
        </r>
        <r>
          <rPr>
            <b/>
            <sz val="8"/>
            <rFont val="Tahoma"/>
            <family val="2"/>
          </rPr>
          <t>Do not alter this formulae - Need to copy down when adding new rows</t>
        </r>
      </text>
    </comment>
    <comment ref="Y16" authorId="0">
      <text>
        <r>
          <rPr>
            <b/>
            <sz val="8"/>
            <rFont val="Tahoma"/>
            <family val="2"/>
          </rPr>
          <t>Do not alter this formulae - Need to copy down when adding new rows</t>
        </r>
        <r>
          <rPr>
            <sz val="8"/>
            <rFont val="Tahoma"/>
            <family val="2"/>
          </rPr>
          <t xml:space="preserve">
</t>
        </r>
      </text>
    </comment>
    <comment ref="AM16" authorId="0">
      <text>
        <r>
          <rPr>
            <b/>
            <sz val="8"/>
            <rFont val="Tahoma"/>
            <family val="2"/>
          </rPr>
          <t>Add correct name here will automatically change the risk owner list</t>
        </r>
        <r>
          <rPr>
            <sz val="8"/>
            <rFont val="Tahoma"/>
            <family val="2"/>
          </rPr>
          <t xml:space="preserve">
</t>
        </r>
      </text>
    </comment>
    <comment ref="AN16" authorId="0">
      <text>
        <r>
          <rPr>
            <b/>
            <sz val="8"/>
            <rFont val="Tahoma"/>
            <family val="2"/>
          </rPr>
          <t>Add correct name here will automatically change the risk owner list</t>
        </r>
        <r>
          <rPr>
            <sz val="8"/>
            <rFont val="Tahoma"/>
            <family val="2"/>
          </rPr>
          <t xml:space="preserve">
</t>
        </r>
      </text>
    </comment>
    <comment ref="AO16" authorId="0">
      <text>
        <r>
          <rPr>
            <b/>
            <sz val="8"/>
            <rFont val="Tahoma"/>
            <family val="2"/>
          </rPr>
          <t>Add correct name here will automatically change the risk owner list</t>
        </r>
      </text>
    </comment>
    <comment ref="D16" authorId="0">
      <text>
        <r>
          <rPr>
            <b/>
            <sz val="8"/>
            <rFont val="Tahoma"/>
            <family val="2"/>
          </rPr>
          <t>Description of the initiating event that results in potential for an adverse of beneficial  consequence on the project</t>
        </r>
        <r>
          <rPr>
            <sz val="8"/>
            <rFont val="Tahoma"/>
            <family val="2"/>
          </rPr>
          <t xml:space="preserve">
</t>
        </r>
        <r>
          <rPr>
            <b/>
            <sz val="8"/>
            <rFont val="Tahoma"/>
            <family val="2"/>
          </rPr>
          <t>Also include initials of the person who identified the risk.</t>
        </r>
      </text>
    </comment>
    <comment ref="E16" authorId="0">
      <text>
        <r>
          <rPr>
            <b/>
            <sz val="8"/>
            <rFont val="Tahoma"/>
            <family val="2"/>
          </rPr>
          <t>Description of the  Consequence, should the source event occur (in terms of specific impact on the project)  - not just 'cost', 'time' or 'quality'</t>
        </r>
        <r>
          <rPr>
            <sz val="8"/>
            <rFont val="Tahoma"/>
            <family val="2"/>
          </rPr>
          <t xml:space="preserve">
</t>
        </r>
      </text>
    </comment>
    <comment ref="AR15" authorId="0">
      <text>
        <r>
          <rPr>
            <b/>
            <sz val="8"/>
            <rFont val="Tahoma"/>
            <family val="2"/>
          </rPr>
          <t>Estimation of the potential affect of the risks on the project programme.  The time buffer can be estimated using a simple MEV method or full Monte-Carlo method (using the three point estimate).  If MEV is used then only the Most Likely value is needed.</t>
        </r>
        <r>
          <rPr>
            <sz val="8"/>
            <rFont val="Tahoma"/>
            <family val="2"/>
          </rPr>
          <t xml:space="preserve">
</t>
        </r>
        <r>
          <rPr>
            <b/>
            <sz val="8"/>
            <rFont val="Tahoma"/>
            <family val="2"/>
          </rPr>
          <t>Assessment of whether a risk affects the Critical Path can be supported by using the MS Project Programme
Consideration should be given to the cumulative affect of summing individual programme risks and whether there is any double-counting</t>
        </r>
      </text>
    </comment>
    <comment ref="AT16" authorId="0">
      <text>
        <r>
          <rPr>
            <b/>
            <sz val="8"/>
            <rFont val="Tahoma"/>
            <family val="2"/>
          </rPr>
          <t>Estimate of the  Probability that risk will materialise on this project - 
Copied cell from Post Response Ranking</t>
        </r>
      </text>
    </comment>
    <comment ref="AU16" authorId="0">
      <text>
        <r>
          <rPr>
            <b/>
            <sz val="8"/>
            <rFont val="Tahoma"/>
            <family val="2"/>
          </rPr>
          <t>Estimated least value of the project delay should the risk occur</t>
        </r>
        <r>
          <rPr>
            <sz val="8"/>
            <rFont val="Tahoma"/>
            <family val="2"/>
          </rPr>
          <t xml:space="preserve">
</t>
        </r>
      </text>
    </comment>
    <comment ref="AV16" authorId="0">
      <text>
        <r>
          <rPr>
            <b/>
            <sz val="8"/>
            <rFont val="Tahoma"/>
            <family val="2"/>
          </rPr>
          <t>Most Likely value of the time delay should the risk  occur - This value has most influence on the risk distribution 
If a simple MEV calculation is used then only this value needs to be entered and not Least and Max</t>
        </r>
        <r>
          <rPr>
            <sz val="8"/>
            <rFont val="Tahoma"/>
            <family val="2"/>
          </rPr>
          <t xml:space="preserve">
</t>
        </r>
      </text>
    </comment>
    <comment ref="AW16" authorId="0">
      <text>
        <r>
          <rPr>
            <b/>
            <sz val="8"/>
            <rFont val="Tahoma"/>
            <family val="2"/>
          </rPr>
          <t>Maximum value of the time delay should the risk occur</t>
        </r>
        <r>
          <rPr>
            <sz val="8"/>
            <rFont val="Tahoma"/>
            <family val="2"/>
          </rPr>
          <t xml:space="preserve">
</t>
        </r>
      </text>
    </comment>
    <comment ref="AY16" authorId="0">
      <text>
        <r>
          <rPr>
            <b/>
            <sz val="8"/>
            <rFont val="Tahoma"/>
            <family val="2"/>
          </rPr>
          <t>@Risk distribution that allows the Consequence range to be sampled (Least to Maximum).
(Not user defined unless data supports use of alternative distribution)</t>
        </r>
      </text>
    </comment>
    <comment ref="AZ16" authorId="0">
      <text>
        <r>
          <rPr>
            <b/>
            <sz val="8"/>
            <rFont val="Tahoma"/>
            <family val="2"/>
          </rPr>
          <t xml:space="preserve">Values sampled with either be zero, or the value from the PERT distribution (these values are summed to give the total distribution for all risks)
</t>
        </r>
        <r>
          <rPr>
            <b/>
            <sz val="8"/>
            <rFont val="Tahoma"/>
            <family val="2"/>
          </rPr>
          <t>Note: - no emphasis should be placed on any single risk value</t>
        </r>
      </text>
    </comment>
    <comment ref="O16" authorId="0">
      <text>
        <r>
          <rPr>
            <b/>
            <sz val="8"/>
            <rFont val="Tahoma"/>
            <family val="2"/>
          </rPr>
          <t>Response actions already defined as part of the proposal or project</t>
        </r>
      </text>
    </comment>
    <comment ref="P16" authorId="0">
      <text>
        <r>
          <rPr>
            <b/>
            <sz val="8"/>
            <rFont val="Tahoma"/>
            <family val="2"/>
          </rPr>
          <t xml:space="preserve">Generic description of response required to control/manage the risk
All responses should be over and above normal best practice and quality assurance methods (i.e. Existing Safeguards)
Should result in a specific action that is implementable within the programme and hence has an associated cost </t>
        </r>
      </text>
    </comment>
    <comment ref="AX16" authorId="0">
      <text>
        <r>
          <rPr>
            <b/>
            <sz val="8"/>
            <rFont val="Tahoma"/>
            <family val="2"/>
          </rPr>
          <t>Part of the risk value quantification that assigns the likelihood of the @Risk PERT distribution being sampled (not user defined unless data supports the use of alternative distribution)</t>
        </r>
      </text>
    </comment>
    <comment ref="AS16" authorId="0">
      <text>
        <r>
          <rPr>
            <b/>
            <sz val="8"/>
            <rFont val="Tahoma"/>
            <family val="2"/>
          </rPr>
          <t>Will the occurrence of this risk result in an extension of the project end-date (CP) or can the consequences of the risk be managed within the programme (Non CP)</t>
        </r>
        <r>
          <rPr>
            <sz val="8"/>
            <rFont val="Tahoma"/>
            <family val="2"/>
          </rPr>
          <t xml:space="preserve">
</t>
        </r>
        <r>
          <rPr>
            <b/>
            <sz val="8"/>
            <rFont val="Tahoma"/>
            <family val="2"/>
          </rPr>
          <t>If 'Yes', then include estimate of time extension to develop programme buffers</t>
        </r>
      </text>
    </comment>
    <comment ref="AD16" authorId="0">
      <text>
        <r>
          <rPr>
            <b/>
            <sz val="8"/>
            <rFont val="Tahoma"/>
            <family val="2"/>
          </rPr>
          <t>The Mean Expected Value (MEV) provides an estimate of the 50P.  Equivalent to Probability * Most Likely Cost</t>
        </r>
        <r>
          <rPr>
            <sz val="8"/>
            <rFont val="Tahoma"/>
            <family val="2"/>
          </rPr>
          <t xml:space="preserve">
</t>
        </r>
      </text>
    </comment>
    <comment ref="AI106" authorId="0">
      <text>
        <r>
          <rPr>
            <b/>
            <sz val="8"/>
            <rFont val="Tahoma"/>
            <family val="2"/>
          </rPr>
          <t>Delete Outputs that are not required (otherwise a high number of 'reports' will be produced when using the @Risk reporting function)</t>
        </r>
      </text>
    </comment>
    <comment ref="I16" authorId="0">
      <text>
        <r>
          <rPr>
            <b/>
            <sz val="8"/>
            <rFont val="Tahoma"/>
            <family val="2"/>
          </rPr>
          <t>Include Lesson Learnt for all Materialised Risks</t>
        </r>
        <r>
          <rPr>
            <sz val="8"/>
            <rFont val="Tahoma"/>
            <family val="2"/>
          </rPr>
          <t xml:space="preserve">
</t>
        </r>
      </text>
    </comment>
    <comment ref="BB15" authorId="0">
      <text>
        <r>
          <rPr>
            <b/>
            <sz val="8"/>
            <rFont val="Tahoma"/>
            <family val="2"/>
          </rPr>
          <t>Allocation of risk values to the particular risk owners (not user defined)</t>
        </r>
        <r>
          <rPr>
            <sz val="8"/>
            <rFont val="Tahoma"/>
            <family val="2"/>
          </rPr>
          <t xml:space="preserve">
</t>
        </r>
      </text>
    </comment>
    <comment ref="U163" authorId="1">
      <text>
        <r>
          <rPr>
            <b/>
            <sz val="9"/>
            <rFont val="Tahoma"/>
            <family val="2"/>
          </rPr>
          <t>Environment Agency User:</t>
        </r>
        <r>
          <rPr>
            <sz val="9"/>
            <rFont val="Tahoma"/>
            <family val="2"/>
          </rPr>
          <t xml:space="preserve">
</t>
        </r>
        <r>
          <rPr>
            <sz val="11"/>
            <rFont val="Tahoma"/>
            <family val="2"/>
          </rPr>
          <t>In reality is higher</t>
        </r>
      </text>
    </comment>
    <comment ref="AH175" authorId="1">
      <text>
        <r>
          <rPr>
            <b/>
            <sz val="9"/>
            <rFont val="Tahoma"/>
            <family val="2"/>
          </rPr>
          <t>Environment Agency User:</t>
        </r>
        <r>
          <rPr>
            <sz val="9"/>
            <rFont val="Tahoma"/>
            <family val="2"/>
          </rPr>
          <t xml:space="preserve">
</t>
        </r>
        <r>
          <rPr>
            <sz val="11"/>
            <rFont val="Tahoma"/>
            <family val="2"/>
          </rPr>
          <t>baselined against what?</t>
        </r>
      </text>
    </comment>
    <comment ref="AH177" authorId="1">
      <text>
        <r>
          <rPr>
            <b/>
            <sz val="9"/>
            <rFont val="Tahoma"/>
            <family val="2"/>
          </rPr>
          <t>Environment Agency User:</t>
        </r>
        <r>
          <rPr>
            <sz val="9"/>
            <rFont val="Tahoma"/>
            <family val="2"/>
          </rPr>
          <t xml:space="preserve">
</t>
        </r>
        <r>
          <rPr>
            <sz val="11"/>
            <rFont val="Tahoma"/>
            <family val="2"/>
          </rPr>
          <t>baselined against what?</t>
        </r>
      </text>
    </comment>
  </commentList>
</comments>
</file>

<file path=xl/comments7.xml><?xml version="1.0" encoding="utf-8"?>
<comments xmlns="http://schemas.openxmlformats.org/spreadsheetml/2006/main">
  <authors>
    <author>Wells, Tim</author>
  </authors>
  <commentList>
    <comment ref="F6" authorId="0">
      <text>
        <r>
          <rPr>
            <b/>
            <sz val="8"/>
            <rFont val="Tahoma"/>
            <family val="2"/>
          </rPr>
          <t>Insert Budgets at the start of the project</t>
        </r>
        <r>
          <rPr>
            <sz val="8"/>
            <rFont val="Tahoma"/>
            <family val="2"/>
          </rPr>
          <t xml:space="preserve">
</t>
        </r>
      </text>
    </comment>
    <comment ref="H6" authorId="0">
      <text>
        <r>
          <rPr>
            <b/>
            <sz val="8"/>
            <rFont val="Tahoma"/>
            <family val="2"/>
          </rPr>
          <t>Should be equal to value of CE's - updated montly from  totals in Forecasts</t>
        </r>
        <r>
          <rPr>
            <sz val="8"/>
            <rFont val="Tahoma"/>
            <family val="2"/>
          </rPr>
          <t xml:space="preserve">
</t>
        </r>
      </text>
    </comment>
    <comment ref="J6" authorId="0">
      <text>
        <r>
          <rPr>
            <b/>
            <sz val="8"/>
            <rFont val="Tahoma"/>
            <family val="2"/>
          </rPr>
          <t>Value of live risks remaining in the risk register (as predicted from @risk analysis) - updated monthly</t>
        </r>
        <r>
          <rPr>
            <sz val="8"/>
            <rFont val="Tahoma"/>
            <family val="2"/>
          </rPr>
          <t xml:space="preserve">
</t>
        </r>
      </text>
    </comment>
    <comment ref="N6" authorId="0">
      <text>
        <r>
          <rPr>
            <b/>
            <sz val="8"/>
            <rFont val="Tahoma"/>
            <family val="2"/>
          </rPr>
          <t>Inform Clinet PM if budgets are predicted to be exceeded</t>
        </r>
        <r>
          <rPr>
            <sz val="8"/>
            <rFont val="Tahoma"/>
            <family val="2"/>
          </rPr>
          <t xml:space="preserve">
</t>
        </r>
      </text>
    </comment>
    <comment ref="K28" authorId="0">
      <text>
        <r>
          <rPr>
            <b/>
            <sz val="8"/>
            <rFont val="Tahoma"/>
            <family val="2"/>
          </rPr>
          <t>Choose from drop-down list</t>
        </r>
        <r>
          <rPr>
            <sz val="8"/>
            <rFont val="Tahoma"/>
            <family val="2"/>
          </rPr>
          <t xml:space="preserve">
</t>
        </r>
      </text>
    </comment>
    <comment ref="L28" authorId="0">
      <text>
        <r>
          <rPr>
            <b/>
            <sz val="8"/>
            <rFont val="Tahoma"/>
            <family val="2"/>
          </rPr>
          <t>Description ofthe 'lesson' and how we might better manage the risk in the future</t>
        </r>
        <r>
          <rPr>
            <sz val="8"/>
            <rFont val="Tahoma"/>
            <family val="2"/>
          </rPr>
          <t xml:space="preserve">
</t>
        </r>
      </text>
    </comment>
  </commentList>
</comments>
</file>

<file path=xl/sharedStrings.xml><?xml version="1.0" encoding="utf-8"?>
<sst xmlns="http://schemas.openxmlformats.org/spreadsheetml/2006/main" count="1589" uniqueCount="778">
  <si>
    <t>Top 5 risks are highlighted in red in Risk ID column</t>
  </si>
  <si>
    <t>Initial draft for comments</t>
  </si>
  <si>
    <t>Fisrt run of Monte Carlo analysis</t>
  </si>
  <si>
    <t>Actual Values from @risk simulation</t>
  </si>
  <si>
    <t>Additional time to liaise with service providers if additional services are identified</t>
  </si>
  <si>
    <t>The user should only use the Risk Register after reading the relevant guidance documents within the Risk Management System</t>
  </si>
  <si>
    <t>Revision no</t>
  </si>
  <si>
    <t>Description</t>
  </si>
  <si>
    <t>Risk ID</t>
  </si>
  <si>
    <t>Data for Quantitative Analysis</t>
  </si>
  <si>
    <t>Risk Owners</t>
  </si>
  <si>
    <t>Action</t>
  </si>
  <si>
    <t>Priority</t>
  </si>
  <si>
    <t>Consultant</t>
  </si>
  <si>
    <t>Contractor</t>
  </si>
  <si>
    <t>Legislative change not anticipated</t>
  </si>
  <si>
    <t>Costs associated with major legal process / CPO or public enquiry</t>
  </si>
  <si>
    <t>50%tile</t>
  </si>
  <si>
    <t>95%tile</t>
  </si>
  <si>
    <t>Likelihood</t>
  </si>
  <si>
    <t>Min</t>
  </si>
  <si>
    <t>Max</t>
  </si>
  <si>
    <t>Max % of project</t>
  </si>
  <si>
    <t>L</t>
  </si>
  <si>
    <t>M</t>
  </si>
  <si>
    <t>H</t>
  </si>
  <si>
    <t>VH</t>
  </si>
  <si>
    <t>+</t>
  </si>
  <si>
    <t>Probability</t>
  </si>
  <si>
    <t>Consequence</t>
  </si>
  <si>
    <t>Unforeseen ground conditions</t>
  </si>
  <si>
    <t>Third Party Approvals or Actions</t>
  </si>
  <si>
    <t>Unforseen Services</t>
  </si>
  <si>
    <t>Weather</t>
  </si>
  <si>
    <t>Adequacy of Site Investigation</t>
  </si>
  <si>
    <t>Adverse PR</t>
  </si>
  <si>
    <t>Adverse sea/river water levels, waves, surfs, currents, wind and other climatic conditions</t>
  </si>
  <si>
    <t>Failure to maintain Defence Standards</t>
  </si>
  <si>
    <t>Non acceptance or delayed acceptance of asset by Operational client</t>
  </si>
  <si>
    <t>Security and Vandalism</t>
  </si>
  <si>
    <t>Impact of construction and use on owners and occupiers</t>
  </si>
  <si>
    <t>Impact of construction and use on people and businesses in the wider area</t>
  </si>
  <si>
    <t>Objections from landowners, occupiers and third parties</t>
  </si>
  <si>
    <t>Notice serving powers unavailable</t>
  </si>
  <si>
    <t>Actions arising out of Environmental Statement or report</t>
  </si>
  <si>
    <t>Inadequate identification of contract access routes, working areas on site compound</t>
  </si>
  <si>
    <t>Damage to buildings as a result of construction and use</t>
  </si>
  <si>
    <t>Changes in property ownership or occupation before or during occupation</t>
  </si>
  <si>
    <t>Failure to communicate terms and conditions of entry prior to commencement</t>
  </si>
  <si>
    <t>Delays before and during construction</t>
  </si>
  <si>
    <t>Alterations to programme and timing</t>
  </si>
  <si>
    <t>Engineering and design changes</t>
  </si>
  <si>
    <t>Insufficient understanding of the need for permanent rights to retain and maintain works after construction</t>
  </si>
  <si>
    <t>Delays in completing reinstatement or unsatisfactory completion</t>
  </si>
  <si>
    <t>Inadequate scoping of compensation budget</t>
  </si>
  <si>
    <t>Live site e.g.Farmland/Commercial</t>
  </si>
  <si>
    <t>Inadequate resources or competence to meet environmental commitments, either in-house or contracted in</t>
  </si>
  <si>
    <t>Consultant or contractor failure to meet and deliver environmental specification</t>
  </si>
  <si>
    <t>Unexpected environmental impacts or site sensitivities, e.g.new designation, archaeological find</t>
  </si>
  <si>
    <t>Poor communication or interpretation, resulting in inadequate information, misunderstanding, delays or objections to the project</t>
  </si>
  <si>
    <t>Change, influencing environmental decision making or agreement adversely</t>
  </si>
  <si>
    <t>Timing of environmental processes, approvals and work periods not appropriate</t>
  </si>
  <si>
    <t>Approvals withheld, e.g. English Nature, Land Drainage Consent or Planning Approval or legal agreement</t>
  </si>
  <si>
    <t>Environmental incident or objection stopping the project</t>
  </si>
  <si>
    <t>Added Value: Loss of opportunity to add value or identify potential environmental benefits</t>
  </si>
  <si>
    <t>Archaelogy</t>
  </si>
  <si>
    <t>Contaminated Ground</t>
  </si>
  <si>
    <t>Others 2</t>
  </si>
  <si>
    <t>Others 1</t>
  </si>
  <si>
    <t>Others</t>
  </si>
  <si>
    <t>Version #</t>
  </si>
  <si>
    <t xml:space="preserve">Description </t>
  </si>
  <si>
    <t>Date</t>
  </si>
  <si>
    <t>Revisions to Project Team Risk Register</t>
  </si>
  <si>
    <t>Main revisions as follows:</t>
  </si>
  <si>
    <t>Colour coding of cells (to identify where data needs inputing)</t>
  </si>
  <si>
    <t>Data Missing' error messaging</t>
  </si>
  <si>
    <t>Risk ID column linked to Risk name (for clarity in sensitivity testing)</t>
  </si>
  <si>
    <t>Split of 'Risk Description' into 'Source' and 'Consequence'</t>
  </si>
  <si>
    <t xml:space="preserve">LOOKUP table for risk prioritisation </t>
  </si>
  <si>
    <t>Additional text on 'Read Me' worksheet</t>
  </si>
  <si>
    <t>Ground Conditions</t>
  </si>
  <si>
    <t>Design</t>
  </si>
  <si>
    <t>Services</t>
  </si>
  <si>
    <t>Programme</t>
  </si>
  <si>
    <t>Working Methods</t>
  </si>
  <si>
    <t>Resources</t>
  </si>
  <si>
    <t>Approvals</t>
  </si>
  <si>
    <t>Costs</t>
  </si>
  <si>
    <t>Health and Safety</t>
  </si>
  <si>
    <t>Environment</t>
  </si>
  <si>
    <t>Consultation</t>
  </si>
  <si>
    <t>Project Management</t>
  </si>
  <si>
    <t>Options Appraisal</t>
  </si>
  <si>
    <t>Data Collation</t>
  </si>
  <si>
    <t>Economic Appraisal</t>
  </si>
  <si>
    <t>Modelling</t>
  </si>
  <si>
    <t>Reporting</t>
  </si>
  <si>
    <t>Key words</t>
  </si>
  <si>
    <t>Uncertainty</t>
  </si>
  <si>
    <t>Constraints</t>
  </si>
  <si>
    <t>Limitations</t>
  </si>
  <si>
    <t>Variability</t>
  </si>
  <si>
    <t>Ambiguity</t>
  </si>
  <si>
    <t>Security</t>
  </si>
  <si>
    <t>Communications</t>
  </si>
  <si>
    <t>Behaviour / Relationships</t>
  </si>
  <si>
    <t>Dependencies</t>
  </si>
  <si>
    <t>Major scope change</t>
  </si>
  <si>
    <t>Programme Buffer</t>
  </si>
  <si>
    <t>Response Action</t>
  </si>
  <si>
    <t>Included Monitor worksheet and Programme buffer calculation</t>
  </si>
  <si>
    <t>PERT</t>
  </si>
  <si>
    <t>50%tile Client Approval Risk Budget</t>
  </si>
  <si>
    <t>95%tile Client Approval Risk Budget</t>
  </si>
  <si>
    <t>@Risk Sum cell (ignore this cell)</t>
  </si>
  <si>
    <t>Changed wording in Risk Output cells</t>
  </si>
  <si>
    <t>Added 'Existing Safeguards' column</t>
  </si>
  <si>
    <t>Changed 'mitigation' to 'response action' - in lne with good practice</t>
  </si>
  <si>
    <t>More likely to occur than not</t>
  </si>
  <si>
    <t>Fairly likely to occur</t>
  </si>
  <si>
    <t>Unlikely to occur</t>
  </si>
  <si>
    <t>Min (wks)</t>
  </si>
  <si>
    <t>Max (wks)</t>
  </si>
  <si>
    <t>Key</t>
  </si>
  <si>
    <t>Scale</t>
  </si>
  <si>
    <t>Consequence / Impact</t>
  </si>
  <si>
    <t>Cost</t>
  </si>
  <si>
    <t>Time</t>
  </si>
  <si>
    <t>Prioritisation Matrix - Used in Risk Register to help prioritise which risks to focus on.</t>
  </si>
  <si>
    <t>Min (£k)</t>
  </si>
  <si>
    <t>Max (£k)</t>
  </si>
  <si>
    <t>~</t>
  </si>
  <si>
    <t>-</t>
  </si>
  <si>
    <t>Programme ID</t>
  </si>
  <si>
    <t>Minor formating to Risk Register to make clearer.</t>
  </si>
  <si>
    <t>Prioritisation sheet made clearer as to what inputs are required.</t>
  </si>
  <si>
    <t>Prioritisation grades linked to Risk Register to make filling in register easier &amp; quicker</t>
  </si>
  <si>
    <t>Added ability to use @ Risk for assessing impact on programme of risks.</t>
  </si>
  <si>
    <t>Task ID</t>
  </si>
  <si>
    <t>VL</t>
  </si>
  <si>
    <t>Proximity</t>
  </si>
  <si>
    <t>(Date when  risk becomes live)</t>
  </si>
  <si>
    <t>Qualitative Ranking (After Response Action)</t>
  </si>
  <si>
    <t>A</t>
  </si>
  <si>
    <t>B</t>
  </si>
  <si>
    <t>C</t>
  </si>
  <si>
    <t>D</t>
  </si>
  <si>
    <t>E</t>
  </si>
  <si>
    <t>Insert values on baseline risk budgets and predicted remaining budgets (time and cost)</t>
  </si>
  <si>
    <t>Risk ID (from Risk Register)</t>
  </si>
  <si>
    <t>Complete Table to keep a running view of the root causes and lessons learnt of all risks (client or supplier) that have materialised - see comments for more detailed description</t>
  </si>
  <si>
    <t>Materialsed Risks and Lessons Learnt</t>
  </si>
  <si>
    <t>Change in Scope</t>
  </si>
  <si>
    <t>Data Availability / Quality</t>
  </si>
  <si>
    <t>Changes to Guidance</t>
  </si>
  <si>
    <t xml:space="preserve">Communications </t>
  </si>
  <si>
    <t>Cost Variability</t>
  </si>
  <si>
    <t>Design Work</t>
  </si>
  <si>
    <t>Iteration of Work</t>
  </si>
  <si>
    <t>Major Unforseen Risk</t>
  </si>
  <si>
    <t>Optimistic estimates</t>
  </si>
  <si>
    <t>Project Management Systems</t>
  </si>
  <si>
    <t>Review Process</t>
  </si>
  <si>
    <t>Site Investigations</t>
  </si>
  <si>
    <t>Stakeholder Engagement</t>
  </si>
  <si>
    <t>Sub Consultant Interface</t>
  </si>
  <si>
    <t>Technical Problems</t>
  </si>
  <si>
    <t>Third Party Interface</t>
  </si>
  <si>
    <t>Weather / Natural Events</t>
  </si>
  <si>
    <t>In Ground Problems</t>
  </si>
  <si>
    <t>Material Delivery</t>
  </si>
  <si>
    <t>Utilities</t>
  </si>
  <si>
    <t>Health &amp; Safety</t>
  </si>
  <si>
    <t>Other Construction</t>
  </si>
  <si>
    <t>Cost element derived from 5th, 50th and 95th%tile of project time risks</t>
  </si>
  <si>
    <t xml:space="preserve">MEV </t>
  </si>
  <si>
    <t>Changed Qualitative Matrix from 4*4 to 5*5 - consistent with good practice and PRINCE2</t>
  </si>
  <si>
    <t>Added Risk Monitor Worksheet to aid monitoring and reporting of risk</t>
  </si>
  <si>
    <t>Minor terminology changes to terms in risk register - consistent with PRINCE2</t>
  </si>
  <si>
    <t xml:space="preserve">At the end of the simulation please produce @Risk output reports to identify the risk values to be used </t>
  </si>
  <si>
    <t>50%tile (for individual supplier Incentivisation - Form A)</t>
  </si>
  <si>
    <t>50%tile (for Joint Supplier Incentivisation - Construction)</t>
  </si>
  <si>
    <t>@RiskSum (ignore these cells)</t>
  </si>
  <si>
    <t>Risk Buffer (owners)</t>
  </si>
  <si>
    <t>5%tile</t>
  </si>
  <si>
    <t>@Risk Sum (ignore these cells)</t>
  </si>
  <si>
    <t>Site Investigation</t>
  </si>
  <si>
    <t>Environmental Assessment / SEA</t>
  </si>
  <si>
    <t>Stakeholder Engagement / Consultation</t>
  </si>
  <si>
    <t>Customer</t>
  </si>
  <si>
    <t>Numerous minor changes as a result of a review into PRINCE 2 compliance including change from</t>
  </si>
  <si>
    <t>client to customer</t>
  </si>
  <si>
    <t>This Risk Register has been produced as part of the ncpms Risk Management System (initially know as 'Risk 3').</t>
  </si>
  <si>
    <t>Any problems with using this spreadsheet should be reported to a member of the ncpms Risk Management System Development Group</t>
  </si>
  <si>
    <t>Changed product name from `NCPMS Risk Register' to `Project Risk Register' consistent with national ncpms management products project on Read Me worksheet.</t>
  </si>
  <si>
    <t>Changed `NCPMS' to `ncpms' - On all worksheets</t>
  </si>
  <si>
    <t>Amended project information on Risk Register consistent with national ncpms management products project</t>
  </si>
  <si>
    <t>Original Version within ncpms Risk Management System</t>
  </si>
  <si>
    <t>Introduction</t>
  </si>
  <si>
    <t>Quality assurance</t>
  </si>
  <si>
    <t>Ensure that the Risk Register is quality assured before its application as part of @Risk.</t>
  </si>
  <si>
    <t>Pay particular attention to the following:</t>
  </si>
  <si>
    <t>1.  Complete the Revision Control worksheet each time the team amends the Risk Register.</t>
  </si>
  <si>
    <t>2.  When inserting new rows, ensure that the relevant formulae are copied down.</t>
  </si>
  <si>
    <t>3.  Ensure that the @Risk Output cells for each risk owner, sum the correct range of data.</t>
  </si>
  <si>
    <t>4. On the Simulation Settings/Sampling tab, ensure that the 'inputs marked with collect' is checked (this ensures that the sensitivity test uses the correct inputs).</t>
  </si>
  <si>
    <t>5.  Repeat a simuation until you are happy that the outputs are precise enough for budget setting. You can obtain increased precision by increasing the number of model iterations.</t>
  </si>
  <si>
    <t xml:space="preserve">6.  To obtain stable results for the sensitivity test, a higher number of model iterations will be required. </t>
  </si>
  <si>
    <t>6.  After satisfactory generation of model results, ensure that you save the results.</t>
  </si>
  <si>
    <t>6.  Refer to the @Risk User Guide for a detailed explanation of @Risk functions.</t>
  </si>
  <si>
    <t>Key to cell colours</t>
  </si>
  <si>
    <t>Fixed value cells – do not change.</t>
  </si>
  <si>
    <t>Only enter data into these yellow cells.</t>
  </si>
  <si>
    <t>Formula cells which update automatically. They include error messages if insufficient data has been entered.</t>
  </si>
  <si>
    <t>Programme buffer</t>
  </si>
  <si>
    <t>Included within the current Risk Register is the ability to quantify the time effect of risk occurring (that is, three point estimate; Least, ML, and Max) - only at residual risk stage.</t>
  </si>
  <si>
    <t>Assess whether each risk is likely to affect the critical path (that is, extend the duration of the project). It's likely that many risks will not extend the project and can be dealt with through day-day project management (this may involve use of additional staff or managed as a parallel activity).</t>
  </si>
  <si>
    <t>This assessment can be supported by analysis of the CP within MS Project, if appropriate. This assessment has to be done already as part of setting the cost budget to make sure that there is no 'double-counting' of risk costs.</t>
  </si>
  <si>
    <t>For those risks that could affect the project duration, ensure there is no duplication or double counting of time effects and estimate the potential time delay (3 point estimate).</t>
  </si>
  <si>
    <t>Quantify the schedule buffer by either doing Monte-Carlo sampling or simple Expected Value (Residual Probability * ML value; and sum for all CP risks) - a simple EV approach could be justified to start with.</t>
  </si>
  <si>
    <t xml:space="preserve">You should capture the cost associated with programme extension in the cost value of the risks - need to ensure that there is no double counting. </t>
  </si>
  <si>
    <t>Suggest we use 50 percentile value as the basis for the risk buffer (but you should agree this with the client as there is no formal guidance on this yet).</t>
  </si>
  <si>
    <t>Test the reasonableness of the result and use this to set target end dates for project completion.</t>
  </si>
  <si>
    <t xml:space="preserve">Split the total buffer into elements associated within milestone/gateway deliverables within the project (and add milestone buffers to the programme). </t>
  </si>
  <si>
    <t>Test early in the project whether assumptions regarding the ability to manage time risks are being achieved (that is, at the first milestone deliverable).</t>
  </si>
  <si>
    <t>Incentivisation and risk budgets</t>
  </si>
  <si>
    <t>See NEECA schedules for more detailed explaination (Schedule 5 Appendix A for Project Appraisal Reports (PAR) and Appendix B for post PAR).</t>
  </si>
  <si>
    <t>For strategies and Project Appraisal Reports - consultant and contractor risk budget calculated as 50 percentile of their owned risks as determined by the results of a Monte-Carlo analysis (client project approval based on 95 percentile of all risks including client retained risks).</t>
  </si>
  <si>
    <t>Following Project Appraisal Report (that is design, construction stage to post construction) - consultants and contractors are incentivised against the 50 percentile of all project risks, excluding client retained risks (client approval based on 95 percentile of all risks including client retained risks).</t>
  </si>
  <si>
    <t>The Project Team must fill in the yellow cells in the table below to agree threshold ranges for probability and consequence at the start of the project. This will make it easier to prioritise which risks to focus on.</t>
  </si>
  <si>
    <t>Almost certainly will occur</t>
  </si>
  <si>
    <t>! Important: Do not alter this matrix</t>
  </si>
  <si>
    <t xml:space="preserve"> High Priority ('Red Risk')</t>
  </si>
  <si>
    <t xml:space="preserve"> Medium Prority ('Amber Risk')</t>
  </si>
  <si>
    <t xml:space="preserve"> Low Priority ('Green Risk')</t>
  </si>
  <si>
    <t>Project name</t>
  </si>
  <si>
    <t>Project IB1S reference</t>
  </si>
  <si>
    <t>National project number</t>
  </si>
  <si>
    <t>Programme name</t>
  </si>
  <si>
    <t>Team and location</t>
  </si>
  <si>
    <t>Date last updated</t>
  </si>
  <si>
    <t>Version number</t>
  </si>
  <si>
    <t>Project Executive</t>
  </si>
  <si>
    <t xml:space="preserve">Senior User </t>
  </si>
  <si>
    <t>Senior Supplier</t>
  </si>
  <si>
    <t>Project Sponsor</t>
  </si>
  <si>
    <t>Project Manager</t>
  </si>
  <si>
    <t xml:space="preserve">Risk description
</t>
  </si>
  <si>
    <t>Source of risk</t>
  </si>
  <si>
    <t>Consequence on project</t>
  </si>
  <si>
    <t>Risk status</t>
  </si>
  <si>
    <t>Lesson learnt</t>
  </si>
  <si>
    <t>Qualitative ranking (before response action)</t>
  </si>
  <si>
    <t xml:space="preserve">Probability scale </t>
  </si>
  <si>
    <t>Cost impact</t>
  </si>
  <si>
    <t xml:space="preserve">Time impact </t>
  </si>
  <si>
    <t xml:space="preserve">Cost+time impact </t>
  </si>
  <si>
    <t>Risk priority</t>
  </si>
  <si>
    <t>Existing safeguards in place</t>
  </si>
  <si>
    <t xml:space="preserve">Response strategy </t>
  </si>
  <si>
    <t>Action owner</t>
  </si>
  <si>
    <t>Completion date</t>
  </si>
  <si>
    <t>Probability scale</t>
  </si>
  <si>
    <t xml:space="preserve">Cost impact </t>
  </si>
  <si>
    <t>All risks</t>
  </si>
  <si>
    <r>
      <t xml:space="preserve">Critical path      </t>
    </r>
    <r>
      <rPr>
        <sz val="12"/>
        <rFont val="Arial"/>
        <family val="2"/>
      </rPr>
      <t xml:space="preserve"> (Y/N)</t>
    </r>
  </si>
  <si>
    <r>
      <t xml:space="preserve">Probability </t>
    </r>
    <r>
      <rPr>
        <sz val="12"/>
        <rFont val="Arial"/>
        <family val="2"/>
      </rPr>
      <t>(%)</t>
    </r>
  </si>
  <si>
    <r>
      <t xml:space="preserve">Time value </t>
    </r>
    <r>
      <rPr>
        <sz val="12"/>
        <rFont val="Arial"/>
        <family val="2"/>
      </rPr>
      <t>(wks)</t>
    </r>
  </si>
  <si>
    <r>
      <t xml:space="preserve">Risk occurs </t>
    </r>
    <r>
      <rPr>
        <sz val="12"/>
        <rFont val="Arial"/>
        <family val="2"/>
      </rPr>
      <t>(Yes=1; No=0)</t>
    </r>
  </si>
  <si>
    <r>
      <t xml:space="preserve">Max time </t>
    </r>
    <r>
      <rPr>
        <sz val="12"/>
        <rFont val="Arial"/>
        <family val="2"/>
      </rPr>
      <t>(wks)</t>
    </r>
  </si>
  <si>
    <r>
      <t xml:space="preserve">Most likely time </t>
    </r>
    <r>
      <rPr>
        <sz val="12"/>
        <rFont val="Arial"/>
        <family val="2"/>
      </rPr>
      <t>(wks)</t>
    </r>
  </si>
  <si>
    <r>
      <t xml:space="preserve">Least time </t>
    </r>
    <r>
      <rPr>
        <sz val="12"/>
        <rFont val="Arial"/>
        <family val="2"/>
      </rPr>
      <t>(wks)</t>
    </r>
  </si>
  <si>
    <r>
      <t xml:space="preserve">Cost value </t>
    </r>
    <r>
      <rPr>
        <sz val="12"/>
        <rFont val="Arial"/>
        <family val="2"/>
      </rPr>
      <t>(£)</t>
    </r>
  </si>
  <si>
    <r>
      <t xml:space="preserve">Risk occurs </t>
    </r>
    <r>
      <rPr>
        <sz val="12"/>
        <rFont val="Arial"/>
        <family val="2"/>
      </rPr>
      <t>(Yes=1;No=0)</t>
    </r>
  </si>
  <si>
    <r>
      <t>MEV</t>
    </r>
    <r>
      <rPr>
        <sz val="12"/>
        <rFont val="Arial"/>
        <family val="2"/>
      </rPr>
      <t xml:space="preserve"> (£)</t>
    </r>
  </si>
  <si>
    <r>
      <t xml:space="preserve">Max cost </t>
    </r>
    <r>
      <rPr>
        <sz val="12"/>
        <rFont val="Arial"/>
        <family val="2"/>
      </rPr>
      <t>(£)</t>
    </r>
  </si>
  <si>
    <r>
      <t xml:space="preserve">Most likely cost </t>
    </r>
    <r>
      <rPr>
        <sz val="12"/>
        <rFont val="Arial"/>
        <family val="2"/>
      </rPr>
      <t>(£)</t>
    </r>
  </si>
  <si>
    <r>
      <t xml:space="preserve">Least cost </t>
    </r>
    <r>
      <rPr>
        <sz val="12"/>
        <rFont val="Arial"/>
        <family val="2"/>
      </rPr>
      <t>(£)</t>
    </r>
  </si>
  <si>
    <r>
      <t xml:space="preserve">Residual probability </t>
    </r>
    <r>
      <rPr>
        <sz val="12"/>
        <rFont val="Arial"/>
        <family val="2"/>
      </rPr>
      <t>(%)</t>
    </r>
  </si>
  <si>
    <r>
      <t xml:space="preserve">Cost of mitigation </t>
    </r>
    <r>
      <rPr>
        <sz val="12"/>
        <rFont val="Arial"/>
        <family val="2"/>
      </rPr>
      <t>(£)</t>
    </r>
  </si>
  <si>
    <t>User action</t>
  </si>
  <si>
    <t>Complete table to enable a discussion of key risks with Client and  project team</t>
  </si>
  <si>
    <t>Risk monitoring / status spreadsheet  - used to aid monitoring of project risk budgets and acts as status report for progress meetings</t>
  </si>
  <si>
    <t>Risk budgets: Summary</t>
  </si>
  <si>
    <t>Project approval 95P (£k)</t>
  </si>
  <si>
    <t>Project approval 50P (£k)</t>
  </si>
  <si>
    <t>Supplier budget 50P (£k)</t>
  </si>
  <si>
    <t xml:space="preserve">Baseline total         </t>
  </si>
  <si>
    <r>
      <t xml:space="preserve">Materialised risks             </t>
    </r>
    <r>
      <rPr>
        <sz val="11"/>
        <rFont val="Univers (W1)"/>
        <family val="0"/>
      </rPr>
      <t>(from CE's)</t>
    </r>
  </si>
  <si>
    <r>
      <t xml:space="preserve">Predicted remaining risk </t>
    </r>
    <r>
      <rPr>
        <sz val="11"/>
        <rFont val="Univers (W1)"/>
        <family val="0"/>
      </rPr>
      <t>(from @Risk)</t>
    </r>
  </si>
  <si>
    <r>
      <t xml:space="preserve"> Forecast risk             </t>
    </r>
    <r>
      <rPr>
        <sz val="11"/>
        <rFont val="Univers (W1)"/>
        <family val="0"/>
      </rPr>
      <t>(B+C)</t>
    </r>
  </si>
  <si>
    <r>
      <t xml:space="preserve">Forecast outturn risk budget  </t>
    </r>
    <r>
      <rPr>
        <sz val="11"/>
        <rFont val="Univers (W1)"/>
        <family val="0"/>
      </rPr>
      <t>(A-D)</t>
    </r>
  </si>
  <si>
    <t>Risks to project in the next quarter</t>
  </si>
  <si>
    <t>Summary risk description</t>
  </si>
  <si>
    <r>
      <t xml:space="preserve">Actual cost </t>
    </r>
    <r>
      <rPr>
        <sz val="11"/>
        <rFont val="Univers (W1)"/>
        <family val="0"/>
      </rPr>
      <t>(from CE)</t>
    </r>
  </si>
  <si>
    <r>
      <t xml:space="preserve">Risk category </t>
    </r>
    <r>
      <rPr>
        <sz val="10"/>
        <rFont val="Arial"/>
        <family val="2"/>
      </rPr>
      <t>(drop down menu)</t>
    </r>
  </si>
  <si>
    <t>Risk categories (Appraisal and construction)</t>
  </si>
  <si>
    <t>Approvals and consents</t>
  </si>
  <si>
    <t xml:space="preserve">Risk identification prompt list - generic </t>
  </si>
  <si>
    <t>General engineering</t>
  </si>
  <si>
    <t>Land acquisition</t>
  </si>
  <si>
    <t>Environmental</t>
  </si>
  <si>
    <t>Risk categories (General)</t>
  </si>
  <si>
    <t>Risk categories (Task specific)</t>
  </si>
  <si>
    <t>Project cost (£k)</t>
  </si>
  <si>
    <t>Project time (wks)</t>
  </si>
  <si>
    <t>Non-compliance with environmental legislation, sustainability policy, strategy or plans: (Environment Agency and external)</t>
  </si>
  <si>
    <t>Using this Risk Register</t>
  </si>
  <si>
    <t>Likely to occur</t>
  </si>
  <si>
    <t>B7-1</t>
  </si>
  <si>
    <t>B7-2</t>
  </si>
  <si>
    <t>B7-3</t>
  </si>
  <si>
    <t>B7-4</t>
  </si>
  <si>
    <t>B7-5</t>
  </si>
  <si>
    <t>B7-6</t>
  </si>
  <si>
    <t>B7-7</t>
  </si>
  <si>
    <t>Employer's Risks as set down in Clause 80.1 of the NEC ECC Contract as amended by Clause Z23.</t>
  </si>
  <si>
    <t>Major flooding event</t>
  </si>
  <si>
    <t>Programme/ budgetary changes introduced by Customer after agreement of PAR</t>
  </si>
  <si>
    <t>PROJECT DETAILS</t>
  </si>
  <si>
    <t>Information to help you assign scale of probability and impact based on threshold ranges set on Sheet 3 (Prioritisation)</t>
  </si>
  <si>
    <t>Live</t>
  </si>
  <si>
    <t>Other Issues</t>
  </si>
  <si>
    <t>Impact on time and cost</t>
  </si>
  <si>
    <t>Increased costs</t>
  </si>
  <si>
    <t xml:space="preserve">Question scope change requests to ensure valid </t>
  </si>
  <si>
    <t>Revise project plan as soon as identified to avoid abortive work</t>
  </si>
  <si>
    <t>Regular risk reviews to minimise probability of this risk</t>
  </si>
  <si>
    <t>Develop realistic programme and monitor</t>
  </si>
  <si>
    <t>Delays to surveys and GI</t>
  </si>
  <si>
    <t>Additional and abortive work</t>
  </si>
  <si>
    <t>Monitor and identify as early as possible to minimise costs</t>
  </si>
  <si>
    <t>None</t>
  </si>
  <si>
    <t>Oxford FAS</t>
  </si>
  <si>
    <t>ncpms Reading</t>
  </si>
  <si>
    <t>Richard Harding</t>
  </si>
  <si>
    <t>Peter Collins</t>
  </si>
  <si>
    <t>Roland Grzybek</t>
  </si>
  <si>
    <t>Jo Larmour</t>
  </si>
  <si>
    <t>Site Technical</t>
  </si>
  <si>
    <t>Landowners and Third Parties</t>
  </si>
  <si>
    <t>Consents &amp; Approvals</t>
  </si>
  <si>
    <t xml:space="preserve">Future ownership and maintenance of bridges and weirs </t>
  </si>
  <si>
    <t>Change in political climate</t>
  </si>
  <si>
    <t>Groundwater / fluvial modelling proves more difficult than anticipated</t>
  </si>
  <si>
    <t>Natural England objections</t>
  </si>
  <si>
    <t>Loss of data</t>
  </si>
  <si>
    <t>Access difficulties for construction</t>
  </si>
  <si>
    <t>Additional costs due to specialist access arrangements</t>
  </si>
  <si>
    <t>Include further investigations in GI</t>
  </si>
  <si>
    <t>Groundwater issues during construction</t>
  </si>
  <si>
    <t>Delays around the approvals process</t>
  </si>
  <si>
    <t>Separate / conflicting messages from project partners</t>
  </si>
  <si>
    <t>Public groups and individuals creating delays and objections</t>
  </si>
  <si>
    <t>Legal agreements with contributors not in place ready for construction award</t>
  </si>
  <si>
    <t>Travellers moving into areas</t>
  </si>
  <si>
    <t>Impacts on navigation during construction</t>
  </si>
  <si>
    <t>Costs, time, laboratory testing and removal of contaminated land before main works</t>
  </si>
  <si>
    <t>Need to get management systems in place before start on site</t>
  </si>
  <si>
    <t xml:space="preserve">Delays and costs </t>
  </si>
  <si>
    <t>Impacts on drainage infrastructure</t>
  </si>
  <si>
    <t>Invite to comment on proposals at each stage, engage and ensure buy in.</t>
  </si>
  <si>
    <t>Uncharted underground services</t>
  </si>
  <si>
    <t>Yes</t>
  </si>
  <si>
    <t>More onerous traffic management required</t>
  </si>
  <si>
    <t>Discuss with planners before application to reduce conditions</t>
  </si>
  <si>
    <t>Early design to TM works</t>
  </si>
  <si>
    <t>Increased cost from any requirement for increased mitigation measures</t>
  </si>
  <si>
    <t>Details to be discussed as early as possible to avoid significant changes</t>
  </si>
  <si>
    <t xml:space="preserve">Ascertain site conditions and carry out designs at early stage </t>
  </si>
  <si>
    <t>Keep up to date with any new developments within the project site area</t>
  </si>
  <si>
    <t>Client to regularly liaise with other organisations or bodies to identify any new developments within project areas</t>
  </si>
  <si>
    <t>Monitor any objections</t>
  </si>
  <si>
    <t>Act quickly to avoid legal challenges</t>
  </si>
  <si>
    <t>Legal fees to mount challenge</t>
  </si>
  <si>
    <t>Monitor and design works to account for minor floods where possible</t>
  </si>
  <si>
    <t>Impact on time</t>
  </si>
  <si>
    <t>Removal of any invasive species found on site</t>
  </si>
  <si>
    <t>Contact EA and arrange for contractor to remove any invasive species</t>
  </si>
  <si>
    <t>Delays and costs of moving them off site</t>
  </si>
  <si>
    <t xml:space="preserve">Project becomes unaffordable, monies not available to complete project </t>
  </si>
  <si>
    <t>Impacts of preferred route alignment</t>
  </si>
  <si>
    <t>Site</t>
  </si>
  <si>
    <t>Legal costs and commuted sums for adoption</t>
  </si>
  <si>
    <t>Delays to project</t>
  </si>
  <si>
    <t>Increase in cost both on site and in approvals</t>
  </si>
  <si>
    <t>Need to specific temporary works to maintain navigation at key activities</t>
  </si>
  <si>
    <t>Need to revisit decisions</t>
  </si>
  <si>
    <t>Unable to achieve desired environmental benefits</t>
  </si>
  <si>
    <t>Need to revisit data gathering</t>
  </si>
  <si>
    <t xml:space="preserve">Additional costs </t>
  </si>
  <si>
    <t>Delay and costs</t>
  </si>
  <si>
    <t>Time and costs</t>
  </si>
  <si>
    <t>Additional costs</t>
  </si>
  <si>
    <t>Management of stakeholders expectations and enforce design freeze</t>
  </si>
  <si>
    <t>Desk study and possibly additional trenching on site</t>
  </si>
  <si>
    <t>Start modelling at earliest possible date</t>
  </si>
  <si>
    <t>Ensure that modelling starts early</t>
  </si>
  <si>
    <t xml:space="preserve">Discuss with stakeholders early </t>
  </si>
  <si>
    <t>Engage in meetings with all stakeholders at early stages</t>
  </si>
  <si>
    <t>Ensure that when engaging with NR as much information as deemed appropriate is available</t>
  </si>
  <si>
    <t>Check quality of incoming information and ensure that high enough before progressing work</t>
  </si>
  <si>
    <t>Ensure that procedures for registering of incoming materials are followed</t>
  </si>
  <si>
    <t>Ensure that all team members are aware of protocols for registering material</t>
  </si>
  <si>
    <t>Continue discussions with service providers</t>
  </si>
  <si>
    <t>No mitigation possible</t>
  </si>
  <si>
    <t>GI monitoring of watercourse to ensure that groundwater levels are low enough to avoid infiltration</t>
  </si>
  <si>
    <t>Funding shortfall, project stops</t>
  </si>
  <si>
    <t>Start liaising with potential contributors as early as possible</t>
  </si>
  <si>
    <t>Ensure that as little abortive work as possible is carried out</t>
  </si>
  <si>
    <t>Review cost estimates at strategic points</t>
  </si>
  <si>
    <t>Monitor</t>
  </si>
  <si>
    <t>Large controversial scheme, call in for planning high risk</t>
  </si>
  <si>
    <t>Legal challenges to scheme outside of planning inquiry</t>
  </si>
  <si>
    <t>Project stops, closure costs only</t>
  </si>
  <si>
    <t>Cost for court order and bailiffs</t>
  </si>
  <si>
    <t>Delay in the program and overall project equals increase in overhead costs</t>
  </si>
  <si>
    <t>Impact on time and costs, need to define risk levels</t>
  </si>
  <si>
    <t>Engagement  / Consultation</t>
  </si>
  <si>
    <t xml:space="preserve">Delays in relocating protected species. </t>
  </si>
  <si>
    <t>Protected species</t>
  </si>
  <si>
    <t>Historic England objections</t>
  </si>
  <si>
    <t xml:space="preserve">NEAS to maintain dialogue </t>
  </si>
  <si>
    <t xml:space="preserve">Further Archaeological ground investigations and ongoing consultation with heritage consultees </t>
  </si>
  <si>
    <t>Clarity on objectives and base line</t>
  </si>
  <si>
    <t>Accept</t>
  </si>
  <si>
    <t xml:space="preserve">Respond accordingly </t>
  </si>
  <si>
    <t xml:space="preserve">Re - consultation </t>
  </si>
  <si>
    <t>Need to manage stakeholder, delay in securing funding and assurance.</t>
  </si>
  <si>
    <t xml:space="preserve">Additional liaison &amp; time delay </t>
  </si>
  <si>
    <t>Further work to manage reputation</t>
  </si>
  <si>
    <t>Additional data required</t>
  </si>
  <si>
    <t xml:space="preserve">Additional data collection </t>
  </si>
  <si>
    <t xml:space="preserve">Review data survey list </t>
  </si>
  <si>
    <t>Change to Red Line area</t>
  </si>
  <si>
    <t>Consult with partners at early stages</t>
  </si>
  <si>
    <t>Impacts of scheme on surface water management</t>
  </si>
  <si>
    <t>Continue discussions with TW</t>
  </si>
  <si>
    <t xml:space="preserve">Cost &amp; time delay to programme </t>
  </si>
  <si>
    <t xml:space="preserve">Time &amp; cost </t>
  </si>
  <si>
    <t>Develop material management strategy</t>
  </si>
  <si>
    <t>Need to review access to various sites.</t>
  </si>
  <si>
    <t>Develop design &amp; access statement</t>
  </si>
  <si>
    <t xml:space="preserve">Develop plan </t>
  </si>
  <si>
    <t>Time, reputation &amp; cost impact to the programme</t>
  </si>
  <si>
    <t xml:space="preserve">Additional pumping / temporary works leads to delays in programme </t>
  </si>
  <si>
    <t xml:space="preserve">Underground power cables and overhead cables / pylons need additional protection </t>
  </si>
  <si>
    <t>Develop plan with navigation with stakeholder input.</t>
  </si>
  <si>
    <t xml:space="preserve">Review the need </t>
  </si>
  <si>
    <t xml:space="preserve">Review </t>
  </si>
  <si>
    <t xml:space="preserve">Timely &amp; effective decisions </t>
  </si>
  <si>
    <t xml:space="preserve">Resource does not meet programme needs </t>
  </si>
  <si>
    <t xml:space="preserve">Potential loss of supplier side knowledge when tendering subsequent stages </t>
  </si>
  <si>
    <t xml:space="preserve">Loss of knowledge &amp; delays to programme </t>
  </si>
  <si>
    <t xml:space="preserve">Update procurement strategy </t>
  </si>
  <si>
    <t>Change in key staff in  over lifetime of project</t>
  </si>
  <si>
    <t xml:space="preserve">Develop a detailed resource plan </t>
  </si>
  <si>
    <t xml:space="preserve">Develop programme led resource plan </t>
  </si>
  <si>
    <t xml:space="preserve">Incident role/duty work removes key staff </t>
  </si>
  <si>
    <t xml:space="preserve">Leadership team to review </t>
  </si>
  <si>
    <t xml:space="preserve">Review asset ownership </t>
  </si>
  <si>
    <t xml:space="preserve">Delays with reaching agreements with land owners regarding disposal of materials </t>
  </si>
  <si>
    <t xml:space="preserve">Increased costs &amp; delay to the programme </t>
  </si>
  <si>
    <t>Ensure that negotiation  takes place early in the design process</t>
  </si>
  <si>
    <t xml:space="preserve">Protracted planning process </t>
  </si>
  <si>
    <t xml:space="preserve">Possible delays to project &amp; additional cost </t>
  </si>
  <si>
    <t xml:space="preserve">Discussions with highways </t>
  </si>
  <si>
    <t xml:space="preserve">Change in political support </t>
  </si>
  <si>
    <t xml:space="preserve">Governance structure should be robust </t>
  </si>
  <si>
    <t xml:space="preserve">Funding pledge is not met </t>
  </si>
  <si>
    <t>Additional costs &amp; delay to implementation</t>
  </si>
  <si>
    <t xml:space="preserve">Shortened FBC approval process  cannot be agreed </t>
  </si>
  <si>
    <t xml:space="preserve">Gain agreement from DEFRA, treasury and EA </t>
  </si>
  <si>
    <t xml:space="preserve">Operational &amp; maintenance assumptions are incorrect </t>
  </si>
  <si>
    <t xml:space="preserve">Intended scheme benefits cannot be realised </t>
  </si>
  <si>
    <t xml:space="preserve">Carry out detailed costing exercise </t>
  </si>
  <si>
    <t xml:space="preserve">Develop robust plan </t>
  </si>
  <si>
    <t xml:space="preserve">Robust plan for time &amp; agreements against FBC. Ensure contributions cover risks </t>
  </si>
  <si>
    <t xml:space="preserve">Variation in inflation </t>
  </si>
  <si>
    <t>Increased or decreased costs</t>
  </si>
  <si>
    <t xml:space="preserve">Accept </t>
  </si>
  <si>
    <t xml:space="preserve">Contributions cover the risk of inflation </t>
  </si>
  <si>
    <t xml:space="preserve">Variation in market conditions </t>
  </si>
  <si>
    <t xml:space="preserve">Delays caused by other risks </t>
  </si>
  <si>
    <t xml:space="preserve">Delays &amp; increased cost </t>
  </si>
  <si>
    <t xml:space="preserve">Commercial </t>
  </si>
  <si>
    <t xml:space="preserve">Legacy issues when framework expires </t>
  </si>
  <si>
    <t>More time demand on project team</t>
  </si>
  <si>
    <t xml:space="preserve">Detailed procurement strategy </t>
  </si>
  <si>
    <t>Develop detailed procurement strategy</t>
  </si>
  <si>
    <t xml:space="preserve">Delay to programme </t>
  </si>
  <si>
    <t xml:space="preserve">Assurance </t>
  </si>
  <si>
    <t xml:space="preserve">Assurance reviews identify additional work </t>
  </si>
  <si>
    <t xml:space="preserve">Plan and follow implemented controls </t>
  </si>
  <si>
    <t xml:space="preserve">Funding needs to be matched to contributions </t>
  </si>
  <si>
    <t xml:space="preserve">Ongoing monitoring of programme need against balance sheet </t>
  </si>
  <si>
    <t xml:space="preserve">EA finance policy does not meet the project needs </t>
  </si>
  <si>
    <t xml:space="preserve">Hinders effective delivery </t>
  </si>
  <si>
    <t>Further work is require post project completion</t>
  </si>
  <si>
    <t xml:space="preserve">Peer review to be conducted </t>
  </si>
  <si>
    <t xml:space="preserve">Robust quality assurance </t>
  </si>
  <si>
    <t xml:space="preserve">Project does not deliver the intended benefits </t>
  </si>
  <si>
    <t xml:space="preserve">The scheme has to be used before vegetation establishment </t>
  </si>
  <si>
    <t xml:space="preserve">Significant remedial works </t>
  </si>
  <si>
    <t xml:space="preserve">Planning sequencing of works </t>
  </si>
  <si>
    <t xml:space="preserve">Establish vegetation as you go along </t>
  </si>
  <si>
    <t xml:space="preserve">Sequencing of works is affected due to unknown reasons </t>
  </si>
  <si>
    <t xml:space="preserve">Cost &amp; time delays to programme </t>
  </si>
  <si>
    <t xml:space="preserve">Agree construction sequence </t>
  </si>
  <si>
    <t xml:space="preserve">Review historic events </t>
  </si>
  <si>
    <t xml:space="preserve">Plan historic events and allow time in the programme </t>
  </si>
  <si>
    <t xml:space="preserve">Additional structures </t>
  </si>
  <si>
    <t xml:space="preserve">Additional costs &amp; delay to programme </t>
  </si>
  <si>
    <r>
      <t xml:space="preserve">Risk owner 
</t>
    </r>
    <r>
      <rPr>
        <sz val="12"/>
        <rFont val="Arial"/>
        <family val="2"/>
      </rPr>
      <t>(Customer, contractor, consultant, etc.)</t>
    </r>
  </si>
  <si>
    <t>Undertake further investigations</t>
  </si>
  <si>
    <t xml:space="preserve">
Localised investigations and archaeological trial holes.</t>
  </si>
  <si>
    <t xml:space="preserve">Ongoing liaison with NE </t>
  </si>
  <si>
    <t xml:space="preserve">Ongoing Liaison with NE </t>
  </si>
  <si>
    <t>NEAS to maintain dialogue with NE</t>
  </si>
  <si>
    <t>Need to ensure that Habitat Survey Commences as early as possible</t>
  </si>
  <si>
    <t>Ongoing liaison with HE</t>
  </si>
  <si>
    <t>Early communications to manage expectations.</t>
  </si>
  <si>
    <t>Ensure that all parties are aware of responsibilities and authority</t>
  </si>
  <si>
    <t>Cannot achieve low flow design with availability of water</t>
  </si>
  <si>
    <t>Additional surveys &amp; consultation required leads to cost &amp; time delay</t>
  </si>
  <si>
    <t xml:space="preserve">Continue discussions with service providers &amp; investigate commencement of early works </t>
  </si>
  <si>
    <t>Plan temporary works to minimise impact of flood events. Most works are planned outside of the river channels but are within flood plain</t>
  </si>
  <si>
    <t xml:space="preserve">Develop maintenance plan &amp; explore options </t>
  </si>
  <si>
    <t xml:space="preserve">Multiple applications results on time delays, impact to programme </t>
  </si>
  <si>
    <t xml:space="preserve">Early engagement with businesses &amp; traffic management </t>
  </si>
  <si>
    <t xml:space="preserve">maintaining relationships , drivers are not politically bias </t>
  </si>
  <si>
    <t xml:space="preserve">Ongoing liaison and management of investors </t>
  </si>
  <si>
    <t>Demonstrate in outline BC in ref to fast track approval process and gain agreement from all parties.</t>
  </si>
  <si>
    <t xml:space="preserve">Strong governance body required for future maintenance &amp; align realistic maintenance budget </t>
  </si>
  <si>
    <t xml:space="preserve">Delays to FBC submission which has a knock on impact to  construction </t>
  </si>
  <si>
    <t>Impacts on efficiency &amp; affordability of scheme.</t>
  </si>
  <si>
    <t>Early awareness and engagement with decision makers</t>
  </si>
  <si>
    <t xml:space="preserve">Early engagement with key people </t>
  </si>
  <si>
    <t>Continuous risk management</t>
  </si>
  <si>
    <t>Develop construction sequence</t>
  </si>
  <si>
    <t>Better understand land owners requirements</t>
  </si>
  <si>
    <t xml:space="preserve">Ongoing engagement </t>
  </si>
  <si>
    <t>Works are in flood plain and construction programme is likely to be logger than 12 months</t>
  </si>
  <si>
    <t>Delay or move programmed works if necessary to minimise winter working for muck shifting works</t>
  </si>
  <si>
    <t>Project has long delivery programme so changes are likely</t>
  </si>
  <si>
    <t xml:space="preserve">Other Exceptional Risks, National resilience review, Thames catchment strategic storage </t>
  </si>
  <si>
    <t xml:space="preserve">Need to engage as early as possible with Historic England </t>
  </si>
  <si>
    <t xml:space="preserve">Need to engage with archaeologist as early as possible </t>
  </si>
  <si>
    <t xml:space="preserve">Funding </t>
  </si>
  <si>
    <t>Develop materials management strategy within project to reduce risk of third party influences</t>
  </si>
  <si>
    <t xml:space="preserve">Technical </t>
  </si>
  <si>
    <t xml:space="preserve">Robust design for temporary works </t>
  </si>
  <si>
    <t xml:space="preserve">Once solution is known develop plan with navigation </t>
  </si>
  <si>
    <t xml:space="preserve">Delays in making  key decisions </t>
  </si>
  <si>
    <t xml:space="preserve">Create detail resource plan for future stages </t>
  </si>
  <si>
    <t xml:space="preserve">Delays due to loss of staff </t>
  </si>
  <si>
    <t>Benefits</t>
  </si>
  <si>
    <t xml:space="preserve">Benefits do not attract 3rd party funding </t>
  </si>
  <si>
    <t xml:space="preserve">Flood events change emphasis of project / create political interference </t>
  </si>
  <si>
    <t>Tender required via OJEU</t>
  </si>
  <si>
    <t>Undertake surveys &amp; habitat/ecology surveys as soon as preliminary design options have been completed</t>
  </si>
  <si>
    <t>Ongoing liaison with all stakeholders at early stages</t>
  </si>
  <si>
    <t>ENVIMSE500177</t>
  </si>
  <si>
    <t>Costs increase above budgets / cost under estimates - covered under Optimum bias</t>
  </si>
  <si>
    <t>Vicky Ye</t>
  </si>
  <si>
    <t>Contractor Risk. Costs incl in construction budget</t>
  </si>
  <si>
    <t>Could be potential duplicate of risk ID 34</t>
  </si>
  <si>
    <t xml:space="preserve">Assume extra time for Lot 3 and ncpms at say £50k </t>
  </si>
  <si>
    <t>Discover invasive species</t>
  </si>
  <si>
    <t>Possible significant re-design and delay. Suggest at least 8 weeks of current  full project costs. Undertake significantly more work to undertake a difficult solution as culvert route not viable</t>
  </si>
  <si>
    <t>Extra peoples time</t>
  </si>
  <si>
    <t>Detailed Design</t>
  </si>
  <si>
    <t>Additional design risk. Resolution through peoples time</t>
  </si>
  <si>
    <t>Pollution incidents while working in landfill sites and channels</t>
  </si>
  <si>
    <t>Needs to go into Ian's long term risk line</t>
  </si>
  <si>
    <t xml:space="preserve">Assumptions (for cost and time basis)  </t>
  </si>
  <si>
    <t>Full staff / supplier costs delayed for 4 - 6 weeks at £30k per week</t>
  </si>
  <si>
    <t xml:space="preserve">Project 2 weeks delay at £30k per week </t>
  </si>
  <si>
    <t>Pre construction £30k / wk. Post Const contractor prelims £115k / wk + suppliers during construction £25k = £140k</t>
  </si>
  <si>
    <t>Potential risk for MG4</t>
  </si>
  <si>
    <t xml:space="preserve">Additional EA and supplier costs. Assume takes additional 5 mths x £30k/wk. </t>
  </si>
  <si>
    <t>20% chance that this will occur every year  20% loss x £326t x 6000 = £390k and clean up = £790k = £1m. Max assume double and Least 50%</t>
  </si>
  <si>
    <t>Base assumes procured through WEM. OCL advised a possible 18 month delay.  18 months delay at £30k week  but multiply x 50% as not all staff / suppliers required full time through this period. Least x 25% and Max 75%</t>
  </si>
  <si>
    <t>Works prob trial trenches and pits at selected locations. If archaeology found the contractor would stop work. Assume 2 wks to demob and 2 weeks to remob. 4 wks x £140k. Least 1 wks delay to work around the issue and max 8 wks</t>
  </si>
  <si>
    <t xml:space="preserve">Additional archaeological fees.  Assume  £7.5k/wk incl  5 archaeologists and exc and banksman. Assume risk occurs twice total delay Least  4 weeks ML 8 weeks Max 16 weeks </t>
  </si>
  <si>
    <t xml:space="preserve">Additional consultation costs </t>
  </si>
  <si>
    <t>Delay to construction start by 3 months at £50k / month. Incl +£20k / wk for contractor plus additional suppliers ie ECC PM / ECCSS</t>
  </si>
  <si>
    <t>Left Blank. To be populated when risk identified</t>
  </si>
  <si>
    <t xml:space="preserve">Additional staff time </t>
  </si>
  <si>
    <t xml:space="preserve">Additional staff and supplier time </t>
  </si>
  <si>
    <t xml:space="preserve">Land agent has provided ML cost (baseline) and maximum costs. </t>
  </si>
  <si>
    <t>Keep under review</t>
  </si>
  <si>
    <t>Identify areas where there are protected species - surveys ongoing</t>
  </si>
  <si>
    <t>Additional consultant/EA costs</t>
  </si>
  <si>
    <t>Network Rail and Highway Approvals for work around major infrastructure</t>
  </si>
  <si>
    <t>Ensure that when engaging with NR/Highways as much information as deemed appropriate is available</t>
  </si>
  <si>
    <t>Engage appropriately with NR and Highways</t>
  </si>
  <si>
    <t>Additional people time</t>
  </si>
  <si>
    <t>New development planned/built before commencement of construction phase</t>
  </si>
  <si>
    <t>Additional consultation</t>
  </si>
  <si>
    <t>Discuss &amp; agree planning approach with planners before application to reduce conditions</t>
  </si>
  <si>
    <t>Old Abingdon Road Arch detailed investigations delayed due to consenting process</t>
  </si>
  <si>
    <t>Finding archaeological finds (during the trial trench)</t>
  </si>
  <si>
    <t>Known service diversion cost escalation</t>
  </si>
  <si>
    <t>Ongoing dialogue with EA specialist and external interested parties</t>
  </si>
  <si>
    <t>Continue discussions</t>
  </si>
  <si>
    <t>Costs and time increase</t>
  </si>
  <si>
    <t>Expired</t>
  </si>
  <si>
    <t>Consider further SI and agree mitigation plans if risk occurs</t>
  </si>
  <si>
    <t>Project team to review</t>
  </si>
  <si>
    <t>Evaluate trial pits</t>
  </si>
  <si>
    <t>Confirm seeding approach to trial pits</t>
  </si>
  <si>
    <t>Scoping opinion and ongoing meetings. Likely to be single determination - to be confirmed.</t>
  </si>
  <si>
    <t>1a</t>
  </si>
  <si>
    <t>7a</t>
  </si>
  <si>
    <t>7b</t>
  </si>
  <si>
    <t>33a</t>
  </si>
  <si>
    <t xml:space="preserve">Unknown Contaminated land (non hazardous) fill material found which needs to go off site. </t>
  </si>
  <si>
    <t>Works open up new pollution pathways in landfill sites requiring extensive remediation.</t>
  </si>
  <si>
    <t>1b</t>
  </si>
  <si>
    <t>Hazardous material is found in landfill areas</t>
  </si>
  <si>
    <t>Costs, time, laboratory testing and removal of contaminated to licenced tip</t>
  </si>
  <si>
    <t>Archaeology creates delays and additional costs associated around more trial pits and investigations when on site under main contract</t>
  </si>
  <si>
    <t>5a</t>
  </si>
  <si>
    <t>Heritage and mitigation at Old Abingdon Road is more complicated than expected</t>
  </si>
  <si>
    <t>Scope creep / lack of agreement with stakeholders for environmental enhancements (Design) - covered under Optimism Bias</t>
  </si>
  <si>
    <t>High specification finishes to structures or other unusual landmark features requested.</t>
  </si>
  <si>
    <t>Ecological trial pits highlight issues with future land use</t>
  </si>
  <si>
    <t>Additional time</t>
  </si>
  <si>
    <t xml:space="preserve">Due to issue over ability to continue grazing/farming second stage channel, plus need to keep clear of fencing/hedges, there is a risk that landowners will claim blight on the remainder of their landholding and force purchase of all landholding. </t>
  </si>
  <si>
    <t>Additional costs and PR issues</t>
  </si>
  <si>
    <t xml:space="preserve">Scale of mitigation increases following discussions with consultees/planners   </t>
  </si>
  <si>
    <t>Changes in the design will result in re-consultation.</t>
  </si>
  <si>
    <t xml:space="preserve"> Final design does not utilise Network Rail. Network Rail will have planning application Re-design of scheme if culverts.</t>
  </si>
  <si>
    <t>21a</t>
  </si>
  <si>
    <t>Material volumes increase above base following detailed topographic survey as lidar data is known to vary across the site by plus/minus 200mm</t>
  </si>
  <si>
    <t>Topsoil re-used on site not disposed off site after further consultation</t>
  </si>
  <si>
    <t>Minor flood events during construction 1 Apr - 30 Oct inclusive (risk also picks up major flood events)</t>
  </si>
  <si>
    <t>Objections from landowners leads to Inquiry - now priced in risk 44</t>
  </si>
  <si>
    <t xml:space="preserve">Cost increases and programme delay </t>
  </si>
  <si>
    <t>Insufficient compensation budget</t>
  </si>
  <si>
    <t>41a</t>
  </si>
  <si>
    <t>Inquiry (planning or CPO)</t>
  </si>
  <si>
    <t>Significant Delays and cost increase (critical path)</t>
  </si>
  <si>
    <t>45a</t>
  </si>
  <si>
    <t>Floods events greater than 1 in 10 delay to works - priced in minor events</t>
  </si>
  <si>
    <t xml:space="preserve">Weather events preventing earthworks (below and above 1:10 years) </t>
  </si>
  <si>
    <t>Delay to programme and costs</t>
  </si>
  <si>
    <t xml:space="preserve">Construction start delayed due to any single or combination of risk above. </t>
  </si>
  <si>
    <t>Costs (inflation) plus programme delay</t>
  </si>
  <si>
    <t>Undertake further investigations, monitor during construction</t>
  </si>
  <si>
    <t>Desk study, advance 3 stage archaeology planned and possibly additional trenching on site</t>
  </si>
  <si>
    <t>Evaluate trial trenches</t>
  </si>
  <si>
    <t>Trial trenches in autumn 2016</t>
  </si>
  <si>
    <t>Ensure trial trenches undertaken to programme and evaluate results.</t>
  </si>
  <si>
    <t>Evaluate ways to enable farming to continue on land outside 1st and 2nd stage channels</t>
  </si>
  <si>
    <t>Develop materials management strategy within project and confirm approach with consultees and landowners</t>
  </si>
  <si>
    <t>Ongoing dialogue with stakeholders and planners, extended consultation with parties likely to call planning in</t>
  </si>
  <si>
    <t>Keep programme under review</t>
  </si>
  <si>
    <t>Ongoing programme updated</t>
  </si>
  <si>
    <t xml:space="preserve">Loss of production and clean up costs for one flooding of working areas. Assume 6 events at 2 weeks per event 12wks x £140k = £1.68m + £0.1m in additional works.   Least 9wks and max 20 wks - why 6 events - please check. </t>
  </si>
  <si>
    <t>Assume 5% value of total volume (300,000m3) non-hazardous =  15000m3 of material. 15000 x £30m3 extra over cost = £450,000m + £0.1m (contractor costs dealing with material, delays + other suppliers ) = £0.55m. Known non-hazardous material is incl in base cost. Least assumes 2.5% of 300,000m3 and max 10% of 300,000m3</t>
  </si>
  <si>
    <t>Costs based on 2 weeks of additional time on site to seal pathways, worst case 4 weeks work, best case zero. Use £115/wk plus £25k / week other costs for time plus nominal most likely cost of £100K for plant and additional alluvium = 2*140+100= £380,000, min,half and worst case double time delays</t>
  </si>
  <si>
    <t>Assume 20% of 25,000m3 non-hazardous material is actually hazardous = 20% x 25,000 x £110m3 EOC = £0.55m + £0.1m (contractor costs, testing, dealing with material, delays + other suppliers ) = £0.65m. Known contaminated material is incl in base cost. Least assumes 10% of 25,000m3 and max 30% of 25,000m3</t>
  </si>
  <si>
    <t xml:space="preserve">Assume £115k / wk contractor prelims and £25k ncpms / suppliers costs. ML - Delay 3 mths over the construction period = 12wks x £140k = £2m.  Linear working so if found work will have to potentially stop. Least 4 weeks and max 16 weeks.  </t>
  </si>
  <si>
    <t>Additional mitigation required once results known. Note that major finds might result in overall costs saving if we are able to route the new culvert nearer the railway.</t>
  </si>
  <si>
    <t>Costs assume significant additional cladding required. Base cost already assumes 50% additional costs due to enhancements.</t>
  </si>
  <si>
    <t>Base costs assumes EA own 2nd stage. Additional time needed to resolve.</t>
  </si>
  <si>
    <t>Corpus Christi and Co-op priority. Additional costs already within base costs so this assumes additional time required.</t>
  </si>
  <si>
    <t xml:space="preserve">additional costs at £450k </t>
  </si>
  <si>
    <t xml:space="preserve">Baseline will incl invasive species surveys. ML is localised delay to Existing channels (Japanese knotweed )  say 2 day delay and disposal costs of 100t x £300 / t </t>
  </si>
  <si>
    <t>Further site Investigation and additional modelling. Max assumes 1 year delay (2.5% inflation to construction costs)</t>
  </si>
  <si>
    <t>Delay and localised diversion. Assume additional works to 3 crossing points on MP gas main at £100k each time and need to replace fibre optic cables runs on OAR rather than just divert at total of £500k</t>
  </si>
  <si>
    <t>Lidar is +/- 200mm. Base assumes all material taken to tip. Possibility this survey could result in no overall increase (least costs = zero); ML assumes 10% increase x £12m; max assume 20% extra works x £12m (£12m is approx earthworks costs)</t>
  </si>
  <si>
    <t>Additional costs of bringing materials in on different routes, need to develop dedicated site entrance to avoid villages and main roads. Hauling additional materials.</t>
  </si>
  <si>
    <t>If pollution found there may be a further issue that requires additional design</t>
  </si>
  <si>
    <t>Additional temporary works over and above the base costs. There are seven structures which require temporary works. Normally a contractor risk</t>
  </si>
  <si>
    <t>ML costs assume 120 max vehicles a day (approx 1 vehicle off site per 5mins). Max increased if planners impose more onerous conditions.</t>
  </si>
  <si>
    <t>Review of Iffley Tail data indicates only 4 events since 1 Jan 2000 when river levels above bankfull between 1 April - 30 Oct with only July 2007 causing widespread flooding (and would be major event). 2007 would have been 2 weeks flooded plus 2 weeks making good. assume happen twice so 8 week at £140k. ML 1 event. Min 1 week delay</t>
  </si>
  <si>
    <t>CPO prep costs within base costs. Assume 12-18 months delay as ML cost scenario and additional costs are for legal support (£250,000), project team (12months x £30 x .75) and 2.5% construction inflation for 1 year (£1,250,000). Inquiry costs shown within planning inquiry risk. max assumes 18 months delay.</t>
  </si>
  <si>
    <t xml:space="preserve">Additional commuted sums. </t>
  </si>
  <si>
    <t>Unlikely risk as works within floodplain, hence low figures</t>
  </si>
  <si>
    <t>Internal input increases.</t>
  </si>
  <si>
    <t>Covered under optimism bias</t>
  </si>
  <si>
    <t>Risk currently relates to delay to investigation. Issues  with travellers has increased this risk and will result in more expensive site works.</t>
  </si>
  <si>
    <t>Additional re-writing, lobbying and inputs to gain approvals. Worst case could be delay to project by 1 year. 2.5% x £50m. Max at 5%</t>
  </si>
  <si>
    <t>Base allows for 2.5% inflation. Assume a further 2 %. This will need review to understand base inclusion 2.5% x £50m.</t>
  </si>
  <si>
    <t>Min and ML assumes 2.5% inflation on contractor costs of £50m. Max assumes 18 month delay. Internal costs embedded within other risk costs.</t>
  </si>
  <si>
    <t>Client Approval for SoC</t>
  </si>
  <si>
    <t>v4</t>
  </si>
  <si>
    <t>Prev Risk ID</t>
  </si>
  <si>
    <t>Baseline costs based on Land Agent ML figure. ML based on difference between ML and maximum.</t>
  </si>
  <si>
    <t>Base costs assumes all material disposed to restoration sites hence minimal costs</t>
  </si>
  <si>
    <t>Normal CPO and planning costs within base costs. Inquiry results in 12 (ML) -18 (max) months delay. Additional costs are for external legal support plus QC (£1m)  and project team (12months x £30k) or 18 months x £30k. Min assumes we resolve before Inquiry itself and therefore no QC input.</t>
  </si>
  <si>
    <t>Contractor has reviewed 10 year rainfall records between 1 Apr - 30 Oct which indicates 70 days (10 working weeks) of work being stopped by rain or being too wet to work following rain. Assume £140k prelims/week = £1.4m per year totalling £4.2m. Min and max simply reflect limited movement either way as ML is evidenced based.</t>
  </si>
  <si>
    <t>Peoples time - likely area of interest Old Abingdon Road</t>
  </si>
  <si>
    <t xml:space="preserve">Complete advance archaeology and review need for further advance work with consultees </t>
  </si>
  <si>
    <t>Change design drawings. Peoples time. Max assumes 1 year delay (2.5% inflation to construction costs)</t>
  </si>
  <si>
    <t>Base cost assumes topsoil is disposed off site as preferred environmental consultee option. However, landowners might have different opinion. Overall disposal volumes would not increase off site as we'd just excavate deeper before replacing with topsoil. Overall volume 70,000m3 of topsoil (worse case) at £1m, ML assumes 75% of landowners require this option (52,500m3) at £750k. (Cost from Richard Lewis 08/07/15</t>
  </si>
  <si>
    <t>These are remote pylons / CH2M trying to design around this. Seven major pylons. Place 30m of sheet piling around each pylon. ML assumes further 7 pylons protected at 200k</t>
  </si>
  <si>
    <t xml:space="preserve">@RISK Output Report for Consultant risks exc' the Big 5 </t>
  </si>
  <si>
    <r>
      <t>Performed By:</t>
    </r>
    <r>
      <rPr>
        <sz val="8"/>
        <rFont val="Tahoma"/>
        <family val="2"/>
      </rPr>
      <t xml:space="preserve"> Miller, Graeme</t>
    </r>
  </si>
  <si>
    <t>Simulation Summary Information</t>
  </si>
  <si>
    <t>Workbook Name</t>
  </si>
  <si>
    <t>Oxford 160711 - Project Risk Register v4 OBC baseline.xls</t>
  </si>
  <si>
    <t xml:space="preserve"> </t>
  </si>
  <si>
    <t>Number of Simulations</t>
  </si>
  <si>
    <t>Number of Iterations</t>
  </si>
  <si>
    <t>Number of Inputs</t>
  </si>
  <si>
    <t>Number of Outputs</t>
  </si>
  <si>
    <t>Sampling Type</t>
  </si>
  <si>
    <t>Monte Carlo</t>
  </si>
  <si>
    <t>Simulation Start Time</t>
  </si>
  <si>
    <t>Simulation Duration</t>
  </si>
  <si>
    <t>Random # Generator</t>
  </si>
  <si>
    <t>Mersenne Twister</t>
  </si>
  <si>
    <t>Random Seed</t>
  </si>
  <si>
    <t>Summary Statistics for Consultant risks exc' the Big 5</t>
  </si>
  <si>
    <t>Statistics</t>
  </si>
  <si>
    <t>Percentile</t>
  </si>
  <si>
    <t>Minimum</t>
  </si>
  <si>
    <t>Maximum</t>
  </si>
  <si>
    <t>Mean</t>
  </si>
  <si>
    <t>Std Dev</t>
  </si>
  <si>
    <t>Variance</t>
  </si>
  <si>
    <t>Skewness</t>
  </si>
  <si>
    <t>Kurtosis</t>
  </si>
  <si>
    <t>Median</t>
  </si>
  <si>
    <t>Mode</t>
  </si>
  <si>
    <t>Left X</t>
  </si>
  <si>
    <t>Left P</t>
  </si>
  <si>
    <t>Right X</t>
  </si>
  <si>
    <t>Right P</t>
  </si>
  <si>
    <t>Diff X</t>
  </si>
  <si>
    <t>Diff P</t>
  </si>
  <si>
    <t>#Errors</t>
  </si>
  <si>
    <t>Filter Min</t>
  </si>
  <si>
    <t>Off</t>
  </si>
  <si>
    <t>Filter Max</t>
  </si>
  <si>
    <t>#Filtered</t>
  </si>
  <si>
    <t>Regression and Rank Information for Consultant risks exc' the Big 5</t>
  </si>
  <si>
    <t>Rank</t>
  </si>
  <si>
    <t>Name</t>
  </si>
  <si>
    <t>Regr</t>
  </si>
  <si>
    <t>Corr</t>
  </si>
  <si>
    <t>Risk ID39</t>
  </si>
  <si>
    <t>Risk ID6</t>
  </si>
  <si>
    <t>Risk ID19</t>
  </si>
  <si>
    <t>Risk ID50 (AF165)</t>
  </si>
  <si>
    <t>Risk ID26</t>
  </si>
  <si>
    <t>Risk ID56</t>
  </si>
  <si>
    <t>Risk ID1</t>
  </si>
  <si>
    <t>Risk ID2</t>
  </si>
  <si>
    <t>Risk ID3</t>
  </si>
  <si>
    <t>Risk ID4</t>
  </si>
  <si>
    <t>Risk ID5</t>
  </si>
  <si>
    <t>Risk ID7</t>
  </si>
  <si>
    <t>Risk ID8</t>
  </si>
  <si>
    <t>Risk ID9</t>
  </si>
  <si>
    <r>
      <t>Date:</t>
    </r>
    <r>
      <rPr>
        <sz val="8"/>
        <rFont val="Tahoma"/>
        <family val="2"/>
      </rPr>
      <t xml:space="preserve"> 11 July 2016 16:26:24</t>
    </r>
  </si>
  <si>
    <t xml:space="preserve">@RISK Output Report for Customer risks exc' the Big 5 </t>
  </si>
  <si>
    <r>
      <t>Date:</t>
    </r>
    <r>
      <rPr>
        <sz val="8"/>
        <rFont val="Tahoma"/>
        <family val="2"/>
      </rPr>
      <t xml:space="preserve"> 11 July 2016 17:33:16</t>
    </r>
  </si>
  <si>
    <t>Modelled Oxford - Project Risk Register v4 OBC baseline 110716 GM.xls</t>
  </si>
  <si>
    <t>Summary Statistics for Customer risks exc' the Big 5</t>
  </si>
  <si>
    <t>Regression and Rank Information for Customer risks exc' the Big 5</t>
  </si>
  <si>
    <t>Risk ID63</t>
  </si>
  <si>
    <t>Risk ID41</t>
  </si>
  <si>
    <t>Risk ID61</t>
  </si>
  <si>
    <t>Risk ID27 (AF47)</t>
  </si>
  <si>
    <t>Risk ID23</t>
  </si>
  <si>
    <t>Risk ID28</t>
  </si>
  <si>
    <t>Risk ID59</t>
  </si>
  <si>
    <t>Risk ID24</t>
  </si>
  <si>
    <t>Risk ID53</t>
  </si>
  <si>
    <t>Risk ID44 (AF67)</t>
  </si>
  <si>
    <t>Risk ID18</t>
  </si>
  <si>
    <t>Risk ID42</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</si>
</sst>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CDA&quot;\ ##"/>
    <numFmt numFmtId="174" formatCode="_-* #,##0_-;\-* #,##0_-;_-* &quot;-&quot;??_-;_-@_-"/>
    <numFmt numFmtId="175" formatCode="0.0%"/>
    <numFmt numFmtId="176" formatCode="&quot;FN&quot;\ ##"/>
    <numFmt numFmtId="177" formatCode="&quot;£&quot;#,##0"/>
    <numFmt numFmtId="178" formatCode="0_ ;[Red]\-0\ "/>
    <numFmt numFmtId="179" formatCode="_(* #,##0_);_(* \(#,##0\);_(* &quot;-&quot;??_);_(@_)"/>
    <numFmt numFmtId="180" formatCode="0.0000"/>
    <numFmt numFmtId="181" formatCode="_(* #,##0.0000_);_(* \(#,##0.0000\);_(* &quot;-&quot;??_);_(@_)"/>
    <numFmt numFmtId="182" formatCode="[$€-2]\ #,##0;[Red]\-[$€-2]\ #,##0"/>
    <numFmt numFmtId="183" formatCode="0.0"/>
    <numFmt numFmtId="184" formatCode="#,##0.00_ ;[Red]\-#,##0.00\ "/>
    <numFmt numFmtId="185" formatCode="#,##0.0_ ;[Red]\-#,##0.0\ "/>
    <numFmt numFmtId="186" formatCode="#,##0_ ;[Red]\-#,##0\ "/>
    <numFmt numFmtId="187" formatCode="&quot;£&quot;#,##0.0000;[Red]\-&quot;£&quot;#,##0.0000"/>
    <numFmt numFmtId="188" formatCode="#,##0.00000_ ;[Red]\-#,##0.00000\ "/>
    <numFmt numFmtId="189" formatCode="_(&quot;£&quot;* #,##0_);_(&quot;£&quot;* \(#,##0\);_(&quot;£&quot;* &quot;-&quot;_);_(@_)"/>
    <numFmt numFmtId="190" formatCode="_(&quot;£&quot;* #,##0.00_);_(&quot;£&quot;* \(#,##0.00\);_(&quot;£&quot;* &quot;-&quot;??_);_(@_)"/>
    <numFmt numFmtId="191" formatCode="m/d/yy\ h:mm:ss"/>
    <numFmt numFmtId="192" formatCode="0.0000%"/>
    <numFmt numFmtId="193" formatCode="#0.00000"/>
    <numFmt numFmtId="194" formatCode="0.000"/>
    <numFmt numFmtId="195" formatCode="\ * #,##0\ ;\(#,##0\);\ * &quot; &quot;??_ ;_ @_ "/>
    <numFmt numFmtId="196" formatCode="_-* #,##0_-;\(#,##0\);_-* &quot;-&quot;??_-;_-@_-"/>
    <numFmt numFmtId="197" formatCode="[$-809]dd\ mmmm\ yyyy"/>
    <numFmt numFmtId="198" formatCode="dd\ mmmm\ yy"/>
    <numFmt numFmtId="199" formatCode="&quot;Yes&quot;;&quot;Yes&quot;;&quot;No&quot;"/>
    <numFmt numFmtId="200" formatCode="&quot;True&quot;;&quot;True&quot;;&quot;False&quot;"/>
    <numFmt numFmtId="201" formatCode="&quot;On&quot;;&quot;On&quot;;&quot;Off&quot;"/>
    <numFmt numFmtId="202" formatCode="[$€-2]\ #,##0.00_);[Red]\([$€-2]\ #,##0.00\)"/>
    <numFmt numFmtId="203" formatCode="d\.m\.yy;@"/>
    <numFmt numFmtId="204" formatCode="&quot;£&quot;#,###\k"/>
    <numFmt numFmtId="205" formatCode="#&quot; wks&quot;"/>
    <numFmt numFmtId="206" formatCode="dd/mm/yyyy;@"/>
    <numFmt numFmtId="207" formatCode="yyyy\-mm\-dd;@"/>
    <numFmt numFmtId="208" formatCode="_-* #,##0.0_-;\-* #,##0.0_-;_-* &quot;-&quot;??_-;_-@_-"/>
    <numFmt numFmtId="209" formatCode="0.000%"/>
    <numFmt numFmtId="210" formatCode="&quot;£&quot;#,##0\k;\-&quot;£&quot;#,##0\k"/>
    <numFmt numFmtId="211" formatCode="dd/mm/yy;@"/>
    <numFmt numFmtId="212" formatCode="[$-F800]dddd\,\ mmmm\ dd\,\ yyyy"/>
    <numFmt numFmtId="213" formatCode="&quot;£&quot;#,###.00\k"/>
    <numFmt numFmtId="214" formatCode="&quot;£&quot;#,##0.000000;[Red]\-&quot;£&quot;#,##0.000000"/>
    <numFmt numFmtId="215" formatCode="mmm\-yyyy"/>
    <numFmt numFmtId="216" formatCode="#,##0.000"/>
    <numFmt numFmtId="217" formatCode="yyyy"/>
    <numFmt numFmtId="218" formatCode="_-* #,##0.0_-;\-* #,##0.0_-;_-* &quot;-&quot;?_-;_-@_-"/>
  </numFmts>
  <fonts count="103">
    <font>
      <sz val="10"/>
      <name val="Arial"/>
      <family val="0"/>
    </font>
    <font>
      <b/>
      <sz val="10"/>
      <name val="Arial"/>
      <family val="2"/>
    </font>
    <font>
      <u val="single"/>
      <sz val="10"/>
      <color indexed="12"/>
      <name val="Arial"/>
      <family val="2"/>
    </font>
    <font>
      <u val="single"/>
      <sz val="10"/>
      <color indexed="36"/>
      <name val="Arial"/>
      <family val="2"/>
    </font>
    <font>
      <sz val="11"/>
      <name val="Arial"/>
      <family val="2"/>
    </font>
    <font>
      <sz val="12"/>
      <name val="Arial"/>
      <family val="2"/>
    </font>
    <font>
      <b/>
      <sz val="12"/>
      <color indexed="10"/>
      <name val="Arial"/>
      <family val="2"/>
    </font>
    <font>
      <sz val="8"/>
      <name val="Tahoma"/>
      <family val="2"/>
    </font>
    <font>
      <b/>
      <sz val="12"/>
      <name val="Arial"/>
      <family val="2"/>
    </font>
    <font>
      <sz val="14"/>
      <name val="Arial"/>
      <family val="2"/>
    </font>
    <font>
      <b/>
      <sz val="14"/>
      <name val="Arial"/>
      <family val="2"/>
    </font>
    <font>
      <sz val="11"/>
      <name val="Univers (W1)"/>
      <family val="0"/>
    </font>
    <font>
      <u val="single"/>
      <sz val="9"/>
      <color indexed="12"/>
      <name val="Times New Roman"/>
      <family val="1"/>
    </font>
    <font>
      <sz val="11"/>
      <name val="Times New Roman"/>
      <family val="1"/>
    </font>
    <font>
      <sz val="10"/>
      <color indexed="8"/>
      <name val="Arial"/>
      <family val="2"/>
    </font>
    <font>
      <i/>
      <sz val="10"/>
      <name val="Arial"/>
      <family val="2"/>
    </font>
    <font>
      <b/>
      <sz val="9"/>
      <name val="Arial"/>
      <family val="2"/>
    </font>
    <font>
      <sz val="18"/>
      <name val="Arial"/>
      <family val="2"/>
    </font>
    <font>
      <sz val="8"/>
      <name val="Univers (W1)"/>
      <family val="0"/>
    </font>
    <font>
      <b/>
      <sz val="11"/>
      <name val="Univers (W1)"/>
      <family val="0"/>
    </font>
    <font>
      <b/>
      <sz val="12"/>
      <name val="Times New Roman"/>
      <family val="1"/>
    </font>
    <font>
      <sz val="14"/>
      <name val="Univers (W1)"/>
      <family val="0"/>
    </font>
    <font>
      <sz val="12"/>
      <name val="Times New Roman"/>
      <family val="1"/>
    </font>
    <font>
      <b/>
      <sz val="11"/>
      <name val="Times New Roman"/>
      <family val="1"/>
    </font>
    <font>
      <sz val="20"/>
      <name val="Arial"/>
      <family val="2"/>
    </font>
    <font>
      <b/>
      <sz val="18"/>
      <name val="Arial"/>
      <family val="2"/>
    </font>
    <font>
      <b/>
      <sz val="14"/>
      <name val="Univers (W1)"/>
      <family val="0"/>
    </font>
    <font>
      <b/>
      <sz val="11"/>
      <name val="Arial"/>
      <family val="2"/>
    </font>
    <font>
      <sz val="16"/>
      <name val="Arial"/>
      <family val="2"/>
    </font>
    <font>
      <b/>
      <sz val="16"/>
      <name val="Arial"/>
      <family val="2"/>
    </font>
    <font>
      <b/>
      <sz val="22"/>
      <name val="Arial"/>
      <family val="2"/>
    </font>
    <font>
      <sz val="48"/>
      <name val="Arial"/>
      <family val="2"/>
    </font>
    <font>
      <b/>
      <sz val="11"/>
      <color indexed="10"/>
      <name val="Univers (W1)"/>
      <family val="0"/>
    </font>
    <font>
      <sz val="8"/>
      <name val="Arial"/>
      <family val="2"/>
    </font>
    <font>
      <b/>
      <sz val="13"/>
      <name val="Univers (W1)"/>
      <family val="0"/>
    </font>
    <font>
      <b/>
      <sz val="12"/>
      <name val="Univers (W1)"/>
      <family val="0"/>
    </font>
    <font>
      <b/>
      <i/>
      <sz val="11"/>
      <name val="Univers (W1)"/>
      <family val="0"/>
    </font>
    <font>
      <b/>
      <i/>
      <sz val="13"/>
      <name val="Univers (W1)"/>
      <family val="0"/>
    </font>
    <font>
      <b/>
      <sz val="8"/>
      <name val="Tahoma"/>
      <family val="2"/>
    </font>
    <font>
      <b/>
      <sz val="11"/>
      <color indexed="22"/>
      <name val="Univers (W1)"/>
      <family val="0"/>
    </font>
    <font>
      <sz val="11"/>
      <color indexed="22"/>
      <name val="Univers (W1)"/>
      <family val="0"/>
    </font>
    <font>
      <b/>
      <sz val="11"/>
      <color indexed="55"/>
      <name val="Univers (W1)"/>
      <family val="0"/>
    </font>
    <font>
      <sz val="11"/>
      <color indexed="55"/>
      <name val="Univers (W1)"/>
      <family val="0"/>
    </font>
    <font>
      <sz val="18"/>
      <name val="Univers (W1)"/>
      <family val="0"/>
    </font>
    <font>
      <b/>
      <sz val="16"/>
      <color indexed="19"/>
      <name val="Arial"/>
      <family val="2"/>
    </font>
    <font>
      <b/>
      <sz val="11"/>
      <color indexed="19"/>
      <name val="Arial"/>
      <family val="2"/>
    </font>
    <font>
      <u val="single"/>
      <sz val="11"/>
      <color indexed="12"/>
      <name val="Arial"/>
      <family val="2"/>
    </font>
    <font>
      <sz val="12"/>
      <color indexed="12"/>
      <name val="Arial"/>
      <family val="2"/>
    </font>
    <font>
      <sz val="10"/>
      <color indexed="12"/>
      <name val="Arial"/>
      <family val="2"/>
    </font>
    <font>
      <b/>
      <sz val="10"/>
      <color indexed="12"/>
      <name val="Arial"/>
      <family val="2"/>
    </font>
    <font>
      <b/>
      <sz val="11"/>
      <color indexed="12"/>
      <name val="Arial"/>
      <family val="2"/>
    </font>
    <font>
      <sz val="11"/>
      <color indexed="12"/>
      <name val="Arial"/>
      <family val="2"/>
    </font>
    <font>
      <b/>
      <u val="single"/>
      <sz val="12"/>
      <name val="Arial"/>
      <family val="2"/>
    </font>
    <font>
      <sz val="12"/>
      <color indexed="10"/>
      <name val="Arial"/>
      <family val="2"/>
    </font>
    <font>
      <sz val="11"/>
      <name val="Tahoma"/>
      <family val="2"/>
    </font>
    <font>
      <sz val="9"/>
      <name val="Tahoma"/>
      <family val="2"/>
    </font>
    <font>
      <b/>
      <sz val="9"/>
      <name val="Tahoma"/>
      <family val="2"/>
    </font>
    <font>
      <strike/>
      <sz val="12"/>
      <name val="Arial"/>
      <family val="2"/>
    </font>
    <font>
      <strike/>
      <sz val="12"/>
      <color indexed="10"/>
      <name val="Arial"/>
      <family val="2"/>
    </font>
    <font>
      <strike/>
      <sz val="12"/>
      <name val="Times New Roman"/>
      <family val="1"/>
    </font>
    <font>
      <i/>
      <sz val="12"/>
      <name val="Arial"/>
      <family val="2"/>
    </font>
    <font>
      <b/>
      <i/>
      <sz val="11"/>
      <name val="Arial"/>
      <family val="2"/>
    </font>
    <font>
      <b/>
      <sz val="14"/>
      <name val="Tahoma"/>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FF0000"/>
      <name val="Arial"/>
      <family val="2"/>
    </font>
    <font>
      <strike/>
      <sz val="12"/>
      <color rgb="FFFF0000"/>
      <name val="Arial"/>
      <family val="2"/>
    </font>
    <font>
      <sz val="12"/>
      <color theme="1"/>
      <name val="Arial"/>
      <family val="2"/>
    </font>
    <font>
      <sz val="12"/>
      <color theme="1" tint="0.04998999834060669"/>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51"/>
        <bgColor indexed="64"/>
      </patternFill>
    </fill>
    <fill>
      <patternFill patternType="solid">
        <fgColor indexed="11"/>
        <bgColor indexed="64"/>
      </patternFill>
    </fill>
    <fill>
      <patternFill patternType="solid">
        <fgColor indexed="44"/>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FF99"/>
        <bgColor indexed="64"/>
      </patternFill>
    </fill>
    <fill>
      <patternFill patternType="solid">
        <fgColor theme="2" tint="-0.24997000396251678"/>
        <bgColor indexed="64"/>
      </patternFill>
    </fill>
    <fill>
      <patternFill patternType="solid">
        <fgColor rgb="FFCCFFCC"/>
        <bgColor indexed="64"/>
      </patternFill>
    </fill>
    <fill>
      <patternFill patternType="solid">
        <fgColor rgb="FFC0C0C0"/>
        <bgColor indexed="64"/>
      </patternFill>
    </fill>
    <fill>
      <patternFill patternType="solid">
        <fgColor rgb="FFFFFF00"/>
        <bgColor indexed="64"/>
      </patternFill>
    </fill>
    <fill>
      <patternFill patternType="solid">
        <fgColor indexed="41"/>
        <bgColor indexed="64"/>
      </patternFill>
    </fill>
  </fills>
  <borders count="2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8"/>
      </bottom>
    </border>
    <border>
      <left>
        <color indexed="63"/>
      </left>
      <right style="thick">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theme="4"/>
      </top>
      <bottom style="double">
        <color theme="4"/>
      </bottom>
    </border>
    <border>
      <left style="medium"/>
      <right style="thin"/>
      <top style="thin"/>
      <bottom style="thick"/>
    </border>
    <border>
      <left style="thin"/>
      <right style="thin"/>
      <top style="thin"/>
      <bottom style="thick"/>
    </border>
    <border>
      <left style="thin"/>
      <right style="medium"/>
      <top style="thin"/>
      <bottom style="thick"/>
    </border>
    <border>
      <left style="thick"/>
      <right style="thin"/>
      <top style="thin"/>
      <bottom style="thick"/>
    </border>
    <border>
      <left style="thin"/>
      <right>
        <color indexed="63"/>
      </right>
      <top style="thin"/>
      <bottom style="thick"/>
    </border>
    <border>
      <left style="medium"/>
      <right style="thick"/>
      <top style="thin"/>
      <bottom style="thick"/>
    </border>
    <border>
      <left style="thin"/>
      <right style="thin"/>
      <top style="hair"/>
      <bottom style="hair"/>
    </border>
    <border>
      <left style="thin"/>
      <right style="medium"/>
      <top style="hair"/>
      <bottom style="hair"/>
    </border>
    <border>
      <left style="medium"/>
      <right style="thin"/>
      <top style="hair"/>
      <bottom style="hair"/>
    </border>
    <border>
      <left style="thick"/>
      <right style="thin"/>
      <top style="hair"/>
      <bottom style="hair"/>
    </border>
    <border>
      <left style="thin"/>
      <right>
        <color indexed="63"/>
      </right>
      <top style="hair"/>
      <bottom style="hair"/>
    </border>
    <border>
      <left style="medium"/>
      <right style="thick"/>
      <top style="hair"/>
      <bottom style="hair"/>
    </border>
    <border>
      <left>
        <color indexed="63"/>
      </left>
      <right style="thin"/>
      <top style="hair"/>
      <bottom style="hair"/>
    </border>
    <border>
      <left style="thick">
        <color indexed="10"/>
      </left>
      <right style="thin"/>
      <top style="hair"/>
      <bottom style="hair"/>
    </border>
    <border>
      <left style="medium"/>
      <right style="thick">
        <color indexed="10"/>
      </right>
      <top style="hair"/>
      <bottom style="hair"/>
    </border>
    <border>
      <left style="thick">
        <color indexed="10"/>
      </left>
      <right style="thin"/>
      <top style="hair"/>
      <bottom style="thick">
        <color indexed="10"/>
      </bottom>
    </border>
    <border>
      <left style="thin"/>
      <right style="thin"/>
      <top style="hair"/>
      <bottom style="thick">
        <color indexed="10"/>
      </bottom>
    </border>
    <border>
      <left style="thin"/>
      <right>
        <color indexed="63"/>
      </right>
      <top style="hair"/>
      <bottom style="thick">
        <color indexed="10"/>
      </bottom>
    </border>
    <border>
      <left style="medium"/>
      <right style="thick">
        <color indexed="10"/>
      </right>
      <top style="hair"/>
      <bottom style="thick">
        <color indexed="10"/>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ck"/>
    </border>
    <border>
      <left style="thin"/>
      <right style="medium"/>
      <top style="hair"/>
      <bottom style="thick">
        <color indexed="10"/>
      </bottom>
    </border>
    <border>
      <left style="thin"/>
      <right style="thick"/>
      <top style="hair"/>
      <bottom style="hair"/>
    </border>
    <border>
      <left>
        <color indexed="63"/>
      </left>
      <right>
        <color indexed="63"/>
      </right>
      <top style="thick"/>
      <bottom style="thin"/>
    </border>
    <border>
      <left>
        <color indexed="63"/>
      </left>
      <right>
        <color indexed="63"/>
      </right>
      <top style="thin"/>
      <bottom style="thick"/>
    </border>
    <border>
      <left style="thin"/>
      <right>
        <color indexed="63"/>
      </right>
      <top style="medium"/>
      <bottom style="thick"/>
    </border>
    <border>
      <left>
        <color indexed="63"/>
      </left>
      <right>
        <color indexed="63"/>
      </right>
      <top style="hair"/>
      <bottom style="hair"/>
    </border>
    <border>
      <left style="medium"/>
      <right style="medium"/>
      <top style="hair"/>
      <bottom style="hair"/>
    </border>
    <border>
      <left>
        <color indexed="63"/>
      </left>
      <right style="thin"/>
      <top style="thin"/>
      <bottom style="thick"/>
    </border>
    <border>
      <left style="medium"/>
      <right style="thin"/>
      <top>
        <color indexed="63"/>
      </top>
      <bottom style="thick"/>
    </border>
    <border>
      <left style="thin"/>
      <right style="thin"/>
      <top>
        <color indexed="63"/>
      </top>
      <bottom style="thick"/>
    </border>
    <border>
      <left style="thin"/>
      <right style="thick">
        <color indexed="10"/>
      </right>
      <top style="hair"/>
      <bottom style="hair"/>
    </border>
    <border>
      <left style="medium"/>
      <right style="thin"/>
      <top>
        <color indexed="63"/>
      </top>
      <bottom style="thick">
        <color indexed="10"/>
      </bottom>
    </border>
    <border>
      <left style="thin"/>
      <right style="thin"/>
      <top>
        <color indexed="63"/>
      </top>
      <bottom style="thick">
        <color indexed="10"/>
      </bottom>
    </border>
    <border>
      <left style="thin"/>
      <right style="medium"/>
      <top>
        <color indexed="63"/>
      </top>
      <bottom style="thick">
        <color indexed="10"/>
      </bottom>
    </border>
    <border>
      <left style="thin"/>
      <right style="thick">
        <color indexed="10"/>
      </right>
      <top>
        <color indexed="63"/>
      </top>
      <bottom style="thick">
        <color indexed="10"/>
      </bottom>
    </border>
    <border>
      <left style="thick"/>
      <right style="thin"/>
      <top style="hair"/>
      <bottom style="thick"/>
    </border>
    <border>
      <left style="thin"/>
      <right style="thin"/>
      <top style="hair"/>
      <bottom style="thick"/>
    </border>
    <border>
      <left style="thick"/>
      <right>
        <color indexed="63"/>
      </right>
      <top style="thick"/>
      <bottom>
        <color indexed="63"/>
      </bottom>
    </border>
    <border>
      <left>
        <color indexed="63"/>
      </left>
      <right>
        <color indexed="63"/>
      </right>
      <top style="thick"/>
      <bottom>
        <color indexed="63"/>
      </bottom>
    </border>
    <border>
      <left style="medium"/>
      <right style="thick"/>
      <top style="hair"/>
      <bottom>
        <color indexed="63"/>
      </bottom>
    </border>
    <border>
      <left style="thick"/>
      <right>
        <color indexed="63"/>
      </right>
      <top>
        <color indexed="63"/>
      </top>
      <bottom>
        <color indexed="63"/>
      </bottom>
    </border>
    <border>
      <left>
        <color indexed="63"/>
      </left>
      <right style="thin"/>
      <top>
        <color indexed="63"/>
      </top>
      <bottom style="thick">
        <color indexed="10"/>
      </bottom>
    </border>
    <border>
      <left style="thin"/>
      <right style="medium"/>
      <top>
        <color indexed="63"/>
      </top>
      <bottom style="thick"/>
    </border>
    <border>
      <left style="thick"/>
      <right style="thin"/>
      <top>
        <color indexed="63"/>
      </top>
      <bottom style="thick"/>
    </border>
    <border>
      <left>
        <color indexed="63"/>
      </left>
      <right style="medium"/>
      <top>
        <color indexed="63"/>
      </top>
      <bottom style="thick"/>
    </border>
    <border>
      <left>
        <color indexed="63"/>
      </left>
      <right style="thin"/>
      <top>
        <color indexed="63"/>
      </top>
      <bottom style="thick"/>
    </border>
    <border>
      <left style="thin"/>
      <right style="thick"/>
      <top>
        <color indexed="63"/>
      </top>
      <bottom style="thick"/>
    </border>
    <border>
      <left style="medium"/>
      <right style="medium"/>
      <top style="medium"/>
      <bottom style="medium"/>
    </border>
    <border>
      <left style="medium"/>
      <right style="medium"/>
      <top>
        <color indexed="63"/>
      </top>
      <bottom style="thick"/>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mediu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color indexed="63"/>
      </top>
      <bottom style="medium">
        <color indexed="55"/>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medium">
        <color indexed="55"/>
      </right>
      <top style="medium">
        <color indexed="55"/>
      </top>
      <bottom>
        <color indexed="63"/>
      </bottom>
    </border>
    <border>
      <left style="medium"/>
      <right style="thin"/>
      <top>
        <color indexed="63"/>
      </top>
      <bottom style="hair"/>
    </border>
    <border>
      <left style="medium"/>
      <right>
        <color indexed="63"/>
      </right>
      <top style="medium"/>
      <bottom style="medium"/>
    </border>
    <border>
      <left>
        <color indexed="63"/>
      </left>
      <right style="medium"/>
      <top style="medium"/>
      <bottom style="medium"/>
    </border>
    <border>
      <left style="thick"/>
      <right style="thick"/>
      <top style="thick"/>
      <bottom style="thick"/>
    </border>
    <border>
      <left style="thick"/>
      <right style="thin"/>
      <top style="thick"/>
      <bottom style="hair"/>
    </border>
    <border>
      <left style="thin"/>
      <right style="thin"/>
      <top style="thick"/>
      <bottom style="hair"/>
    </border>
    <border>
      <left style="thin"/>
      <right>
        <color indexed="63"/>
      </right>
      <top style="thick"/>
      <bottom style="hair"/>
    </border>
    <border>
      <left>
        <color indexed="63"/>
      </left>
      <right style="thin"/>
      <top>
        <color indexed="63"/>
      </top>
      <bottom style="hair"/>
    </border>
    <border>
      <left style="thin"/>
      <right style="thick"/>
      <top style="thick"/>
      <bottom style="hair"/>
    </border>
    <border>
      <left style="thin"/>
      <right style="thick"/>
      <top style="hair"/>
      <bottom style="thick"/>
    </border>
    <border>
      <left>
        <color indexed="63"/>
      </left>
      <right style="thin"/>
      <top style="hair"/>
      <bottom style="thick">
        <color indexed="10"/>
      </bottom>
    </border>
    <border>
      <left style="medium"/>
      <right style="thick"/>
      <top style="thick"/>
      <bottom style="hair"/>
    </border>
    <border>
      <left style="thin"/>
      <right style="medium"/>
      <top>
        <color indexed="63"/>
      </top>
      <bottom style="hair"/>
    </border>
    <border>
      <left>
        <color indexed="63"/>
      </left>
      <right style="thick"/>
      <top style="hair"/>
      <bottom style="hair"/>
    </border>
    <border>
      <left style="thin"/>
      <right style="thin"/>
      <top style="hair"/>
      <bottom>
        <color indexed="63"/>
      </bottom>
    </border>
    <border>
      <left style="thin"/>
      <right style="medium"/>
      <top style="hair"/>
      <bottom>
        <color indexed="63"/>
      </bottom>
    </border>
    <border>
      <left style="thick"/>
      <right style="thick"/>
      <top>
        <color indexed="63"/>
      </top>
      <bottom>
        <color indexed="63"/>
      </bottom>
    </border>
    <border>
      <left style="thin"/>
      <right style="thin"/>
      <top>
        <color indexed="63"/>
      </top>
      <bottom style="hair"/>
    </border>
    <border>
      <left style="thick"/>
      <right style="thin"/>
      <top>
        <color indexed="63"/>
      </top>
      <bottom style="hair"/>
    </border>
    <border>
      <left style="thin"/>
      <right>
        <color indexed="63"/>
      </right>
      <top>
        <color indexed="63"/>
      </top>
      <bottom style="hair"/>
    </border>
    <border>
      <left style="medium"/>
      <right style="thick"/>
      <top>
        <color indexed="63"/>
      </top>
      <bottom style="hair"/>
    </border>
    <border>
      <left style="thin"/>
      <right>
        <color indexed="63"/>
      </right>
      <top style="hair"/>
      <bottom style="thick"/>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ck"/>
      <top>
        <color indexed="63"/>
      </top>
      <bottom style="thin"/>
    </border>
    <border>
      <left style="thin"/>
      <right style="thick"/>
      <top>
        <color indexed="63"/>
      </top>
      <bottom style="hair"/>
    </border>
    <border>
      <left>
        <color indexed="63"/>
      </left>
      <right style="medium"/>
      <top>
        <color indexed="63"/>
      </top>
      <bottom style="thin"/>
    </border>
    <border>
      <left style="thin"/>
      <right style="medium"/>
      <top>
        <color indexed="63"/>
      </top>
      <bottom style="thin"/>
    </border>
    <border>
      <left>
        <color indexed="63"/>
      </left>
      <right style="thin"/>
      <top>
        <color indexed="63"/>
      </top>
      <bottom style="thin"/>
    </border>
    <border>
      <left style="thin"/>
      <right style="thick"/>
      <top>
        <color indexed="63"/>
      </top>
      <bottom style="thin"/>
    </border>
    <border>
      <left>
        <color indexed="63"/>
      </left>
      <right>
        <color indexed="63"/>
      </right>
      <top>
        <color indexed="63"/>
      </top>
      <bottom style="thin"/>
    </border>
    <border>
      <left style="medium"/>
      <right style="medium"/>
      <top style="hair"/>
      <bottom style="thick">
        <color indexed="10"/>
      </bottom>
    </border>
    <border>
      <left style="thick"/>
      <right>
        <color indexed="63"/>
      </right>
      <top>
        <color indexed="63"/>
      </top>
      <bottom style="thick"/>
    </border>
    <border>
      <left>
        <color indexed="63"/>
      </left>
      <right>
        <color indexed="63"/>
      </right>
      <top>
        <color indexed="63"/>
      </top>
      <bottom style="thick"/>
    </border>
    <border>
      <left style="medium"/>
      <right style="thick"/>
      <top style="hair"/>
      <bottom style="thick"/>
    </border>
    <border>
      <left style="thick"/>
      <right>
        <color indexed="63"/>
      </right>
      <top style="thick"/>
      <bottom style="thin"/>
    </border>
    <border>
      <left>
        <color indexed="63"/>
      </left>
      <right style="thick"/>
      <top style="thick"/>
      <bottom style="thin"/>
    </border>
    <border>
      <left style="medium"/>
      <right style="thick"/>
      <top>
        <color indexed="63"/>
      </top>
      <bottom>
        <color indexed="63"/>
      </bottom>
    </border>
    <border>
      <left style="medium"/>
      <right style="thick"/>
      <top style="thick"/>
      <bottom style="thin"/>
    </border>
    <border>
      <left style="medium"/>
      <right style="medium"/>
      <top style="thin">
        <color rgb="FFFF0000"/>
      </top>
      <bottom>
        <color indexed="63"/>
      </bottom>
    </border>
    <border>
      <left>
        <color indexed="63"/>
      </left>
      <right>
        <color indexed="63"/>
      </right>
      <top style="thick"/>
      <bottom style="thin">
        <color rgb="FFFF0000"/>
      </bottom>
    </border>
    <border>
      <left style="medium"/>
      <right style="medium"/>
      <top style="thin">
        <color rgb="FFFF0000"/>
      </top>
      <bottom style="hair"/>
    </border>
    <border>
      <left>
        <color indexed="63"/>
      </left>
      <right>
        <color indexed="63"/>
      </right>
      <top style="thin">
        <color rgb="FFFF0000"/>
      </top>
      <bottom>
        <color indexed="63"/>
      </bottom>
    </border>
    <border>
      <left>
        <color indexed="63"/>
      </left>
      <right style="thick">
        <color indexed="10"/>
      </right>
      <top>
        <color indexed="63"/>
      </top>
      <bottom>
        <color indexed="63"/>
      </bottom>
    </border>
    <border>
      <left style="medium">
        <color rgb="FFFF0000"/>
      </left>
      <right style="thin"/>
      <top style="medium">
        <color rgb="FFFF0000"/>
      </top>
      <bottom style="hair"/>
    </border>
    <border>
      <left style="thin"/>
      <right style="medium"/>
      <top style="medium">
        <color rgb="FFFF0000"/>
      </top>
      <bottom style="hair"/>
    </border>
    <border>
      <left style="thin"/>
      <right style="medium"/>
      <top style="medium">
        <color rgb="FFFF0000"/>
      </top>
      <bottom>
        <color indexed="63"/>
      </bottom>
    </border>
    <border>
      <left style="medium"/>
      <right style="medium"/>
      <top style="medium">
        <color rgb="FFFF0000"/>
      </top>
      <bottom style="hair"/>
    </border>
    <border>
      <left style="thin"/>
      <right>
        <color indexed="63"/>
      </right>
      <top style="medium">
        <color rgb="FFFF0000"/>
      </top>
      <bottom style="hair"/>
    </border>
    <border>
      <left style="thin"/>
      <right style="thin"/>
      <top style="medium">
        <color rgb="FFFF0000"/>
      </top>
      <bottom style="hair"/>
    </border>
    <border>
      <left style="medium"/>
      <right style="thin"/>
      <top style="medium">
        <color rgb="FFFF0000"/>
      </top>
      <bottom style="hair"/>
    </border>
    <border>
      <left>
        <color indexed="63"/>
      </left>
      <right style="thin"/>
      <top style="medium">
        <color rgb="FFFF0000"/>
      </top>
      <bottom style="hair"/>
    </border>
    <border>
      <left style="medium">
        <color rgb="FFFF0000"/>
      </left>
      <right style="thin"/>
      <top style="hair"/>
      <bottom style="hair"/>
    </border>
    <border>
      <left style="medium"/>
      <right style="medium">
        <color rgb="FFFF0000"/>
      </right>
      <top style="hair"/>
      <bottom style="hair"/>
    </border>
    <border>
      <left>
        <color indexed="63"/>
      </left>
      <right style="medium">
        <color rgb="FFFF0000"/>
      </right>
      <top style="hair"/>
      <bottom style="hair"/>
    </border>
    <border>
      <left style="medium">
        <color rgb="FFFF0000"/>
      </left>
      <right style="thin"/>
      <top style="hair"/>
      <bottom style="medium">
        <color rgb="FFFF0000"/>
      </bottom>
    </border>
    <border>
      <left style="thin"/>
      <right style="medium"/>
      <top style="hair"/>
      <bottom style="medium">
        <color rgb="FFFF0000"/>
      </bottom>
    </border>
    <border>
      <left>
        <color indexed="63"/>
      </left>
      <right style="thin"/>
      <top style="hair"/>
      <bottom style="medium">
        <color rgb="FFFF0000"/>
      </bottom>
    </border>
    <border>
      <left style="thin"/>
      <right style="thin"/>
      <top style="hair"/>
      <bottom style="medium">
        <color rgb="FFFF0000"/>
      </bottom>
    </border>
    <border>
      <left style="medium"/>
      <right style="medium"/>
      <top style="hair"/>
      <bottom style="medium">
        <color rgb="FFFF0000"/>
      </bottom>
    </border>
    <border>
      <left>
        <color indexed="63"/>
      </left>
      <right>
        <color indexed="63"/>
      </right>
      <top style="hair"/>
      <bottom style="medium">
        <color rgb="FFFF0000"/>
      </bottom>
    </border>
    <border>
      <left style="thin"/>
      <right>
        <color indexed="63"/>
      </right>
      <top style="hair"/>
      <bottom style="medium">
        <color rgb="FFFF0000"/>
      </bottom>
    </border>
    <border>
      <left style="medium"/>
      <right style="thin"/>
      <top style="hair"/>
      <bottom style="medium">
        <color rgb="FFFF0000"/>
      </bottom>
    </border>
    <border>
      <left style="medium"/>
      <right style="medium">
        <color rgb="FFFF0000"/>
      </right>
      <top style="hair"/>
      <bottom style="medium">
        <color rgb="FFFF0000"/>
      </bottom>
    </border>
    <border>
      <left>
        <color indexed="63"/>
      </left>
      <right style="thick"/>
      <top>
        <color indexed="63"/>
      </top>
      <bottom>
        <color indexed="63"/>
      </bottom>
    </border>
    <border>
      <left style="thin"/>
      <right style="thin"/>
      <top style="thin"/>
      <bottom style="thin"/>
    </border>
    <border>
      <left style="thin"/>
      <right style="medium"/>
      <top style="thin"/>
      <bottom style="thin"/>
    </border>
    <border>
      <left style="medium"/>
      <right style="medium">
        <color rgb="FFFF0000"/>
      </right>
      <top style="medium">
        <color rgb="FFFF0000"/>
      </top>
      <bottom style="hair"/>
    </border>
    <border>
      <left style="thin"/>
      <right style="thin"/>
      <top style="medium"/>
      <bottom style="medium"/>
    </border>
    <border>
      <left style="thin"/>
      <right style="medium"/>
      <top style="medium"/>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ck">
        <color indexed="10"/>
      </left>
      <right style="thin"/>
      <top>
        <color indexed="63"/>
      </top>
      <bottom style="hair"/>
    </border>
    <border>
      <left style="medium"/>
      <right style="thick">
        <color indexed="10"/>
      </right>
      <top>
        <color indexed="63"/>
      </top>
      <bottom style="hair"/>
    </border>
    <border>
      <left style="thin"/>
      <right style="thick">
        <color indexed="10"/>
      </right>
      <top>
        <color indexed="63"/>
      </top>
      <bottom style="hair"/>
    </border>
    <border>
      <left style="thick"/>
      <right style="thin"/>
      <top style="hair"/>
      <bottom style="thick">
        <color rgb="FFFF0000"/>
      </bottom>
    </border>
    <border>
      <left style="thin"/>
      <right style="thin"/>
      <top style="hair"/>
      <bottom style="thick">
        <color rgb="FFFF0000"/>
      </bottom>
    </border>
    <border>
      <left style="thin"/>
      <right>
        <color indexed="63"/>
      </right>
      <top style="hair"/>
      <bottom style="thick">
        <color rgb="FFFF0000"/>
      </bottom>
    </border>
    <border>
      <left style="medium"/>
      <right style="thick"/>
      <top style="hair"/>
      <bottom style="thick">
        <color rgb="FFFF0000"/>
      </bottom>
    </border>
    <border>
      <left style="thin"/>
      <right style="medium"/>
      <top style="hair"/>
      <bottom style="thick">
        <color rgb="FFFF0000"/>
      </bottom>
    </border>
    <border>
      <left style="medium"/>
      <right style="thin"/>
      <top style="hair"/>
      <bottom style="thick">
        <color rgb="FFFF0000"/>
      </bottom>
    </border>
    <border>
      <left>
        <color indexed="63"/>
      </left>
      <right style="thin"/>
      <top style="hair"/>
      <bottom style="thick">
        <color rgb="FFFF0000"/>
      </bottom>
    </border>
    <border>
      <left style="thin"/>
      <right style="thick"/>
      <top style="hair"/>
      <bottom style="thick">
        <color rgb="FFFF0000"/>
      </bottom>
    </border>
    <border>
      <left style="medium"/>
      <right style="thin"/>
      <top style="medium"/>
      <bottom style="thin"/>
    </border>
    <border>
      <left>
        <color indexed="63"/>
      </left>
      <right>
        <color indexed="63"/>
      </right>
      <top>
        <color indexed="63"/>
      </top>
      <bottom style="thin">
        <color rgb="FF000000"/>
      </bottom>
    </border>
    <border>
      <left style="medium">
        <color rgb="FF000000"/>
      </left>
      <right>
        <color indexed="63"/>
      </right>
      <top>
        <color indexed="63"/>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color indexed="63"/>
      </left>
      <right style="thin">
        <color indexed="8"/>
      </right>
      <top>
        <color indexed="63"/>
      </top>
      <bottom style="medium">
        <color rgb="FF000000"/>
      </bottom>
    </border>
    <border>
      <left>
        <color indexed="63"/>
      </left>
      <right style="medium">
        <color rgb="FF000000"/>
      </right>
      <top style="medium"/>
      <bottom style="thin"/>
    </border>
    <border>
      <left style="medium">
        <color rgb="FF000000"/>
      </left>
      <right>
        <color indexed="63"/>
      </right>
      <top style="medium"/>
      <bottom>
        <color indexed="63"/>
      </bottom>
    </border>
    <border>
      <left>
        <color indexed="63"/>
      </left>
      <right style="thin">
        <color indexed="8"/>
      </right>
      <top style="medium"/>
      <bottom style="thin"/>
    </border>
    <border>
      <left style="medium">
        <color rgb="FF000000"/>
      </left>
      <right style="thin">
        <color indexed="8"/>
      </right>
      <top style="thin"/>
      <bottom>
        <color indexed="63"/>
      </bottom>
    </border>
    <border>
      <left style="medium">
        <color rgb="FF000000"/>
      </left>
      <right style="thin">
        <color indexed="8"/>
      </right>
      <top>
        <color indexed="63"/>
      </top>
      <bottom>
        <color indexed="63"/>
      </bottom>
    </border>
    <border>
      <left style="medium">
        <color rgb="FF000000"/>
      </left>
      <right style="thin">
        <color indexed="8"/>
      </right>
      <top>
        <color indexed="63"/>
      </top>
      <bottom style="medium">
        <color rgb="FF000000"/>
      </bottom>
    </border>
    <border>
      <left style="thin">
        <color indexed="8"/>
      </left>
      <right style="thin">
        <color indexed="8"/>
      </right>
      <top style="thin"/>
      <bottom>
        <color indexed="63"/>
      </bottom>
    </border>
    <border>
      <left style="medium">
        <color rgb="FF000000"/>
      </left>
      <right>
        <color indexed="63"/>
      </right>
      <top style="medium"/>
      <bottom style="thin"/>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color indexed="63"/>
      </right>
      <top>
        <color indexed="63"/>
      </top>
      <bottom style="medium">
        <color rgb="FF000000"/>
      </bottom>
    </border>
    <border>
      <left style="thin">
        <color indexed="8"/>
      </left>
      <right style="thin">
        <color indexed="8"/>
      </right>
      <top>
        <color indexed="63"/>
      </top>
      <bottom style="medium">
        <color rgb="FF000000"/>
      </bottom>
    </border>
    <border>
      <left style="medium"/>
      <right style="thin">
        <color indexed="8"/>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medium"/>
    </border>
    <border>
      <left style="thin"/>
      <right>
        <color indexed="63"/>
      </right>
      <top style="medium"/>
      <bottom style="medium"/>
    </border>
    <border>
      <left>
        <color indexed="63"/>
      </left>
      <right style="thin"/>
      <top style="medium"/>
      <bottom style="medium"/>
    </border>
    <border>
      <left>
        <color indexed="63"/>
      </left>
      <right style="thin">
        <color rgb="FFFF0000"/>
      </right>
      <top>
        <color indexed="63"/>
      </top>
      <bottom>
        <color indexed="63"/>
      </bottom>
    </border>
    <border>
      <left>
        <color indexed="63"/>
      </left>
      <right style="thick"/>
      <top style="thick"/>
      <bottom>
        <color indexed="63"/>
      </bottom>
    </border>
    <border>
      <left>
        <color indexed="63"/>
      </left>
      <right style="thick"/>
      <top>
        <color indexed="63"/>
      </top>
      <bottom style="thick"/>
    </border>
    <border>
      <left style="medium"/>
      <right style="thin"/>
      <top style="thin">
        <color rgb="FFFF0000"/>
      </top>
      <bottom style="thin"/>
    </border>
    <border>
      <left style="thin"/>
      <right style="thin"/>
      <top style="thin">
        <color rgb="FFFF0000"/>
      </top>
      <bottom style="thin"/>
    </border>
    <border>
      <left style="thin"/>
      <right style="medium"/>
      <top style="thin">
        <color rgb="FFFF0000"/>
      </top>
      <bottom style="thin"/>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medium"/>
      <right style="thin">
        <color rgb="FFFF0000"/>
      </right>
      <top style="thin">
        <color rgb="FFFF0000"/>
      </top>
      <bottom>
        <color indexed="63"/>
      </bottom>
    </border>
    <border>
      <left style="medium"/>
      <right style="thin">
        <color rgb="FFFF0000"/>
      </right>
      <top>
        <color indexed="63"/>
      </top>
      <bottom style="thick"/>
    </border>
    <border>
      <left style="medium"/>
      <right style="thin"/>
      <top style="thick"/>
      <bottom style="thin"/>
    </border>
    <border>
      <left style="thin"/>
      <right style="thin"/>
      <top style="thick"/>
      <bottom style="thin"/>
    </border>
    <border>
      <left style="thin"/>
      <right style="medium"/>
      <top style="thick"/>
      <bottom style="thin"/>
    </border>
    <border>
      <left style="thin">
        <color rgb="FFFF0000"/>
      </left>
      <right style="thin"/>
      <top style="thin">
        <color rgb="FFFF0000"/>
      </top>
      <bottom>
        <color indexed="63"/>
      </bottom>
    </border>
    <border>
      <left style="thin">
        <color rgb="FFFF0000"/>
      </left>
      <right style="thin"/>
      <top>
        <color indexed="63"/>
      </top>
      <bottom style="thick"/>
    </border>
    <border>
      <left style="medium"/>
      <right>
        <color indexed="63"/>
      </right>
      <top style="thin">
        <color rgb="FFFF0000"/>
      </top>
      <bottom style="thin"/>
    </border>
    <border>
      <left>
        <color indexed="63"/>
      </left>
      <right>
        <color indexed="63"/>
      </right>
      <top style="thin">
        <color rgb="FFFF0000"/>
      </top>
      <bottom style="thin"/>
    </border>
    <border>
      <left>
        <color indexed="63"/>
      </left>
      <right style="medium"/>
      <top style="thin">
        <color rgb="FFFF0000"/>
      </top>
      <bottom style="thin"/>
    </border>
    <border>
      <left style="medium"/>
      <right>
        <color indexed="63"/>
      </right>
      <top style="thin">
        <color rgb="FFFF0000"/>
      </top>
      <bottom style="medium"/>
    </border>
    <border>
      <left>
        <color indexed="63"/>
      </left>
      <right style="medium"/>
      <top style="thin">
        <color rgb="FFFF0000"/>
      </top>
      <bottom style="medium"/>
    </border>
    <border>
      <left style="thin"/>
      <right style="medium"/>
      <top style="thin">
        <color rgb="FFFF0000"/>
      </top>
      <bottom>
        <color indexed="63"/>
      </bottom>
    </border>
    <border>
      <left style="medium">
        <color rgb="FF000000"/>
      </left>
      <right>
        <color indexed="63"/>
      </right>
      <top style="medium">
        <color rgb="FF000000"/>
      </top>
      <bottom style="medium"/>
    </border>
    <border>
      <left>
        <color indexed="63"/>
      </left>
      <right>
        <color indexed="63"/>
      </right>
      <top style="medium">
        <color rgb="FF000000"/>
      </top>
      <bottom style="medium"/>
    </border>
    <border>
      <left>
        <color indexed="63"/>
      </left>
      <right style="medium">
        <color rgb="FF000000"/>
      </right>
      <top style="medium">
        <color rgb="FF000000"/>
      </top>
      <bottom style="mediu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ck"/>
      <right>
        <color indexed="63"/>
      </right>
      <top>
        <color indexed="63"/>
      </top>
      <bottom style="thin"/>
    </border>
    <border>
      <left>
        <color indexed="63"/>
      </left>
      <right style="thick"/>
      <top>
        <color indexed="63"/>
      </top>
      <bottom style="thin"/>
    </border>
    <border>
      <left>
        <color indexed="63"/>
      </left>
      <right>
        <color indexed="63"/>
      </right>
      <top style="thin"/>
      <bottom>
        <color indexed="63"/>
      </bottom>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style="thick"/>
      <top style="thin"/>
      <bottom style="thick"/>
    </border>
    <border>
      <left>
        <color indexed="63"/>
      </left>
      <right>
        <color indexed="63"/>
      </right>
      <top style="medium"/>
      <bottom style="thin"/>
    </border>
    <border>
      <left style="thin"/>
      <right>
        <color indexed="63"/>
      </right>
      <top style="medium"/>
      <bottom>
        <color indexed="63"/>
      </bottom>
    </border>
    <border>
      <left style="thin"/>
      <right>
        <color indexed="63"/>
      </right>
      <top style="thin"/>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style="thin"/>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7" fillId="0" borderId="0" applyNumberFormat="0" applyFill="0" applyBorder="0" applyAlignment="0" applyProtection="0"/>
    <xf numFmtId="0" fontId="3"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11"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192" fontId="0" fillId="0" borderId="0" applyFont="0" applyFill="0" applyBorder="0" applyAlignment="0" applyProtection="0"/>
    <xf numFmtId="0" fontId="0" fillId="0" borderId="9" applyNumberFormat="0" applyFont="0" applyFill="0" applyAlignment="0" applyProtection="0"/>
    <xf numFmtId="0" fontId="0" fillId="0" borderId="10" applyNumberFormat="0" applyFont="0" applyFill="0" applyAlignment="0" applyProtection="0"/>
    <xf numFmtId="0" fontId="0" fillId="0" borderId="11" applyNumberFormat="0" applyFont="0" applyFill="0" applyAlignment="0" applyProtection="0"/>
    <xf numFmtId="0" fontId="0" fillId="0" borderId="12" applyNumberFormat="0" applyFont="0" applyFill="0" applyAlignment="0" applyProtection="0"/>
    <xf numFmtId="0" fontId="0" fillId="0" borderId="13" applyNumberFormat="0" applyFont="0" applyFill="0" applyAlignment="0" applyProtection="0"/>
    <xf numFmtId="0" fontId="0" fillId="33" borderId="0" applyNumberFormat="0" applyFont="0" applyBorder="0" applyAlignment="0" applyProtection="0"/>
    <xf numFmtId="0" fontId="0" fillId="0" borderId="14" applyNumberFormat="0" applyFont="0" applyFill="0" applyAlignment="0" applyProtection="0"/>
    <xf numFmtId="0" fontId="0" fillId="0" borderId="15" applyNumberFormat="0" applyFont="0" applyFill="0" applyAlignment="0" applyProtection="0"/>
    <xf numFmtId="46" fontId="0" fillId="0" borderId="0" applyFont="0" applyFill="0" applyBorder="0" applyAlignment="0" applyProtection="0"/>
    <xf numFmtId="0" fontId="14" fillId="0" borderId="0" applyNumberFormat="0" applyFill="0" applyBorder="0" applyAlignment="0" applyProtection="0"/>
    <xf numFmtId="0" fontId="0" fillId="0" borderId="16" applyNumberFormat="0" applyFont="0" applyFill="0" applyAlignment="0" applyProtection="0"/>
    <xf numFmtId="0" fontId="0" fillId="0" borderId="17" applyNumberFormat="0" applyFont="0" applyFill="0" applyAlignment="0" applyProtection="0"/>
    <xf numFmtId="0" fontId="0" fillId="0" borderId="18" applyNumberFormat="0" applyFont="0" applyFill="0" applyAlignment="0" applyProtection="0"/>
    <xf numFmtId="0" fontId="0" fillId="0" borderId="19" applyNumberFormat="0" applyFont="0" applyFill="0" applyAlignment="0" applyProtection="0"/>
    <xf numFmtId="0" fontId="0" fillId="0" borderId="18" applyNumberFormat="0" applyFont="0" applyFill="0" applyAlignment="0" applyProtection="0"/>
    <xf numFmtId="0" fontId="0" fillId="0" borderId="0" applyNumberFormat="0" applyFont="0" applyFill="0" applyBorder="0" applyProtection="0">
      <alignment horizontal="center"/>
    </xf>
    <xf numFmtId="0" fontId="9"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Protection="0">
      <alignment horizontal="left"/>
    </xf>
    <xf numFmtId="0" fontId="0" fillId="33" borderId="0" applyNumberFormat="0" applyFon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0" fillId="0" borderId="20" applyNumberFormat="0" applyFont="0" applyFill="0" applyAlignment="0" applyProtection="0"/>
    <xf numFmtId="0" fontId="0" fillId="0" borderId="21" applyNumberFormat="0" applyFont="0" applyFill="0" applyAlignment="0" applyProtection="0"/>
    <xf numFmtId="191" fontId="0" fillId="0" borderId="0" applyFont="0" applyFill="0" applyBorder="0" applyAlignment="0" applyProtection="0"/>
    <xf numFmtId="0" fontId="0" fillId="0" borderId="22" applyNumberFormat="0" applyFont="0" applyFill="0" applyAlignment="0" applyProtection="0"/>
    <xf numFmtId="0" fontId="0" fillId="0" borderId="23" applyNumberFormat="0" applyFont="0" applyFill="0" applyAlignment="0" applyProtection="0"/>
    <xf numFmtId="0" fontId="0" fillId="0" borderId="24" applyNumberFormat="0" applyFont="0" applyFill="0" applyAlignment="0" applyProtection="0"/>
    <xf numFmtId="0" fontId="0" fillId="0" borderId="25" applyNumberFormat="0" applyFont="0" applyFill="0" applyAlignment="0" applyProtection="0"/>
    <xf numFmtId="0" fontId="0" fillId="0" borderId="26" applyNumberFormat="0" applyFont="0" applyFill="0" applyAlignment="0" applyProtection="0"/>
    <xf numFmtId="0" fontId="96" fillId="0" borderId="0" applyNumberFormat="0" applyFill="0" applyBorder="0" applyAlignment="0" applyProtection="0"/>
    <xf numFmtId="0" fontId="97" fillId="0" borderId="27" applyNumberFormat="0" applyFill="0" applyAlignment="0" applyProtection="0"/>
    <xf numFmtId="0" fontId="98" fillId="0" borderId="0" applyNumberFormat="0" applyFill="0" applyBorder="0" applyAlignment="0" applyProtection="0"/>
  </cellStyleXfs>
  <cellXfs count="1020">
    <xf numFmtId="0" fontId="0" fillId="0" borderId="0" xfId="0" applyAlignment="1">
      <alignment/>
    </xf>
    <xf numFmtId="0" fontId="19" fillId="33" borderId="0" xfId="66" applyFont="1" applyFill="1" applyBorder="1">
      <alignment/>
      <protection/>
    </xf>
    <xf numFmtId="0" fontId="11" fillId="33" borderId="0" xfId="66" applyFill="1" applyBorder="1">
      <alignment/>
      <protection/>
    </xf>
    <xf numFmtId="0" fontId="11" fillId="34" borderId="0" xfId="66" applyFill="1" applyBorder="1">
      <alignment/>
      <protection/>
    </xf>
    <xf numFmtId="0" fontId="11" fillId="35" borderId="0" xfId="66" applyFill="1" applyBorder="1">
      <alignment/>
      <protection/>
    </xf>
    <xf numFmtId="0" fontId="11" fillId="36" borderId="0" xfId="66" applyFill="1" applyBorder="1">
      <alignment/>
      <protection/>
    </xf>
    <xf numFmtId="0" fontId="1" fillId="0" borderId="0" xfId="61" applyFont="1">
      <alignment/>
      <protection/>
    </xf>
    <xf numFmtId="0" fontId="0" fillId="0" borderId="0" xfId="61">
      <alignment/>
      <protection/>
    </xf>
    <xf numFmtId="0" fontId="0" fillId="0" borderId="0" xfId="61" applyAlignment="1">
      <alignment vertical="top"/>
      <protection/>
    </xf>
    <xf numFmtId="0" fontId="0" fillId="0" borderId="0" xfId="61" applyAlignment="1">
      <alignment wrapText="1"/>
      <protection/>
    </xf>
    <xf numFmtId="0" fontId="1" fillId="34" borderId="0" xfId="63" applyFont="1" applyFill="1" applyBorder="1" applyAlignment="1" applyProtection="1">
      <alignment horizontal="center" vertical="center" wrapText="1"/>
      <protection locked="0"/>
    </xf>
    <xf numFmtId="0" fontId="8" fillId="34" borderId="0" xfId="65" applyFont="1" applyFill="1" applyBorder="1" applyAlignment="1" applyProtection="1">
      <alignment vertical="center"/>
      <protection locked="0"/>
    </xf>
    <xf numFmtId="177" fontId="8" fillId="34" borderId="0" xfId="65" applyNumberFormat="1" applyFont="1" applyFill="1" applyBorder="1" applyAlignment="1" applyProtection="1">
      <alignment vertical="center"/>
      <protection locked="0"/>
    </xf>
    <xf numFmtId="1" fontId="8" fillId="34" borderId="0" xfId="65" applyNumberFormat="1" applyFont="1" applyFill="1" applyBorder="1" applyAlignment="1" applyProtection="1">
      <alignment vertical="center"/>
      <protection locked="0"/>
    </xf>
    <xf numFmtId="0" fontId="8" fillId="34" borderId="0" xfId="65" applyFont="1" applyFill="1" applyBorder="1" applyAlignment="1" applyProtection="1">
      <alignment vertical="center" wrapText="1"/>
      <protection locked="0"/>
    </xf>
    <xf numFmtId="9" fontId="1" fillId="34" borderId="0" xfId="63" applyNumberFormat="1" applyFont="1" applyFill="1" applyBorder="1" applyAlignment="1" applyProtection="1">
      <alignment horizontal="center" vertical="center"/>
      <protection locked="0"/>
    </xf>
    <xf numFmtId="0" fontId="5" fillId="34" borderId="0" xfId="65" applyFont="1" applyFill="1" applyBorder="1" applyAlignment="1" applyProtection="1">
      <alignment horizontal="center" vertical="center" wrapText="1"/>
      <protection locked="0"/>
    </xf>
    <xf numFmtId="0" fontId="8" fillId="34" borderId="28" xfId="64" applyFont="1" applyFill="1" applyBorder="1" applyAlignment="1" applyProtection="1">
      <alignment horizontal="center" vertical="center" wrapText="1"/>
      <protection locked="0"/>
    </xf>
    <xf numFmtId="0" fontId="8" fillId="34" borderId="29" xfId="64" applyFont="1" applyFill="1" applyBorder="1" applyAlignment="1" applyProtection="1">
      <alignment horizontal="center" vertical="center" wrapText="1"/>
      <protection locked="0"/>
    </xf>
    <xf numFmtId="0" fontId="8" fillId="34" borderId="30" xfId="64" applyFont="1" applyFill="1" applyBorder="1" applyAlignment="1" applyProtection="1">
      <alignment horizontal="center" vertical="center" wrapText="1"/>
      <protection locked="0"/>
    </xf>
    <xf numFmtId="177" fontId="8" fillId="34" borderId="28" xfId="69" applyNumberFormat="1" applyFont="1" applyFill="1" applyBorder="1" applyAlignment="1" applyProtection="1">
      <alignment horizontal="center" vertical="center" wrapText="1"/>
      <protection locked="0"/>
    </xf>
    <xf numFmtId="177" fontId="8" fillId="34" borderId="29" xfId="69" applyNumberFormat="1" applyFont="1" applyFill="1" applyBorder="1" applyAlignment="1" applyProtection="1">
      <alignment horizontal="center" vertical="center" wrapText="1"/>
      <protection locked="0"/>
    </xf>
    <xf numFmtId="49" fontId="8" fillId="35" borderId="31" xfId="46" applyNumberFormat="1" applyFont="1" applyFill="1" applyBorder="1" applyAlignment="1" applyProtection="1">
      <alignment horizontal="center" vertical="center" wrapText="1"/>
      <protection locked="0"/>
    </xf>
    <xf numFmtId="49" fontId="8" fillId="35" borderId="29" xfId="65" applyNumberFormat="1" applyFont="1" applyFill="1" applyBorder="1" applyAlignment="1" applyProtection="1">
      <alignment horizontal="center" vertical="center" wrapText="1"/>
      <protection locked="0"/>
    </xf>
    <xf numFmtId="49" fontId="8" fillId="35" borderId="32" xfId="65" applyNumberFormat="1" applyFont="1" applyFill="1" applyBorder="1" applyAlignment="1" applyProtection="1">
      <alignment horizontal="center" vertical="center" wrapText="1"/>
      <protection locked="0"/>
    </xf>
    <xf numFmtId="44" fontId="8" fillId="34" borderId="33" xfId="65" applyNumberFormat="1" applyFont="1" applyFill="1" applyBorder="1" applyAlignment="1" applyProtection="1">
      <alignment horizontal="center" vertical="center" wrapText="1"/>
      <protection locked="0"/>
    </xf>
    <xf numFmtId="7" fontId="5" fillId="34" borderId="0" xfId="65" applyNumberFormat="1" applyFont="1" applyFill="1" applyBorder="1" applyAlignment="1" applyProtection="1">
      <alignment vertical="center"/>
      <protection locked="0"/>
    </xf>
    <xf numFmtId="0" fontId="5" fillId="34" borderId="0" xfId="65" applyFont="1" applyFill="1" applyBorder="1" applyAlignment="1" applyProtection="1">
      <alignment vertical="center"/>
      <protection locked="0"/>
    </xf>
    <xf numFmtId="0" fontId="5" fillId="35" borderId="34" xfId="64" applyFont="1" applyFill="1" applyBorder="1" applyAlignment="1" applyProtection="1">
      <alignment horizontal="center" vertical="center" wrapText="1"/>
      <protection locked="0"/>
    </xf>
    <xf numFmtId="0" fontId="5" fillId="36" borderId="35" xfId="60" applyFont="1" applyFill="1" applyBorder="1" applyAlignment="1" applyProtection="1">
      <alignment horizontal="center" vertical="center" wrapText="1"/>
      <protection locked="0"/>
    </xf>
    <xf numFmtId="0" fontId="5" fillId="35" borderId="36" xfId="64" applyFont="1" applyFill="1" applyBorder="1" applyAlignment="1" applyProtection="1">
      <alignment vertical="center" wrapText="1"/>
      <protection locked="0"/>
    </xf>
    <xf numFmtId="0" fontId="5" fillId="35" borderId="34" xfId="64" applyFont="1" applyFill="1" applyBorder="1" applyAlignment="1" applyProtection="1">
      <alignment vertical="center" wrapText="1"/>
      <protection locked="0"/>
    </xf>
    <xf numFmtId="6" fontId="5" fillId="36" borderId="34" xfId="65" applyNumberFormat="1" applyFont="1" applyFill="1" applyBorder="1" applyAlignment="1" applyProtection="1">
      <alignment horizontal="right" vertical="center" wrapText="1" shrinkToFit="1"/>
      <protection locked="0"/>
    </xf>
    <xf numFmtId="6" fontId="5" fillId="36" borderId="35" xfId="65" applyNumberFormat="1" applyFont="1" applyFill="1" applyBorder="1" applyAlignment="1" applyProtection="1">
      <alignment horizontal="right" vertical="center" wrapText="1"/>
      <protection locked="0"/>
    </xf>
    <xf numFmtId="6" fontId="5" fillId="36" borderId="37" xfId="65" applyNumberFormat="1" applyFont="1" applyFill="1" applyBorder="1" applyAlignment="1" applyProtection="1">
      <alignment horizontal="right" vertical="center" wrapText="1"/>
      <protection locked="0"/>
    </xf>
    <xf numFmtId="6" fontId="5" fillId="36" borderId="34" xfId="65" applyNumberFormat="1" applyFont="1" applyFill="1" applyBorder="1" applyAlignment="1" applyProtection="1">
      <alignment horizontal="right" vertical="center" wrapText="1"/>
      <protection locked="0"/>
    </xf>
    <xf numFmtId="6" fontId="5" fillId="36" borderId="38" xfId="65" applyNumberFormat="1" applyFont="1" applyFill="1" applyBorder="1" applyAlignment="1" applyProtection="1">
      <alignment horizontal="right" vertical="center" wrapText="1"/>
      <protection locked="0"/>
    </xf>
    <xf numFmtId="6" fontId="5" fillId="36" borderId="39" xfId="65" applyNumberFormat="1" applyFont="1" applyFill="1" applyBorder="1" applyAlignment="1" applyProtection="1">
      <alignment horizontal="right" vertical="center"/>
      <protection locked="0"/>
    </xf>
    <xf numFmtId="0" fontId="5" fillId="34" borderId="40" xfId="60" applyFont="1" applyFill="1" applyBorder="1" applyAlignment="1" applyProtection="1">
      <alignment vertical="center" wrapText="1"/>
      <protection locked="0"/>
    </xf>
    <xf numFmtId="6" fontId="5" fillId="36" borderId="41" xfId="65" applyNumberFormat="1" applyFont="1" applyFill="1" applyBorder="1" applyAlignment="1" applyProtection="1">
      <alignment horizontal="right" vertical="center" wrapText="1"/>
      <protection locked="0"/>
    </xf>
    <xf numFmtId="6" fontId="5" fillId="34" borderId="34" xfId="65" applyNumberFormat="1" applyFont="1" applyFill="1" applyBorder="1" applyAlignment="1" applyProtection="1">
      <alignment horizontal="right" vertical="center" wrapText="1"/>
      <protection locked="0"/>
    </xf>
    <xf numFmtId="6" fontId="5" fillId="34" borderId="38" xfId="65" applyNumberFormat="1" applyFont="1" applyFill="1" applyBorder="1" applyAlignment="1" applyProtection="1">
      <alignment horizontal="right" vertical="center" wrapText="1"/>
      <protection locked="0"/>
    </xf>
    <xf numFmtId="6" fontId="5" fillId="36" borderId="42" xfId="65" applyNumberFormat="1" applyFont="1" applyFill="1" applyBorder="1" applyAlignment="1" applyProtection="1">
      <alignment horizontal="right" vertical="center"/>
      <protection locked="0"/>
    </xf>
    <xf numFmtId="6" fontId="5" fillId="36" borderId="43" xfId="65" applyNumberFormat="1" applyFont="1" applyFill="1" applyBorder="1" applyAlignment="1" applyProtection="1">
      <alignment horizontal="right" vertical="center" wrapText="1"/>
      <protection locked="0"/>
    </xf>
    <xf numFmtId="6" fontId="5" fillId="34" borderId="44" xfId="65" applyNumberFormat="1" applyFont="1" applyFill="1" applyBorder="1" applyAlignment="1" applyProtection="1">
      <alignment horizontal="right" vertical="center" wrapText="1"/>
      <protection locked="0"/>
    </xf>
    <xf numFmtId="6" fontId="5" fillId="34" borderId="45" xfId="65" applyNumberFormat="1" applyFont="1" applyFill="1" applyBorder="1" applyAlignment="1" applyProtection="1">
      <alignment horizontal="right" vertical="center" wrapText="1"/>
      <protection locked="0"/>
    </xf>
    <xf numFmtId="6" fontId="5" fillId="36" borderId="46" xfId="65" applyNumberFormat="1" applyFont="1" applyFill="1" applyBorder="1" applyAlignment="1" applyProtection="1">
      <alignment horizontal="right" vertical="center"/>
      <protection locked="0"/>
    </xf>
    <xf numFmtId="0" fontId="5" fillId="34" borderId="0" xfId="64" applyFont="1" applyFill="1" applyBorder="1" applyAlignment="1" applyProtection="1">
      <alignment vertical="center" wrapText="1"/>
      <protection locked="0"/>
    </xf>
    <xf numFmtId="0" fontId="5" fillId="34" borderId="0" xfId="64" applyFont="1" applyFill="1" applyBorder="1" applyAlignment="1" applyProtection="1">
      <alignment horizontal="center" vertical="center" wrapText="1"/>
      <protection locked="0"/>
    </xf>
    <xf numFmtId="0" fontId="0" fillId="34" borderId="0" xfId="64" applyFont="1" applyFill="1" applyBorder="1" applyAlignment="1" applyProtection="1">
      <alignment vertical="center" wrapText="1"/>
      <protection locked="0"/>
    </xf>
    <xf numFmtId="0" fontId="0" fillId="34" borderId="0" xfId="65" applyFont="1" applyFill="1" applyBorder="1" applyAlignment="1" applyProtection="1">
      <alignment horizontal="center" vertical="center" wrapText="1"/>
      <protection locked="0"/>
    </xf>
    <xf numFmtId="0" fontId="0" fillId="34" borderId="0" xfId="64" applyFont="1" applyFill="1" applyBorder="1" applyAlignment="1" applyProtection="1">
      <alignment horizontal="center" vertical="center" wrapText="1"/>
      <protection locked="0"/>
    </xf>
    <xf numFmtId="1" fontId="8" fillId="34" borderId="0" xfId="65" applyNumberFormat="1" applyFont="1" applyFill="1" applyBorder="1" applyAlignment="1" applyProtection="1">
      <alignment horizontal="center" vertical="center" wrapText="1"/>
      <protection locked="0"/>
    </xf>
    <xf numFmtId="0" fontId="8" fillId="34" borderId="0" xfId="64" applyFont="1" applyFill="1" applyBorder="1" applyAlignment="1" applyProtection="1">
      <alignment horizontal="center" vertical="center" textRotation="90" wrapText="1"/>
      <protection locked="0"/>
    </xf>
    <xf numFmtId="0" fontId="0" fillId="0" borderId="47" xfId="61" applyBorder="1">
      <alignment/>
      <protection/>
    </xf>
    <xf numFmtId="0" fontId="0" fillId="0" borderId="0" xfId="61" applyBorder="1">
      <alignment/>
      <protection/>
    </xf>
    <xf numFmtId="0" fontId="0" fillId="0" borderId="48" xfId="61" applyBorder="1">
      <alignment/>
      <protection/>
    </xf>
    <xf numFmtId="0" fontId="0" fillId="0" borderId="49" xfId="61" applyBorder="1">
      <alignment/>
      <protection/>
    </xf>
    <xf numFmtId="0" fontId="0" fillId="0" borderId="50" xfId="61" applyBorder="1">
      <alignment/>
      <protection/>
    </xf>
    <xf numFmtId="0" fontId="10" fillId="0" borderId="0" xfId="62" applyFont="1">
      <alignment/>
      <protection/>
    </xf>
    <xf numFmtId="0" fontId="13" fillId="0" borderId="0" xfId="62" applyFont="1">
      <alignment/>
      <protection/>
    </xf>
    <xf numFmtId="0" fontId="4" fillId="0" borderId="0" xfId="62" applyFont="1" applyBorder="1" applyAlignment="1">
      <alignment/>
      <protection/>
    </xf>
    <xf numFmtId="0" fontId="4" fillId="0" borderId="0" xfId="62" applyFont="1" applyBorder="1" applyAlignment="1">
      <alignment horizontal="center"/>
      <protection/>
    </xf>
    <xf numFmtId="0" fontId="4" fillId="0" borderId="0" xfId="62" applyFont="1" applyBorder="1" applyAlignment="1">
      <alignment horizontal="left" vertical="center"/>
      <protection/>
    </xf>
    <xf numFmtId="0" fontId="4" fillId="0" borderId="0" xfId="62" applyFont="1" applyBorder="1" applyAlignment="1">
      <alignment horizontal="left" vertical="center" wrapText="1"/>
      <protection/>
    </xf>
    <xf numFmtId="0" fontId="4" fillId="0" borderId="0" xfId="62" applyFont="1" applyBorder="1" applyAlignment="1">
      <alignment horizontal="center" vertical="center"/>
      <protection/>
    </xf>
    <xf numFmtId="0" fontId="4" fillId="0" borderId="0" xfId="62" applyFont="1" applyBorder="1" applyAlignment="1">
      <alignment vertical="center"/>
      <protection/>
    </xf>
    <xf numFmtId="0" fontId="4" fillId="0" borderId="0" xfId="62" applyFont="1" applyFill="1" applyBorder="1" applyAlignment="1">
      <alignment horizontal="center" vertical="center"/>
      <protection/>
    </xf>
    <xf numFmtId="0" fontId="5" fillId="34" borderId="0" xfId="0" applyFont="1" applyFill="1" applyBorder="1" applyAlignment="1">
      <alignment horizontal="center" vertical="center" wrapText="1"/>
    </xf>
    <xf numFmtId="0" fontId="24" fillId="34" borderId="0" xfId="0" applyFont="1" applyFill="1" applyAlignment="1">
      <alignment vertical="center" wrapText="1"/>
    </xf>
    <xf numFmtId="0" fontId="11" fillId="33" borderId="0" xfId="66" applyFont="1" applyFill="1" applyBorder="1">
      <alignment/>
      <protection/>
    </xf>
    <xf numFmtId="1" fontId="5" fillId="36" borderId="40" xfId="65" applyNumberFormat="1" applyFont="1" applyFill="1" applyBorder="1" applyAlignment="1" applyProtection="1">
      <alignment horizontal="right" vertical="center" wrapText="1"/>
      <protection locked="0"/>
    </xf>
    <xf numFmtId="0" fontId="0" fillId="0" borderId="51" xfId="61" applyBorder="1" applyAlignment="1">
      <alignment vertical="top"/>
      <protection/>
    </xf>
    <xf numFmtId="0" fontId="0" fillId="0" borderId="0" xfId="61" applyFont="1" applyBorder="1" applyAlignment="1">
      <alignment wrapText="1"/>
      <protection/>
    </xf>
    <xf numFmtId="0" fontId="0" fillId="0" borderId="0" xfId="61" applyBorder="1" applyAlignment="1">
      <alignment wrapText="1"/>
      <protection/>
    </xf>
    <xf numFmtId="0" fontId="0" fillId="0" borderId="52" xfId="61" applyBorder="1" applyAlignment="1">
      <alignment vertical="top"/>
      <protection/>
    </xf>
    <xf numFmtId="0" fontId="0" fillId="0" borderId="49" xfId="61" applyBorder="1" applyAlignment="1">
      <alignment wrapText="1"/>
      <protection/>
    </xf>
    <xf numFmtId="0" fontId="1" fillId="0" borderId="53" xfId="61" applyFont="1" applyBorder="1" applyAlignment="1">
      <alignment vertical="top"/>
      <protection/>
    </xf>
    <xf numFmtId="0" fontId="1" fillId="0" borderId="54" xfId="61" applyFont="1" applyBorder="1" applyAlignment="1">
      <alignment wrapText="1"/>
      <protection/>
    </xf>
    <xf numFmtId="0" fontId="1" fillId="0" borderId="51" xfId="61" applyFont="1" applyBorder="1" applyAlignment="1">
      <alignment vertical="top"/>
      <protection/>
    </xf>
    <xf numFmtId="0" fontId="1" fillId="0" borderId="52" xfId="61" applyFont="1" applyBorder="1" applyAlignment="1">
      <alignment vertical="top"/>
      <protection/>
    </xf>
    <xf numFmtId="0" fontId="1" fillId="0" borderId="53" xfId="61" applyFont="1" applyBorder="1">
      <alignment/>
      <protection/>
    </xf>
    <xf numFmtId="0" fontId="1" fillId="0" borderId="54" xfId="61" applyFont="1" applyBorder="1">
      <alignment/>
      <protection/>
    </xf>
    <xf numFmtId="0" fontId="1" fillId="0" borderId="47" xfId="61" applyFont="1" applyBorder="1">
      <alignment/>
      <protection/>
    </xf>
    <xf numFmtId="0" fontId="1" fillId="0" borderId="0" xfId="61" applyFont="1" applyBorder="1" applyAlignment="1">
      <alignment wrapText="1"/>
      <protection/>
    </xf>
    <xf numFmtId="17" fontId="0" fillId="0" borderId="0" xfId="61" applyNumberFormat="1" applyBorder="1">
      <alignment/>
      <protection/>
    </xf>
    <xf numFmtId="0" fontId="0" fillId="0" borderId="0" xfId="61" applyFont="1" applyBorder="1" applyAlignment="1" quotePrefix="1">
      <alignment wrapText="1"/>
      <protection/>
    </xf>
    <xf numFmtId="0" fontId="8" fillId="34" borderId="55" xfId="0" applyFont="1" applyFill="1" applyBorder="1" applyAlignment="1">
      <alignment horizontal="center" vertical="center"/>
    </xf>
    <xf numFmtId="0" fontId="5" fillId="35" borderId="35" xfId="65" applyFont="1" applyFill="1" applyBorder="1" applyAlignment="1" applyProtection="1">
      <alignment horizontal="center" vertical="center" wrapText="1"/>
      <protection locked="0"/>
    </xf>
    <xf numFmtId="0" fontId="5" fillId="35" borderId="56" xfId="65" applyFont="1" applyFill="1" applyBorder="1" applyAlignment="1" applyProtection="1">
      <alignment horizontal="center" vertical="center" wrapText="1"/>
      <protection locked="0"/>
    </xf>
    <xf numFmtId="0" fontId="8" fillId="34" borderId="0" xfId="65" applyFont="1" applyFill="1" applyBorder="1" applyAlignment="1" applyProtection="1">
      <alignment horizontal="center" vertical="center"/>
      <protection locked="0"/>
    </xf>
    <xf numFmtId="0" fontId="5" fillId="36" borderId="34" xfId="64" applyFont="1" applyFill="1" applyBorder="1" applyAlignment="1" applyProtection="1">
      <alignment horizontal="center" vertical="center" wrapText="1"/>
      <protection locked="0"/>
    </xf>
    <xf numFmtId="15" fontId="5" fillId="35" borderId="35" xfId="64" applyNumberFormat="1" applyFont="1" applyFill="1" applyBorder="1" applyAlignment="1" applyProtection="1">
      <alignment horizontal="center" vertical="center" wrapText="1"/>
      <protection locked="0"/>
    </xf>
    <xf numFmtId="0" fontId="5" fillId="0" borderId="0" xfId="62" applyFont="1">
      <alignment/>
      <protection/>
    </xf>
    <xf numFmtId="0" fontId="22" fillId="0" borderId="0" xfId="62" applyFont="1">
      <alignment/>
      <protection/>
    </xf>
    <xf numFmtId="1" fontId="5" fillId="36" borderId="34" xfId="65" applyNumberFormat="1" applyFont="1" applyFill="1" applyBorder="1" applyAlignment="1" applyProtection="1">
      <alignment horizontal="right" vertical="center" wrapText="1" shrinkToFit="1"/>
      <protection locked="0"/>
    </xf>
    <xf numFmtId="1" fontId="5" fillId="36" borderId="57" xfId="65" applyNumberFormat="1" applyFont="1" applyFill="1" applyBorder="1" applyAlignment="1" applyProtection="1">
      <alignment horizontal="right" vertical="center" wrapText="1"/>
      <protection locked="0"/>
    </xf>
    <xf numFmtId="0" fontId="0" fillId="0" borderId="51" xfId="61" applyFont="1" applyBorder="1" applyAlignment="1">
      <alignment vertical="top"/>
      <protection/>
    </xf>
    <xf numFmtId="0" fontId="0" fillId="0" borderId="0" xfId="61" applyFont="1" applyBorder="1">
      <alignment/>
      <protection/>
    </xf>
    <xf numFmtId="15" fontId="0" fillId="0" borderId="0" xfId="61" applyNumberFormat="1" applyFont="1" applyBorder="1">
      <alignment/>
      <protection/>
    </xf>
    <xf numFmtId="0" fontId="5" fillId="34" borderId="0" xfId="65" applyFont="1" applyFill="1" applyBorder="1" applyAlignment="1" applyProtection="1">
      <alignment horizontal="left" vertical="center" wrapText="1"/>
      <protection locked="0"/>
    </xf>
    <xf numFmtId="198" fontId="5" fillId="34" borderId="0" xfId="65" applyNumberFormat="1" applyFont="1" applyFill="1" applyBorder="1" applyAlignment="1" applyProtection="1">
      <alignment horizontal="left" vertical="center" wrapText="1"/>
      <protection locked="0"/>
    </xf>
    <xf numFmtId="0" fontId="10" fillId="34" borderId="58" xfId="65" applyFont="1" applyFill="1" applyBorder="1" applyAlignment="1" applyProtection="1">
      <alignment horizontal="center" vertical="center" wrapText="1"/>
      <protection locked="0"/>
    </xf>
    <xf numFmtId="0" fontId="8" fillId="34" borderId="59" xfId="64" applyFont="1" applyFill="1" applyBorder="1" applyAlignment="1" applyProtection="1">
      <alignment horizontal="center" vertical="center" wrapText="1"/>
      <protection locked="0"/>
    </xf>
    <xf numFmtId="1" fontId="8" fillId="34" borderId="29" xfId="64" applyNumberFormat="1" applyFont="1" applyFill="1" applyBorder="1" applyAlignment="1" applyProtection="1">
      <alignment horizontal="center" vertical="center" wrapText="1"/>
      <protection locked="0"/>
    </xf>
    <xf numFmtId="1" fontId="8" fillId="34" borderId="30" xfId="64" applyNumberFormat="1" applyFont="1" applyFill="1" applyBorder="1" applyAlignment="1" applyProtection="1">
      <alignment horizontal="center" vertical="center" wrapText="1"/>
      <protection locked="0"/>
    </xf>
    <xf numFmtId="0" fontId="0" fillId="34" borderId="0" xfId="61" applyFill="1" applyProtection="1">
      <alignment/>
      <protection/>
    </xf>
    <xf numFmtId="0" fontId="11" fillId="34" borderId="0" xfId="66" applyFill="1" applyProtection="1">
      <alignment/>
      <protection/>
    </xf>
    <xf numFmtId="0" fontId="0" fillId="34" borderId="0" xfId="61" applyFill="1" applyAlignment="1" applyProtection="1">
      <alignment horizontal="left"/>
      <protection/>
    </xf>
    <xf numFmtId="0" fontId="30" fillId="34" borderId="0" xfId="61" applyFont="1" applyFill="1" applyAlignment="1" applyProtection="1">
      <alignment horizontal="center" vertical="center"/>
      <protection/>
    </xf>
    <xf numFmtId="0" fontId="30" fillId="34" borderId="0" xfId="63" applyFont="1" applyFill="1" applyAlignment="1" applyProtection="1">
      <alignment horizontal="center" vertical="center" wrapText="1"/>
      <protection/>
    </xf>
    <xf numFmtId="0" fontId="0" fillId="34" borderId="0" xfId="63" applyFill="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1" fillId="34" borderId="0" xfId="63" applyFont="1" applyFill="1" applyBorder="1" applyAlignment="1" applyProtection="1">
      <alignment vertical="center"/>
      <protection/>
    </xf>
    <xf numFmtId="0" fontId="20" fillId="34" borderId="0" xfId="66" applyFont="1" applyFill="1" applyBorder="1" applyAlignment="1" applyProtection="1">
      <alignment horizontal="center" vertical="center" wrapText="1"/>
      <protection/>
    </xf>
    <xf numFmtId="0" fontId="0" fillId="34" borderId="0" xfId="63" applyFill="1" applyBorder="1" applyAlignment="1" applyProtection="1">
      <alignment vertical="center"/>
      <protection/>
    </xf>
    <xf numFmtId="0" fontId="0" fillId="34" borderId="0" xfId="61" applyFill="1" applyBorder="1" applyAlignment="1" applyProtection="1">
      <alignment/>
      <protection/>
    </xf>
    <xf numFmtId="0" fontId="0" fillId="34" borderId="0" xfId="61" applyFill="1" applyBorder="1" applyProtection="1">
      <alignment/>
      <protection/>
    </xf>
    <xf numFmtId="0" fontId="11" fillId="34" borderId="0" xfId="66" applyFill="1" applyBorder="1" applyProtection="1">
      <alignment/>
      <protection/>
    </xf>
    <xf numFmtId="0" fontId="23" fillId="34" borderId="0" xfId="66" applyFont="1" applyFill="1" applyBorder="1" applyAlignment="1" applyProtection="1">
      <alignment horizontal="center" vertical="center" wrapText="1"/>
      <protection/>
    </xf>
    <xf numFmtId="0" fontId="0" fillId="34" borderId="0" xfId="61" applyFill="1" applyBorder="1" applyAlignment="1" applyProtection="1">
      <alignment vertical="center"/>
      <protection/>
    </xf>
    <xf numFmtId="0" fontId="19" fillId="34" borderId="0" xfId="66" applyFont="1" applyFill="1" applyAlignment="1" applyProtection="1">
      <alignment vertical="center"/>
      <protection/>
    </xf>
    <xf numFmtId="0" fontId="11" fillId="34" borderId="0" xfId="66" applyFill="1" applyAlignment="1" applyProtection="1">
      <alignment vertical="center"/>
      <protection/>
    </xf>
    <xf numFmtId="0" fontId="0" fillId="34" borderId="0" xfId="61" applyFill="1" applyAlignment="1" applyProtection="1">
      <alignment horizontal="left" vertical="center"/>
      <protection/>
    </xf>
    <xf numFmtId="0" fontId="11" fillId="34" borderId="0" xfId="66" applyFill="1" applyBorder="1" applyAlignment="1" applyProtection="1">
      <alignment vertical="center"/>
      <protection/>
    </xf>
    <xf numFmtId="0" fontId="0" fillId="34" borderId="0" xfId="61" applyFill="1" applyAlignment="1" applyProtection="1">
      <alignment vertical="center"/>
      <protection/>
    </xf>
    <xf numFmtId="0" fontId="28" fillId="34" borderId="0" xfId="61" applyFont="1" applyFill="1" applyBorder="1" applyAlignment="1" applyProtection="1">
      <alignment/>
      <protection/>
    </xf>
    <xf numFmtId="0" fontId="1" fillId="34" borderId="0" xfId="63" applyFont="1" applyFill="1" applyBorder="1" applyAlignment="1" applyProtection="1">
      <alignment horizontal="center" vertical="center"/>
      <protection/>
    </xf>
    <xf numFmtId="0" fontId="28" fillId="34" borderId="0" xfId="61" applyFont="1" applyFill="1" applyBorder="1" applyAlignment="1" applyProtection="1">
      <alignment horizontal="center" vertical="center"/>
      <protection/>
    </xf>
    <xf numFmtId="0" fontId="29" fillId="34" borderId="0" xfId="66" applyFont="1" applyFill="1" applyBorder="1" applyAlignment="1" applyProtection="1">
      <alignment horizontal="center" vertical="center"/>
      <protection/>
    </xf>
    <xf numFmtId="0" fontId="0" fillId="34" borderId="0" xfId="61" applyFill="1" applyAlignment="1" applyProtection="1">
      <alignment/>
      <protection/>
    </xf>
    <xf numFmtId="0" fontId="11" fillId="34" borderId="0" xfId="66" applyFill="1" applyBorder="1" applyAlignment="1" applyProtection="1">
      <alignment/>
      <protection/>
    </xf>
    <xf numFmtId="0" fontId="19" fillId="34" borderId="0" xfId="66" applyFont="1" applyFill="1" applyBorder="1" applyAlignment="1" applyProtection="1">
      <alignment/>
      <protection/>
    </xf>
    <xf numFmtId="0" fontId="11" fillId="37" borderId="0" xfId="66" applyFill="1" applyBorder="1" applyAlignment="1" applyProtection="1">
      <alignment/>
      <protection/>
    </xf>
    <xf numFmtId="0" fontId="11" fillId="34" borderId="0" xfId="66" applyFill="1" applyBorder="1" applyAlignment="1" applyProtection="1">
      <alignment horizontal="left" vertical="center"/>
      <protection/>
    </xf>
    <xf numFmtId="0" fontId="11" fillId="38" borderId="0" xfId="66" applyFill="1" applyBorder="1" applyAlignment="1" applyProtection="1">
      <alignment/>
      <protection/>
    </xf>
    <xf numFmtId="0" fontId="11" fillId="39" borderId="0" xfId="66" applyFill="1" applyBorder="1" applyAlignment="1" applyProtection="1">
      <alignment/>
      <protection/>
    </xf>
    <xf numFmtId="0" fontId="11" fillId="34" borderId="0" xfId="66" applyFill="1" applyAlignment="1" applyProtection="1">
      <alignment horizontal="left"/>
      <protection/>
    </xf>
    <xf numFmtId="0" fontId="32" fillId="34" borderId="0" xfId="66" applyFont="1" applyFill="1" applyAlignment="1" applyProtection="1">
      <alignment vertical="center"/>
      <protection/>
    </xf>
    <xf numFmtId="177" fontId="8" fillId="34" borderId="0" xfId="65" applyNumberFormat="1" applyFont="1" applyFill="1" applyBorder="1" applyAlignment="1" applyProtection="1">
      <alignment horizontal="center" vertical="center"/>
      <protection locked="0"/>
    </xf>
    <xf numFmtId="0" fontId="8" fillId="34" borderId="60" xfId="66" applyFont="1" applyFill="1" applyBorder="1" applyAlignment="1">
      <alignment horizontal="center" vertical="center"/>
      <protection/>
    </xf>
    <xf numFmtId="0" fontId="5" fillId="34" borderId="61" xfId="60" applyFont="1" applyFill="1" applyBorder="1" applyAlignment="1" applyProtection="1">
      <alignment vertical="center" wrapText="1"/>
      <protection locked="0"/>
    </xf>
    <xf numFmtId="0" fontId="5" fillId="35" borderId="62" xfId="65" applyFont="1" applyFill="1" applyBorder="1" applyAlignment="1" applyProtection="1">
      <alignment horizontal="center" vertical="center" wrapText="1"/>
      <protection locked="0"/>
    </xf>
    <xf numFmtId="0" fontId="5" fillId="34" borderId="35" xfId="65" applyFont="1" applyFill="1" applyBorder="1" applyAlignment="1" applyProtection="1">
      <alignment horizontal="center" vertical="center"/>
      <protection locked="0"/>
    </xf>
    <xf numFmtId="6" fontId="8" fillId="34" borderId="0" xfId="65" applyNumberFormat="1" applyFont="1" applyFill="1" applyBorder="1" applyAlignment="1" applyProtection="1">
      <alignment vertical="center"/>
      <protection locked="0"/>
    </xf>
    <xf numFmtId="6" fontId="8" fillId="34" borderId="29" xfId="64" applyNumberFormat="1" applyFont="1" applyFill="1" applyBorder="1" applyAlignment="1" applyProtection="1">
      <alignment horizontal="center" vertical="center" wrapText="1"/>
      <protection locked="0"/>
    </xf>
    <xf numFmtId="6" fontId="5" fillId="35" borderId="34" xfId="64" applyNumberFormat="1" applyFont="1" applyFill="1" applyBorder="1" applyAlignment="1" applyProtection="1">
      <alignment horizontal="right" vertical="center" wrapText="1"/>
      <protection locked="0"/>
    </xf>
    <xf numFmtId="6" fontId="5" fillId="34" borderId="0" xfId="64" applyNumberFormat="1" applyFont="1" applyFill="1" applyBorder="1" applyAlignment="1" applyProtection="1">
      <alignment vertical="center" wrapText="1"/>
      <protection locked="0"/>
    </xf>
    <xf numFmtId="6" fontId="0" fillId="34" borderId="0" xfId="64" applyNumberFormat="1" applyFont="1" applyFill="1" applyBorder="1" applyAlignment="1" applyProtection="1">
      <alignment vertical="center" wrapText="1"/>
      <protection locked="0"/>
    </xf>
    <xf numFmtId="15" fontId="5" fillId="34" borderId="0" xfId="64" applyNumberFormat="1" applyFont="1" applyFill="1" applyBorder="1" applyAlignment="1" applyProtection="1">
      <alignment horizontal="center" vertical="center" wrapText="1"/>
      <protection locked="0"/>
    </xf>
    <xf numFmtId="15" fontId="0" fillId="34" borderId="0" xfId="64" applyNumberFormat="1" applyFont="1" applyFill="1" applyBorder="1" applyAlignment="1" applyProtection="1">
      <alignment horizontal="center" vertical="center" wrapText="1"/>
      <protection locked="0"/>
    </xf>
    <xf numFmtId="0" fontId="8" fillId="34" borderId="63" xfId="64" applyFont="1" applyFill="1" applyBorder="1" applyAlignment="1" applyProtection="1">
      <alignment horizontal="center" vertical="center" wrapText="1"/>
      <protection locked="0"/>
    </xf>
    <xf numFmtId="0" fontId="5" fillId="35" borderId="40" xfId="64" applyFont="1" applyFill="1" applyBorder="1" applyAlignment="1" applyProtection="1">
      <alignment horizontal="center" vertical="center" wrapText="1"/>
      <protection locked="0"/>
    </xf>
    <xf numFmtId="9" fontId="5" fillId="35" borderId="36" xfId="69" applyNumberFormat="1" applyFont="1" applyFill="1" applyBorder="1" applyAlignment="1" applyProtection="1">
      <alignment horizontal="center" vertical="center" wrapText="1"/>
      <protection locked="0"/>
    </xf>
    <xf numFmtId="9" fontId="5" fillId="34" borderId="0" xfId="69" applyNumberFormat="1" applyFont="1" applyFill="1" applyBorder="1" applyAlignment="1" applyProtection="1">
      <alignment horizontal="center" vertical="center" wrapText="1"/>
      <protection locked="0"/>
    </xf>
    <xf numFmtId="9" fontId="0" fillId="34" borderId="0" xfId="69" applyNumberFormat="1" applyFont="1" applyFill="1" applyBorder="1" applyAlignment="1" applyProtection="1">
      <alignment horizontal="center" vertical="center" wrapText="1"/>
      <protection locked="0"/>
    </xf>
    <xf numFmtId="0" fontId="8" fillId="34" borderId="64" xfId="64" applyFont="1" applyFill="1" applyBorder="1" applyAlignment="1" applyProtection="1">
      <alignment horizontal="center" vertical="center" wrapText="1"/>
      <protection locked="0"/>
    </xf>
    <xf numFmtId="177" fontId="8" fillId="34" borderId="64" xfId="69" applyNumberFormat="1" applyFont="1" applyFill="1" applyBorder="1" applyAlignment="1" applyProtection="1">
      <alignment horizontal="center" vertical="center" wrapText="1"/>
      <protection locked="0"/>
    </xf>
    <xf numFmtId="177" fontId="8" fillId="34" borderId="65" xfId="69" applyNumberFormat="1" applyFont="1" applyFill="1" applyBorder="1" applyAlignment="1" applyProtection="1">
      <alignment horizontal="center" vertical="center" wrapText="1"/>
      <protection locked="0"/>
    </xf>
    <xf numFmtId="0" fontId="0" fillId="34" borderId="0" xfId="65" applyFont="1" applyFill="1" applyBorder="1" applyAlignment="1" applyProtection="1">
      <alignment vertical="center"/>
      <protection locked="0"/>
    </xf>
    <xf numFmtId="0" fontId="0" fillId="34" borderId="0" xfId="65" applyFont="1" applyFill="1" applyBorder="1" applyAlignment="1" applyProtection="1">
      <alignment horizontal="center" vertical="center"/>
      <protection locked="0"/>
    </xf>
    <xf numFmtId="175" fontId="8" fillId="34" borderId="0" xfId="65" applyNumberFormat="1" applyFont="1" applyFill="1" applyBorder="1" applyAlignment="1" applyProtection="1">
      <alignment horizontal="center" vertical="center"/>
      <protection locked="0"/>
    </xf>
    <xf numFmtId="6" fontId="0" fillId="34" borderId="0" xfId="65" applyNumberFormat="1" applyFont="1" applyFill="1" applyBorder="1" applyAlignment="1" applyProtection="1">
      <alignment vertical="center"/>
      <protection locked="0"/>
    </xf>
    <xf numFmtId="177" fontId="0" fillId="34" borderId="0" xfId="65" applyNumberFormat="1" applyFont="1" applyFill="1" applyBorder="1" applyAlignment="1" applyProtection="1">
      <alignment vertical="center"/>
      <protection locked="0"/>
    </xf>
    <xf numFmtId="1" fontId="0" fillId="34" borderId="0" xfId="65" applyNumberFormat="1" applyFont="1" applyFill="1" applyBorder="1" applyAlignment="1" applyProtection="1">
      <alignment vertical="center"/>
      <protection locked="0"/>
    </xf>
    <xf numFmtId="0" fontId="5" fillId="34" borderId="0" xfId="65" applyFont="1" applyFill="1" applyBorder="1" applyAlignment="1" applyProtection="1">
      <alignment horizontal="center" vertical="center"/>
      <protection locked="0"/>
    </xf>
    <xf numFmtId="177" fontId="5" fillId="34" borderId="0" xfId="65" applyNumberFormat="1" applyFont="1" applyFill="1" applyBorder="1" applyAlignment="1" applyProtection="1">
      <alignment vertical="center"/>
      <protection locked="0"/>
    </xf>
    <xf numFmtId="6" fontId="5" fillId="34" borderId="0" xfId="65" applyNumberFormat="1" applyFont="1" applyFill="1" applyBorder="1" applyAlignment="1" applyProtection="1">
      <alignment vertical="center"/>
      <protection locked="0"/>
    </xf>
    <xf numFmtId="177" fontId="5" fillId="34" borderId="0" xfId="65" applyNumberFormat="1" applyFont="1" applyFill="1" applyBorder="1" applyAlignment="1" applyProtection="1">
      <alignment horizontal="center" vertical="center"/>
      <protection locked="0"/>
    </xf>
    <xf numFmtId="1" fontId="5" fillId="34" borderId="0" xfId="65" applyNumberFormat="1" applyFont="1" applyFill="1" applyBorder="1" applyAlignment="1" applyProtection="1">
      <alignment vertical="center"/>
      <protection locked="0"/>
    </xf>
    <xf numFmtId="0" fontId="0" fillId="34" borderId="0" xfId="63" applyFont="1" applyFill="1" applyBorder="1" applyAlignment="1" applyProtection="1">
      <alignment horizontal="center" vertical="center"/>
      <protection locked="0"/>
    </xf>
    <xf numFmtId="0" fontId="5" fillId="34" borderId="0" xfId="65" applyFont="1" applyFill="1" applyBorder="1" applyAlignment="1" applyProtection="1">
      <alignment vertical="center" wrapText="1"/>
      <protection locked="0"/>
    </xf>
    <xf numFmtId="177" fontId="5" fillId="34" borderId="0" xfId="65" applyNumberFormat="1" applyFont="1" applyFill="1" applyBorder="1" applyAlignment="1" applyProtection="1">
      <alignment vertical="center" wrapText="1"/>
      <protection locked="0"/>
    </xf>
    <xf numFmtId="6" fontId="5" fillId="34" borderId="0" xfId="65" applyNumberFormat="1" applyFont="1" applyFill="1" applyBorder="1" applyAlignment="1" applyProtection="1">
      <alignment vertical="center" wrapText="1"/>
      <protection locked="0"/>
    </xf>
    <xf numFmtId="177" fontId="5" fillId="34" borderId="0" xfId="65" applyNumberFormat="1" applyFont="1" applyFill="1" applyBorder="1" applyAlignment="1" applyProtection="1">
      <alignment horizontal="center" vertical="center" wrapText="1"/>
      <protection locked="0"/>
    </xf>
    <xf numFmtId="1" fontId="5" fillId="34" borderId="0" xfId="65" applyNumberFormat="1" applyFont="1" applyFill="1" applyBorder="1" applyAlignment="1" applyProtection="1">
      <alignment vertical="center" wrapText="1"/>
      <protection locked="0"/>
    </xf>
    <xf numFmtId="0" fontId="9" fillId="34" borderId="0" xfId="65" applyFont="1" applyFill="1" applyBorder="1" applyAlignment="1" applyProtection="1">
      <alignment vertical="center"/>
      <protection locked="0"/>
    </xf>
    <xf numFmtId="0" fontId="5" fillId="34" borderId="0" xfId="65" applyFont="1" applyFill="1" applyBorder="1" applyAlignment="1" applyProtection="1">
      <alignment/>
      <protection locked="0"/>
    </xf>
    <xf numFmtId="6" fontId="5" fillId="35" borderId="36" xfId="46" applyNumberFormat="1" applyFont="1" applyFill="1" applyBorder="1" applyAlignment="1">
      <alignment horizontal="right" vertical="center"/>
    </xf>
    <xf numFmtId="6" fontId="5" fillId="35" borderId="34" xfId="46" applyNumberFormat="1" applyFont="1" applyFill="1" applyBorder="1" applyAlignment="1">
      <alignment horizontal="right" vertical="center"/>
    </xf>
    <xf numFmtId="6" fontId="5" fillId="35" borderId="35" xfId="46" applyNumberFormat="1" applyFont="1" applyFill="1" applyBorder="1" applyAlignment="1">
      <alignment horizontal="right" vertical="center"/>
    </xf>
    <xf numFmtId="0" fontId="5" fillId="34" borderId="0" xfId="65" applyFont="1" applyFill="1" applyBorder="1" applyAlignment="1" applyProtection="1">
      <alignment horizontal="center"/>
      <protection locked="0"/>
    </xf>
    <xf numFmtId="0" fontId="5" fillId="34" borderId="0" xfId="60" applyFont="1" applyFill="1" applyBorder="1" applyAlignment="1" applyProtection="1">
      <alignment horizontal="center" vertical="center"/>
      <protection locked="0"/>
    </xf>
    <xf numFmtId="0" fontId="5" fillId="34" borderId="0" xfId="60" applyFont="1" applyFill="1" applyBorder="1" applyAlignment="1" applyProtection="1">
      <alignment horizontal="center" vertical="center" wrapText="1"/>
      <protection locked="0"/>
    </xf>
    <xf numFmtId="1" fontId="5" fillId="34" borderId="0" xfId="65" applyNumberFormat="1" applyFont="1" applyFill="1" applyBorder="1" applyAlignment="1" applyProtection="1">
      <alignment/>
      <protection locked="0"/>
    </xf>
    <xf numFmtId="0" fontId="5" fillId="34" borderId="0" xfId="65" applyFont="1" applyFill="1" applyBorder="1" applyAlignment="1" applyProtection="1">
      <alignment wrapText="1"/>
      <protection locked="0"/>
    </xf>
    <xf numFmtId="7" fontId="5" fillId="34" borderId="0" xfId="65" applyNumberFormat="1" applyFont="1" applyFill="1" applyBorder="1" applyAlignment="1" applyProtection="1">
      <alignment/>
      <protection locked="0"/>
    </xf>
    <xf numFmtId="3" fontId="5" fillId="34" borderId="0" xfId="65" applyNumberFormat="1" applyFont="1" applyFill="1" applyBorder="1" applyAlignment="1" applyProtection="1">
      <alignment horizontal="center"/>
      <protection locked="0"/>
    </xf>
    <xf numFmtId="0" fontId="0" fillId="34" borderId="0" xfId="65" applyFont="1" applyFill="1" applyBorder="1" applyAlignment="1" applyProtection="1">
      <alignment/>
      <protection locked="0"/>
    </xf>
    <xf numFmtId="0" fontId="0" fillId="34" borderId="0" xfId="65" applyFont="1" applyFill="1" applyBorder="1" applyAlignment="1" applyProtection="1">
      <alignment horizontal="center"/>
      <protection locked="0"/>
    </xf>
    <xf numFmtId="177" fontId="0" fillId="34" borderId="0" xfId="65" applyNumberFormat="1" applyFont="1" applyFill="1" applyBorder="1" applyAlignment="1" applyProtection="1">
      <alignment horizontal="center" vertical="center"/>
      <protection locked="0"/>
    </xf>
    <xf numFmtId="186" fontId="5" fillId="35" borderId="36" xfId="46" applyNumberFormat="1" applyFont="1" applyFill="1" applyBorder="1" applyAlignment="1">
      <alignment horizontal="center" vertical="center"/>
    </xf>
    <xf numFmtId="186" fontId="5" fillId="35" borderId="34" xfId="46" applyNumberFormat="1" applyFont="1" applyFill="1" applyBorder="1" applyAlignment="1">
      <alignment horizontal="center" vertical="center"/>
    </xf>
    <xf numFmtId="186" fontId="5" fillId="35" borderId="35" xfId="46" applyNumberFormat="1" applyFont="1" applyFill="1" applyBorder="1" applyAlignment="1">
      <alignment horizontal="center" vertical="center"/>
    </xf>
    <xf numFmtId="1" fontId="5" fillId="36" borderId="66" xfId="65" applyNumberFormat="1" applyFont="1" applyFill="1" applyBorder="1" applyAlignment="1" applyProtection="1">
      <alignment horizontal="right" vertical="center" wrapText="1"/>
      <protection locked="0"/>
    </xf>
    <xf numFmtId="186" fontId="5" fillId="35" borderId="67" xfId="46" applyNumberFormat="1" applyFont="1" applyFill="1" applyBorder="1" applyAlignment="1">
      <alignment horizontal="center" vertical="center"/>
    </xf>
    <xf numFmtId="186" fontId="5" fillId="35" borderId="68" xfId="46" applyNumberFormat="1" applyFont="1" applyFill="1" applyBorder="1" applyAlignment="1">
      <alignment horizontal="center" vertical="center"/>
    </xf>
    <xf numFmtId="186" fontId="5" fillId="35" borderId="69" xfId="46" applyNumberFormat="1" applyFont="1" applyFill="1" applyBorder="1" applyAlignment="1">
      <alignment horizontal="center" vertical="center"/>
    </xf>
    <xf numFmtId="1" fontId="5" fillId="36" borderId="68" xfId="65" applyNumberFormat="1" applyFont="1" applyFill="1" applyBorder="1" applyAlignment="1" applyProtection="1">
      <alignment horizontal="right" vertical="center" wrapText="1" shrinkToFit="1"/>
      <protection locked="0"/>
    </xf>
    <xf numFmtId="1" fontId="5" fillId="36" borderId="70" xfId="65" applyNumberFormat="1" applyFont="1" applyFill="1" applyBorder="1" applyAlignment="1" applyProtection="1">
      <alignment horizontal="right" vertical="center" wrapText="1"/>
      <protection locked="0"/>
    </xf>
    <xf numFmtId="7" fontId="8" fillId="34" borderId="0" xfId="65" applyNumberFormat="1" applyFont="1" applyFill="1" applyBorder="1" applyAlignment="1" applyProtection="1" quotePrefix="1">
      <alignment horizontal="right" vertical="center"/>
      <protection locked="0"/>
    </xf>
    <xf numFmtId="0" fontId="0" fillId="34" borderId="0" xfId="65" applyFont="1" applyFill="1" applyBorder="1" applyAlignment="1" applyProtection="1">
      <alignment vertical="center" wrapText="1"/>
      <protection locked="0"/>
    </xf>
    <xf numFmtId="15" fontId="0" fillId="34" borderId="0" xfId="65" applyNumberFormat="1" applyFont="1" applyFill="1" applyBorder="1" applyAlignment="1" applyProtection="1">
      <alignment vertical="center"/>
      <protection locked="0"/>
    </xf>
    <xf numFmtId="9" fontId="0" fillId="34" borderId="0" xfId="65" applyNumberFormat="1" applyFont="1" applyFill="1" applyBorder="1" applyAlignment="1" applyProtection="1">
      <alignment vertical="center"/>
      <protection locked="0"/>
    </xf>
    <xf numFmtId="3" fontId="8" fillId="34" borderId="0" xfId="65" applyNumberFormat="1" applyFont="1" applyFill="1" applyBorder="1" applyAlignment="1" applyProtection="1" quotePrefix="1">
      <alignment horizontal="right" vertical="center"/>
      <protection locked="0"/>
    </xf>
    <xf numFmtId="6" fontId="8" fillId="36" borderId="71" xfId="65" applyNumberFormat="1" applyFont="1" applyFill="1" applyBorder="1" applyAlignment="1" applyProtection="1">
      <alignment horizontal="right" vertical="center"/>
      <protection locked="0"/>
    </xf>
    <xf numFmtId="6" fontId="8" fillId="36" borderId="72" xfId="65" applyNumberFormat="1" applyFont="1" applyFill="1" applyBorder="1" applyAlignment="1" applyProtection="1">
      <alignment horizontal="right" vertical="center"/>
      <protection locked="0"/>
    </xf>
    <xf numFmtId="7" fontId="0" fillId="34" borderId="0" xfId="65" applyNumberFormat="1" applyFont="1" applyFill="1" applyBorder="1" applyAlignment="1" applyProtection="1">
      <alignment vertical="center"/>
      <protection locked="0"/>
    </xf>
    <xf numFmtId="0" fontId="8" fillId="34" borderId="0" xfId="65" applyFont="1" applyFill="1" applyBorder="1" applyAlignment="1" applyProtection="1" quotePrefix="1">
      <alignment vertical="center"/>
      <protection locked="0"/>
    </xf>
    <xf numFmtId="3" fontId="8" fillId="34" borderId="73" xfId="65" applyNumberFormat="1" applyFont="1" applyFill="1" applyBorder="1" applyAlignment="1" applyProtection="1">
      <alignment horizontal="center" vertical="center"/>
      <protection locked="0"/>
    </xf>
    <xf numFmtId="3" fontId="8" fillId="34" borderId="74" xfId="65" applyNumberFormat="1" applyFont="1" applyFill="1" applyBorder="1" applyAlignment="1" applyProtection="1">
      <alignment horizontal="right" vertical="center"/>
      <protection locked="0"/>
    </xf>
    <xf numFmtId="3" fontId="8" fillId="34" borderId="74" xfId="65" applyNumberFormat="1" applyFont="1" applyFill="1" applyBorder="1" applyAlignment="1" applyProtection="1" quotePrefix="1">
      <alignment horizontal="right" vertical="center"/>
      <protection locked="0"/>
    </xf>
    <xf numFmtId="3" fontId="8" fillId="34" borderId="0" xfId="65" applyNumberFormat="1" applyFont="1" applyFill="1" applyBorder="1" applyAlignment="1" applyProtection="1">
      <alignment horizontal="right" vertical="center"/>
      <protection locked="0"/>
    </xf>
    <xf numFmtId="6" fontId="8" fillId="36" borderId="75" xfId="65" applyNumberFormat="1" applyFont="1" applyFill="1" applyBorder="1" applyAlignment="1" applyProtection="1">
      <alignment horizontal="right" vertical="center"/>
      <protection locked="0"/>
    </xf>
    <xf numFmtId="3" fontId="8" fillId="34" borderId="76" xfId="65" applyNumberFormat="1" applyFont="1" applyFill="1" applyBorder="1" applyAlignment="1" applyProtection="1">
      <alignment horizontal="center" vertical="center"/>
      <protection locked="0"/>
    </xf>
    <xf numFmtId="3" fontId="8" fillId="34" borderId="48" xfId="65" applyNumberFormat="1" applyFont="1" applyFill="1" applyBorder="1" applyAlignment="1" applyProtection="1">
      <alignment horizontal="right" vertical="center"/>
      <protection locked="0"/>
    </xf>
    <xf numFmtId="3" fontId="8" fillId="34" borderId="74" xfId="65" applyNumberFormat="1" applyFont="1" applyFill="1" applyBorder="1" applyAlignment="1" applyProtection="1">
      <alignment horizontal="center" vertical="center"/>
      <protection locked="0"/>
    </xf>
    <xf numFmtId="6" fontId="8" fillId="34" borderId="74" xfId="65" applyNumberFormat="1" applyFont="1" applyFill="1" applyBorder="1" applyAlignment="1" applyProtection="1">
      <alignment horizontal="right" vertical="center"/>
      <protection locked="0"/>
    </xf>
    <xf numFmtId="3" fontId="8" fillId="34" borderId="0" xfId="65" applyNumberFormat="1" applyFont="1" applyFill="1" applyBorder="1" applyAlignment="1" applyProtection="1">
      <alignment horizontal="center" vertical="center"/>
      <protection locked="0"/>
    </xf>
    <xf numFmtId="6" fontId="8" fillId="34" borderId="0" xfId="65" applyNumberFormat="1" applyFont="1" applyFill="1" applyBorder="1" applyAlignment="1" applyProtection="1">
      <alignment horizontal="right" vertical="center"/>
      <protection locked="0"/>
    </xf>
    <xf numFmtId="0" fontId="8" fillId="34" borderId="0" xfId="65" applyFont="1" applyFill="1" applyBorder="1" applyAlignment="1" applyProtection="1" quotePrefix="1">
      <alignment horizontal="right" vertical="center"/>
      <protection locked="0"/>
    </xf>
    <xf numFmtId="9" fontId="8" fillId="34" borderId="0" xfId="65" applyNumberFormat="1" applyFont="1" applyFill="1" applyBorder="1" applyAlignment="1" applyProtection="1">
      <alignment vertical="center"/>
      <protection locked="0"/>
    </xf>
    <xf numFmtId="1" fontId="5" fillId="36" borderId="77" xfId="65" applyNumberFormat="1" applyFont="1" applyFill="1" applyBorder="1" applyAlignment="1" applyProtection="1">
      <alignment horizontal="right" vertical="center" wrapText="1"/>
      <protection locked="0"/>
    </xf>
    <xf numFmtId="177" fontId="8" fillId="34" borderId="78" xfId="69" applyNumberFormat="1" applyFont="1" applyFill="1" applyBorder="1" applyAlignment="1" applyProtection="1">
      <alignment horizontal="center" vertical="center" wrapText="1"/>
      <protection locked="0"/>
    </xf>
    <xf numFmtId="0" fontId="8" fillId="34" borderId="79" xfId="0" applyFont="1" applyFill="1" applyBorder="1" applyAlignment="1">
      <alignment horizontal="center" vertical="center" wrapText="1"/>
    </xf>
    <xf numFmtId="0" fontId="8" fillId="34" borderId="80" xfId="0" applyFont="1" applyFill="1" applyBorder="1" applyAlignment="1">
      <alignment horizontal="center" vertical="center" wrapText="1"/>
    </xf>
    <xf numFmtId="0" fontId="8" fillId="34" borderId="81" xfId="64" applyFont="1" applyFill="1" applyBorder="1" applyAlignment="1" applyProtection="1">
      <alignment horizontal="center" vertical="center" wrapText="1"/>
      <protection locked="0"/>
    </xf>
    <xf numFmtId="1" fontId="8" fillId="34" borderId="65" xfId="64" applyNumberFormat="1" applyFont="1" applyFill="1" applyBorder="1" applyAlignment="1" applyProtection="1">
      <alignment horizontal="center" vertical="center" wrapText="1"/>
      <protection locked="0"/>
    </xf>
    <xf numFmtId="1" fontId="8" fillId="34" borderId="82" xfId="64" applyNumberFormat="1" applyFont="1" applyFill="1" applyBorder="1" applyAlignment="1" applyProtection="1">
      <alignment horizontal="center" vertical="center" wrapText="1"/>
      <protection locked="0"/>
    </xf>
    <xf numFmtId="0" fontId="5" fillId="35" borderId="37" xfId="65" applyNumberFormat="1" applyFont="1" applyFill="1" applyBorder="1" applyAlignment="1" applyProtection="1">
      <alignment horizontal="center" vertical="center" wrapText="1"/>
      <protection locked="0"/>
    </xf>
    <xf numFmtId="0" fontId="5" fillId="35" borderId="41" xfId="65" applyNumberFormat="1" applyFont="1" applyFill="1" applyBorder="1" applyAlignment="1" applyProtection="1">
      <alignment horizontal="center" vertical="center" wrapText="1"/>
      <protection locked="0"/>
    </xf>
    <xf numFmtId="0" fontId="5" fillId="35" borderId="43" xfId="65" applyNumberFormat="1" applyFont="1" applyFill="1" applyBorder="1" applyAlignment="1" applyProtection="1">
      <alignment horizontal="center" vertical="center" wrapText="1"/>
      <protection locked="0"/>
    </xf>
    <xf numFmtId="0" fontId="11" fillId="33" borderId="0" xfId="59" applyFill="1">
      <alignment/>
      <protection/>
    </xf>
    <xf numFmtId="0" fontId="26" fillId="33" borderId="0" xfId="59" applyFont="1" applyFill="1">
      <alignment/>
      <protection/>
    </xf>
    <xf numFmtId="0" fontId="21" fillId="33" borderId="0" xfId="59" applyFont="1" applyFill="1">
      <alignment/>
      <protection/>
    </xf>
    <xf numFmtId="17" fontId="26" fillId="33" borderId="0" xfId="59" applyNumberFormat="1" applyFont="1" applyFill="1">
      <alignment/>
      <protection/>
    </xf>
    <xf numFmtId="0" fontId="19" fillId="33" borderId="0" xfId="59" applyFont="1" applyFill="1">
      <alignment/>
      <protection/>
    </xf>
    <xf numFmtId="0" fontId="10" fillId="39" borderId="83" xfId="0" applyFont="1" applyFill="1" applyBorder="1" applyAlignment="1">
      <alignment horizontal="center" vertical="center"/>
    </xf>
    <xf numFmtId="0" fontId="5" fillId="35" borderId="61" xfId="65" applyFont="1" applyFill="1" applyBorder="1" applyAlignment="1" applyProtection="1">
      <alignment horizontal="center" vertical="center" wrapText="1"/>
      <protection locked="0"/>
    </xf>
    <xf numFmtId="0" fontId="5" fillId="35" borderId="38" xfId="65" applyFont="1" applyFill="1" applyBorder="1" applyAlignment="1" applyProtection="1">
      <alignment horizontal="center" vertical="center" wrapText="1"/>
      <protection locked="0"/>
    </xf>
    <xf numFmtId="0" fontId="27" fillId="34" borderId="84" xfId="66" applyFont="1" applyFill="1" applyBorder="1" applyAlignment="1">
      <alignment horizontal="center" vertical="center"/>
      <protection/>
    </xf>
    <xf numFmtId="0" fontId="26" fillId="33" borderId="0" xfId="59" applyFont="1" applyFill="1" applyBorder="1">
      <alignment/>
      <protection/>
    </xf>
    <xf numFmtId="0" fontId="11" fillId="33" borderId="0" xfId="59" applyFill="1" applyBorder="1">
      <alignment/>
      <protection/>
    </xf>
    <xf numFmtId="17" fontId="35" fillId="33" borderId="0" xfId="59" applyNumberFormat="1" applyFont="1" applyFill="1" applyBorder="1">
      <alignment/>
      <protection/>
    </xf>
    <xf numFmtId="0" fontId="19" fillId="40" borderId="85" xfId="59" applyFont="1" applyFill="1" applyBorder="1">
      <alignment/>
      <protection/>
    </xf>
    <xf numFmtId="0" fontId="11" fillId="40" borderId="85" xfId="59" applyFill="1" applyBorder="1">
      <alignment/>
      <protection/>
    </xf>
    <xf numFmtId="0" fontId="11" fillId="40" borderId="86" xfId="59" applyFill="1" applyBorder="1">
      <alignment/>
      <protection/>
    </xf>
    <xf numFmtId="0" fontId="34" fillId="33" borderId="0" xfId="59" applyFont="1" applyFill="1" applyBorder="1">
      <alignment/>
      <protection/>
    </xf>
    <xf numFmtId="210" fontId="11" fillId="33" borderId="0" xfId="59" applyNumberFormat="1" applyFill="1">
      <alignment/>
      <protection/>
    </xf>
    <xf numFmtId="0" fontId="35" fillId="33" borderId="0" xfId="59" applyFont="1" applyFill="1" applyBorder="1">
      <alignment/>
      <protection/>
    </xf>
    <xf numFmtId="0" fontId="19" fillId="34" borderId="87" xfId="59" applyFont="1" applyFill="1" applyBorder="1" applyAlignment="1">
      <alignment horizontal="right"/>
      <protection/>
    </xf>
    <xf numFmtId="0" fontId="11" fillId="33" borderId="0" xfId="59" applyFont="1" applyFill="1">
      <alignment/>
      <protection/>
    </xf>
    <xf numFmtId="0" fontId="19" fillId="33" borderId="0" xfId="59" applyFont="1" applyFill="1" applyBorder="1" applyAlignment="1">
      <alignment horizontal="right"/>
      <protection/>
    </xf>
    <xf numFmtId="0" fontId="19" fillId="40" borderId="87" xfId="59" applyFont="1" applyFill="1" applyBorder="1" applyAlignment="1">
      <alignment vertical="center"/>
      <protection/>
    </xf>
    <xf numFmtId="0" fontId="11" fillId="33" borderId="0" xfId="59" applyFont="1" applyFill="1" applyBorder="1">
      <alignment/>
      <protection/>
    </xf>
    <xf numFmtId="0" fontId="11" fillId="33" borderId="0" xfId="59" applyFill="1" applyBorder="1" applyAlignment="1">
      <alignment/>
      <protection/>
    </xf>
    <xf numFmtId="0" fontId="19" fillId="34" borderId="88" xfId="59" applyFont="1" applyFill="1" applyBorder="1" applyAlignment="1">
      <alignment horizontal="center"/>
      <protection/>
    </xf>
    <xf numFmtId="0" fontId="1" fillId="33" borderId="0" xfId="0" applyFont="1" applyFill="1" applyBorder="1" applyAlignment="1">
      <alignment horizontal="center" vertical="center" wrapText="1"/>
    </xf>
    <xf numFmtId="0" fontId="11" fillId="33" borderId="89" xfId="59" applyFont="1" applyFill="1" applyBorder="1" applyAlignment="1">
      <alignment horizontal="left"/>
      <protection/>
    </xf>
    <xf numFmtId="49" fontId="11" fillId="33" borderId="89" xfId="59" applyNumberFormat="1" applyFont="1" applyFill="1" applyBorder="1" applyAlignment="1">
      <alignment horizontal="left"/>
      <protection/>
    </xf>
    <xf numFmtId="0" fontId="11" fillId="33" borderId="90" xfId="59" applyFont="1" applyFill="1" applyBorder="1" applyAlignment="1">
      <alignment horizontal="left"/>
      <protection/>
    </xf>
    <xf numFmtId="0" fontId="0" fillId="0" borderId="85" xfId="0" applyBorder="1" applyAlignment="1">
      <alignment/>
    </xf>
    <xf numFmtId="0" fontId="11" fillId="33" borderId="90" xfId="59" applyFont="1" applyFill="1" applyBorder="1">
      <alignment/>
      <protection/>
    </xf>
    <xf numFmtId="0" fontId="11" fillId="33" borderId="91" xfId="59" applyFont="1" applyFill="1" applyBorder="1">
      <alignment/>
      <protection/>
    </xf>
    <xf numFmtId="0" fontId="0" fillId="0" borderId="92" xfId="0" applyBorder="1" applyAlignment="1">
      <alignment/>
    </xf>
    <xf numFmtId="0" fontId="42" fillId="33" borderId="93" xfId="59" applyFont="1" applyFill="1" applyBorder="1">
      <alignment/>
      <protection/>
    </xf>
    <xf numFmtId="0" fontId="42" fillId="33" borderId="0" xfId="59" applyFont="1" applyFill="1" applyBorder="1">
      <alignment/>
      <protection/>
    </xf>
    <xf numFmtId="0" fontId="42" fillId="33" borderId="94" xfId="59" applyFont="1" applyFill="1" applyBorder="1">
      <alignment/>
      <protection/>
    </xf>
    <xf numFmtId="0" fontId="11" fillId="33" borderId="94" xfId="59" applyFill="1" applyBorder="1">
      <alignment/>
      <protection/>
    </xf>
    <xf numFmtId="0" fontId="42" fillId="33" borderId="95" xfId="59" applyFont="1" applyFill="1" applyBorder="1">
      <alignment/>
      <protection/>
    </xf>
    <xf numFmtId="0" fontId="11" fillId="33" borderId="96" xfId="59" applyFill="1" applyBorder="1">
      <alignment/>
      <protection/>
    </xf>
    <xf numFmtId="0" fontId="11" fillId="33" borderId="97" xfId="59" applyFill="1" applyBorder="1">
      <alignment/>
      <protection/>
    </xf>
    <xf numFmtId="0" fontId="42" fillId="33" borderId="98" xfId="59" applyFont="1" applyFill="1" applyBorder="1">
      <alignment/>
      <protection/>
    </xf>
    <xf numFmtId="0" fontId="11" fillId="33" borderId="99" xfId="59" applyFill="1" applyBorder="1">
      <alignment/>
      <protection/>
    </xf>
    <xf numFmtId="0" fontId="11" fillId="33" borderId="100" xfId="59" applyFill="1" applyBorder="1">
      <alignment/>
      <protection/>
    </xf>
    <xf numFmtId="0" fontId="11" fillId="40" borderId="85" xfId="59" applyFill="1" applyBorder="1" applyAlignment="1">
      <alignment/>
      <protection/>
    </xf>
    <xf numFmtId="0" fontId="11" fillId="40" borderId="86" xfId="59" applyFill="1" applyBorder="1" applyAlignment="1">
      <alignment/>
      <protection/>
    </xf>
    <xf numFmtId="6" fontId="5" fillId="36" borderId="34" xfId="46" applyNumberFormat="1" applyFont="1" applyFill="1" applyBorder="1" applyAlignment="1">
      <alignment horizontal="right" vertical="center"/>
    </xf>
    <xf numFmtId="0" fontId="0" fillId="0" borderId="0" xfId="61" applyFont="1" applyFill="1" applyBorder="1" applyAlignment="1">
      <alignment wrapText="1"/>
      <protection/>
    </xf>
    <xf numFmtId="0" fontId="19" fillId="33" borderId="0" xfId="59" applyFont="1" applyFill="1" applyBorder="1">
      <alignment/>
      <protection/>
    </xf>
    <xf numFmtId="6" fontId="5" fillId="34" borderId="39" xfId="65" applyNumberFormat="1" applyFont="1" applyFill="1" applyBorder="1" applyAlignment="1" applyProtection="1">
      <alignment horizontal="right" vertical="center"/>
      <protection locked="0"/>
    </xf>
    <xf numFmtId="0" fontId="6" fillId="34" borderId="0" xfId="65" applyFont="1" applyFill="1" applyBorder="1" applyAlignment="1" applyProtection="1">
      <alignment vertical="center"/>
      <protection locked="0"/>
    </xf>
    <xf numFmtId="0" fontId="0" fillId="34" borderId="0" xfId="65" applyFill="1" applyBorder="1" applyAlignment="1" applyProtection="1">
      <alignment vertical="center"/>
      <protection locked="0"/>
    </xf>
    <xf numFmtId="186" fontId="5" fillId="36" borderId="37" xfId="65" applyNumberFormat="1" applyFont="1" applyFill="1" applyBorder="1" applyAlignment="1" applyProtection="1">
      <alignment horizontal="right" vertical="center" wrapText="1"/>
      <protection locked="0"/>
    </xf>
    <xf numFmtId="186" fontId="5" fillId="36" borderId="34" xfId="65" applyNumberFormat="1" applyFont="1" applyFill="1" applyBorder="1" applyAlignment="1" applyProtection="1">
      <alignment horizontal="right" vertical="center" wrapText="1"/>
      <protection locked="0"/>
    </xf>
    <xf numFmtId="186" fontId="5" fillId="36" borderId="38" xfId="65" applyNumberFormat="1" applyFont="1" applyFill="1" applyBorder="1" applyAlignment="1" applyProtection="1">
      <alignment horizontal="right" vertical="center" wrapText="1"/>
      <protection locked="0"/>
    </xf>
    <xf numFmtId="186" fontId="5" fillId="36" borderId="39" xfId="65" applyNumberFormat="1" applyFont="1" applyFill="1" applyBorder="1" applyAlignment="1" applyProtection="1">
      <alignment horizontal="right" vertical="center"/>
      <protection locked="0"/>
    </xf>
    <xf numFmtId="0" fontId="0" fillId="34" borderId="0" xfId="65" applyFill="1" applyBorder="1" applyAlignment="1" applyProtection="1">
      <alignment/>
      <protection locked="0"/>
    </xf>
    <xf numFmtId="9" fontId="5" fillId="36" borderId="101" xfId="69" applyFont="1" applyFill="1" applyBorder="1" applyAlignment="1" applyProtection="1">
      <alignment horizontal="center" vertical="center" wrapText="1"/>
      <protection locked="0"/>
    </xf>
    <xf numFmtId="186" fontId="5" fillId="36" borderId="40" xfId="65" applyNumberFormat="1" applyFont="1" applyFill="1" applyBorder="1" applyAlignment="1" applyProtection="1">
      <alignment horizontal="right" vertical="center" wrapText="1"/>
      <protection locked="0"/>
    </xf>
    <xf numFmtId="186" fontId="5" fillId="34" borderId="0" xfId="65" applyNumberFormat="1" applyFont="1" applyFill="1" applyBorder="1" applyAlignment="1" applyProtection="1">
      <alignment horizontal="right" vertical="center" wrapText="1"/>
      <protection locked="0"/>
    </xf>
    <xf numFmtId="186" fontId="5" fillId="34" borderId="0" xfId="65" applyNumberFormat="1" applyFont="1" applyFill="1" applyBorder="1" applyAlignment="1" applyProtection="1">
      <alignment horizontal="right" vertical="center"/>
      <protection locked="0"/>
    </xf>
    <xf numFmtId="0" fontId="8" fillId="34" borderId="0" xfId="65" applyFont="1" applyFill="1" applyBorder="1" applyAlignment="1" applyProtection="1" quotePrefix="1">
      <alignment horizontal="right"/>
      <protection locked="0"/>
    </xf>
    <xf numFmtId="9" fontId="8" fillId="34" borderId="0" xfId="65" applyNumberFormat="1" applyFont="1" applyFill="1" applyBorder="1" applyAlignment="1" applyProtection="1">
      <alignment horizontal="right"/>
      <protection locked="0"/>
    </xf>
    <xf numFmtId="186" fontId="5" fillId="34" borderId="37" xfId="65" applyNumberFormat="1" applyFont="1" applyFill="1" applyBorder="1" applyAlignment="1" applyProtection="1">
      <alignment horizontal="right" vertical="center" wrapText="1"/>
      <protection locked="0"/>
    </xf>
    <xf numFmtId="186" fontId="5" fillId="34" borderId="40" xfId="65" applyNumberFormat="1" applyFont="1" applyFill="1" applyBorder="1" applyAlignment="1" applyProtection="1">
      <alignment horizontal="right" vertical="center" wrapText="1"/>
      <protection locked="0"/>
    </xf>
    <xf numFmtId="186" fontId="5" fillId="34" borderId="34" xfId="65" applyNumberFormat="1" applyFont="1" applyFill="1" applyBorder="1" applyAlignment="1" applyProtection="1">
      <alignment horizontal="right" vertical="center" wrapText="1"/>
      <protection locked="0"/>
    </xf>
    <xf numFmtId="186" fontId="5" fillId="34" borderId="38" xfId="65" applyNumberFormat="1" applyFont="1" applyFill="1" applyBorder="1" applyAlignment="1" applyProtection="1">
      <alignment horizontal="right" vertical="center" wrapText="1"/>
      <protection locked="0"/>
    </xf>
    <xf numFmtId="186" fontId="5" fillId="34" borderId="39" xfId="65" applyNumberFormat="1" applyFont="1" applyFill="1" applyBorder="1" applyAlignment="1" applyProtection="1">
      <alignment horizontal="right" vertical="center"/>
      <protection locked="0"/>
    </xf>
    <xf numFmtId="0" fontId="11" fillId="33" borderId="90" xfId="59" applyFont="1" applyFill="1" applyBorder="1" applyAlignment="1">
      <alignment wrapText="1"/>
      <protection/>
    </xf>
    <xf numFmtId="0" fontId="11" fillId="33" borderId="91" xfId="59" applyFont="1" applyFill="1" applyBorder="1" applyAlignment="1">
      <alignment horizontal="left"/>
      <protection/>
    </xf>
    <xf numFmtId="0" fontId="19" fillId="40" borderId="85" xfId="59" applyFont="1" applyFill="1" applyBorder="1" applyAlignment="1">
      <alignment/>
      <protection/>
    </xf>
    <xf numFmtId="15" fontId="0" fillId="0" borderId="0" xfId="61" applyNumberFormat="1" applyBorder="1">
      <alignment/>
      <protection/>
    </xf>
    <xf numFmtId="0" fontId="0" fillId="0" borderId="0" xfId="61" applyFont="1" applyAlignment="1">
      <alignment wrapText="1"/>
      <protection/>
    </xf>
    <xf numFmtId="0" fontId="4" fillId="34" borderId="0" xfId="66" applyFont="1" applyFill="1" applyBorder="1" applyAlignment="1" applyProtection="1">
      <alignment horizontal="center" vertical="center"/>
      <protection locked="0"/>
    </xf>
    <xf numFmtId="0" fontId="1" fillId="34" borderId="0" xfId="65" applyFont="1" applyFill="1" applyBorder="1" applyAlignment="1" applyProtection="1">
      <alignment vertical="center"/>
      <protection locked="0"/>
    </xf>
    <xf numFmtId="0" fontId="44" fillId="33" borderId="0" xfId="66" applyFont="1" applyFill="1" applyBorder="1">
      <alignment/>
      <protection/>
    </xf>
    <xf numFmtId="0" fontId="45" fillId="33" borderId="0" xfId="66" applyFont="1" applyFill="1" applyBorder="1">
      <alignment/>
      <protection/>
    </xf>
    <xf numFmtId="0" fontId="46" fillId="33" borderId="0" xfId="55" applyFont="1" applyFill="1" applyBorder="1" applyAlignment="1" applyProtection="1">
      <alignment/>
      <protection/>
    </xf>
    <xf numFmtId="0" fontId="4" fillId="33" borderId="0" xfId="66" applyFont="1" applyFill="1" applyBorder="1">
      <alignment/>
      <protection/>
    </xf>
    <xf numFmtId="0" fontId="4" fillId="34" borderId="0" xfId="66" applyFont="1" applyFill="1" applyBorder="1">
      <alignment/>
      <protection/>
    </xf>
    <xf numFmtId="0" fontId="4" fillId="35" borderId="0" xfId="66" applyFont="1" applyFill="1" applyBorder="1">
      <alignment/>
      <protection/>
    </xf>
    <xf numFmtId="0" fontId="4" fillId="36" borderId="0" xfId="66" applyFont="1" applyFill="1" applyBorder="1">
      <alignment/>
      <protection/>
    </xf>
    <xf numFmtId="0" fontId="4" fillId="33" borderId="0" xfId="66" applyNumberFormat="1" applyFont="1" applyFill="1" applyBorder="1">
      <alignment/>
      <protection/>
    </xf>
    <xf numFmtId="0" fontId="4" fillId="33" borderId="0" xfId="66" applyFont="1" applyFill="1" applyBorder="1" applyAlignment="1">
      <alignment horizontal="left"/>
      <protection/>
    </xf>
    <xf numFmtId="0" fontId="11" fillId="34" borderId="0" xfId="66" applyFont="1" applyFill="1" applyBorder="1" applyAlignment="1" applyProtection="1">
      <alignment horizontal="left" vertical="center"/>
      <protection/>
    </xf>
    <xf numFmtId="0" fontId="48" fillId="34" borderId="0" xfId="65" applyFont="1" applyFill="1" applyBorder="1" applyAlignment="1" applyProtection="1">
      <alignment vertical="center"/>
      <protection locked="0"/>
    </xf>
    <xf numFmtId="0" fontId="49" fillId="34" borderId="0" xfId="65" applyFont="1" applyFill="1" applyBorder="1" applyAlignment="1" applyProtection="1">
      <alignment horizontal="center" vertical="center"/>
      <protection locked="0"/>
    </xf>
    <xf numFmtId="0" fontId="50" fillId="34" borderId="0" xfId="66" applyFont="1" applyFill="1" applyBorder="1" applyAlignment="1" applyProtection="1">
      <alignment horizontal="right" vertical="center" wrapText="1"/>
      <protection locked="0"/>
    </xf>
    <xf numFmtId="0" fontId="47" fillId="36" borderId="0" xfId="63" applyFont="1" applyFill="1" applyBorder="1" applyAlignment="1" applyProtection="1">
      <alignment horizontal="center" vertical="center"/>
      <protection locked="0"/>
    </xf>
    <xf numFmtId="0" fontId="0" fillId="34" borderId="80" xfId="0" applyFont="1" applyFill="1" applyBorder="1" applyAlignment="1">
      <alignment horizontal="center" vertical="center" wrapText="1"/>
    </xf>
    <xf numFmtId="0" fontId="27" fillId="0" borderId="0" xfId="62" applyFont="1" applyBorder="1">
      <alignment/>
      <protection/>
    </xf>
    <xf numFmtId="0" fontId="27" fillId="0" borderId="0" xfId="62" applyFont="1" applyBorder="1" applyAlignment="1">
      <alignment horizontal="left" vertical="center"/>
      <protection/>
    </xf>
    <xf numFmtId="0" fontId="5" fillId="34" borderId="35" xfId="65" applyFont="1" applyFill="1" applyBorder="1" applyAlignment="1" applyProtection="1">
      <alignment horizontal="center" vertical="center" wrapText="1"/>
      <protection locked="0"/>
    </xf>
    <xf numFmtId="0" fontId="46" fillId="33" borderId="0" xfId="54" applyFont="1" applyFill="1" applyBorder="1" applyAlignment="1" applyProtection="1">
      <alignment/>
      <protection/>
    </xf>
    <xf numFmtId="177" fontId="5" fillId="36" borderId="102" xfId="65" applyNumberFormat="1" applyFont="1" applyFill="1" applyBorder="1" applyAlignment="1" applyProtection="1" quotePrefix="1">
      <alignment horizontal="center" vertical="center"/>
      <protection locked="0"/>
    </xf>
    <xf numFmtId="6" fontId="5" fillId="36" borderId="103" xfId="65" applyNumberFormat="1" applyFont="1" applyFill="1" applyBorder="1" applyAlignment="1" applyProtection="1">
      <alignment horizontal="right" vertical="center"/>
      <protection locked="0"/>
    </xf>
    <xf numFmtId="6" fontId="8" fillId="36" borderId="104" xfId="65" applyNumberFormat="1" applyFont="1" applyFill="1" applyBorder="1" applyAlignment="1" applyProtection="1">
      <alignment horizontal="right" vertical="center"/>
      <protection locked="0"/>
    </xf>
    <xf numFmtId="0" fontId="8" fillId="34" borderId="105" xfId="65" applyFont="1" applyFill="1" applyBorder="1" applyAlignment="1" applyProtection="1">
      <alignment vertical="center"/>
      <protection locked="0"/>
    </xf>
    <xf numFmtId="0" fontId="0" fillId="34" borderId="106" xfId="65" applyFont="1" applyFill="1" applyBorder="1" applyAlignment="1" applyProtection="1">
      <alignment vertical="center"/>
      <protection locked="0"/>
    </xf>
    <xf numFmtId="0" fontId="8" fillId="34" borderId="37" xfId="65" applyFont="1" applyFill="1" applyBorder="1" applyAlignment="1" applyProtection="1">
      <alignment vertical="center"/>
      <protection locked="0"/>
    </xf>
    <xf numFmtId="0" fontId="0" fillId="34" borderId="34" xfId="65" applyFont="1" applyFill="1" applyBorder="1" applyAlignment="1" applyProtection="1">
      <alignment vertical="center"/>
      <protection locked="0"/>
    </xf>
    <xf numFmtId="0" fontId="8" fillId="34" borderId="37" xfId="65" applyFont="1" applyFill="1" applyBorder="1" applyAlignment="1" applyProtection="1">
      <alignment vertical="center" wrapText="1"/>
      <protection locked="0"/>
    </xf>
    <xf numFmtId="0" fontId="8" fillId="34" borderId="71" xfId="65" applyFont="1" applyFill="1" applyBorder="1" applyAlignment="1" applyProtection="1">
      <alignment vertical="center"/>
      <protection locked="0"/>
    </xf>
    <xf numFmtId="0" fontId="0" fillId="34" borderId="72" xfId="65" applyFont="1" applyFill="1" applyBorder="1" applyAlignment="1" applyProtection="1">
      <alignment vertical="center"/>
      <protection locked="0"/>
    </xf>
    <xf numFmtId="0" fontId="5" fillId="35" borderId="107" xfId="65" applyFont="1" applyFill="1" applyBorder="1" applyAlignment="1" applyProtection="1">
      <alignment horizontal="left" vertical="center" wrapText="1"/>
      <protection locked="0"/>
    </xf>
    <xf numFmtId="0" fontId="5" fillId="35" borderId="38" xfId="65" applyFont="1" applyFill="1" applyBorder="1" applyAlignment="1" applyProtection="1">
      <alignment horizontal="left" vertical="center" wrapText="1"/>
      <protection locked="0"/>
    </xf>
    <xf numFmtId="0" fontId="51" fillId="34" borderId="0" xfId="63" applyFont="1" applyFill="1" applyBorder="1" applyAlignment="1" applyProtection="1">
      <alignment horizontal="center" vertical="center" wrapText="1"/>
      <protection locked="0"/>
    </xf>
    <xf numFmtId="186" fontId="5" fillId="36" borderId="108" xfId="65" applyNumberFormat="1" applyFont="1" applyFill="1" applyBorder="1" applyAlignment="1" applyProtection="1">
      <alignment horizontal="right" vertical="center" wrapText="1"/>
      <protection locked="0"/>
    </xf>
    <xf numFmtId="186" fontId="5" fillId="36" borderId="31" xfId="65" applyNumberFormat="1" applyFont="1" applyFill="1" applyBorder="1" applyAlignment="1" applyProtection="1">
      <alignment horizontal="right" vertical="center" wrapText="1"/>
      <protection locked="0"/>
    </xf>
    <xf numFmtId="186" fontId="5" fillId="36" borderId="29" xfId="65" applyNumberFormat="1" applyFont="1" applyFill="1" applyBorder="1" applyAlignment="1" applyProtection="1">
      <alignment horizontal="right" vertical="center" wrapText="1"/>
      <protection locked="0"/>
    </xf>
    <xf numFmtId="186" fontId="5" fillId="36" borderId="30" xfId="65" applyNumberFormat="1" applyFont="1" applyFill="1" applyBorder="1" applyAlignment="1" applyProtection="1">
      <alignment horizontal="right" vertical="center" wrapText="1"/>
      <protection locked="0"/>
    </xf>
    <xf numFmtId="185" fontId="8" fillId="36" borderId="105" xfId="65" applyNumberFormat="1" applyFont="1" applyFill="1" applyBorder="1" applyAlignment="1" applyProtection="1">
      <alignment horizontal="right" vertical="center"/>
      <protection locked="0"/>
    </xf>
    <xf numFmtId="185" fontId="8" fillId="36" borderId="106" xfId="65" applyNumberFormat="1" applyFont="1" applyFill="1" applyBorder="1" applyAlignment="1" applyProtection="1">
      <alignment horizontal="right" vertical="center"/>
      <protection locked="0"/>
    </xf>
    <xf numFmtId="185" fontId="8" fillId="36" borderId="109" xfId="65" applyNumberFormat="1" applyFont="1" applyFill="1" applyBorder="1" applyAlignment="1" applyProtection="1">
      <alignment horizontal="right" vertical="center"/>
      <protection locked="0"/>
    </xf>
    <xf numFmtId="185" fontId="8" fillId="36" borderId="37" xfId="65" applyNumberFormat="1" applyFont="1" applyFill="1" applyBorder="1" applyAlignment="1" applyProtection="1">
      <alignment horizontal="right"/>
      <protection locked="0"/>
    </xf>
    <xf numFmtId="185" fontId="8" fillId="36" borderId="34" xfId="65" applyNumberFormat="1" applyFont="1" applyFill="1" applyBorder="1" applyAlignment="1" applyProtection="1">
      <alignment horizontal="right"/>
      <protection locked="0"/>
    </xf>
    <xf numFmtId="185" fontId="8" fillId="36" borderId="57" xfId="65" applyNumberFormat="1" applyFont="1" applyFill="1" applyBorder="1" applyAlignment="1" applyProtection="1">
      <alignment horizontal="right"/>
      <protection locked="0"/>
    </xf>
    <xf numFmtId="185" fontId="8" fillId="36" borderId="71" xfId="65" applyNumberFormat="1" applyFont="1" applyFill="1" applyBorder="1" applyAlignment="1" applyProtection="1">
      <alignment horizontal="right"/>
      <protection locked="0"/>
    </xf>
    <xf numFmtId="185" fontId="8" fillId="36" borderId="72" xfId="65" applyNumberFormat="1" applyFont="1" applyFill="1" applyBorder="1" applyAlignment="1" applyProtection="1">
      <alignment horizontal="right"/>
      <protection locked="0"/>
    </xf>
    <xf numFmtId="185" fontId="8" fillId="36" borderId="110" xfId="65" applyNumberFormat="1" applyFont="1" applyFill="1" applyBorder="1" applyAlignment="1" applyProtection="1">
      <alignment horizontal="right"/>
      <protection locked="0"/>
    </xf>
    <xf numFmtId="186" fontId="5" fillId="36" borderId="41" xfId="65" applyNumberFormat="1" applyFont="1" applyFill="1" applyBorder="1" applyAlignment="1" applyProtection="1">
      <alignment horizontal="right" vertical="center" wrapText="1"/>
      <protection locked="0"/>
    </xf>
    <xf numFmtId="186" fontId="5" fillId="36" borderId="42" xfId="65" applyNumberFormat="1" applyFont="1" applyFill="1" applyBorder="1" applyAlignment="1" applyProtection="1">
      <alignment horizontal="right" vertical="center"/>
      <protection locked="0"/>
    </xf>
    <xf numFmtId="186" fontId="5" fillId="36" borderId="43" xfId="65" applyNumberFormat="1" applyFont="1" applyFill="1" applyBorder="1" applyAlignment="1" applyProtection="1">
      <alignment horizontal="right" vertical="center" wrapText="1"/>
      <protection locked="0"/>
    </xf>
    <xf numFmtId="186" fontId="5" fillId="36" borderId="46" xfId="65" applyNumberFormat="1" applyFont="1" applyFill="1" applyBorder="1" applyAlignment="1" applyProtection="1">
      <alignment horizontal="right" vertical="center"/>
      <protection locked="0"/>
    </xf>
    <xf numFmtId="186" fontId="5" fillId="34" borderId="111" xfId="65" applyNumberFormat="1" applyFont="1" applyFill="1" applyBorder="1" applyAlignment="1" applyProtection="1">
      <alignment horizontal="right" vertical="center" wrapText="1"/>
      <protection locked="0"/>
    </xf>
    <xf numFmtId="186" fontId="5" fillId="34" borderId="44" xfId="65" applyNumberFormat="1" applyFont="1" applyFill="1" applyBorder="1" applyAlignment="1" applyProtection="1">
      <alignment horizontal="right" vertical="center" wrapText="1"/>
      <protection locked="0"/>
    </xf>
    <xf numFmtId="186" fontId="5" fillId="34" borderId="45" xfId="65" applyNumberFormat="1" applyFont="1" applyFill="1" applyBorder="1" applyAlignment="1" applyProtection="1">
      <alignment horizontal="right" vertical="center" wrapText="1"/>
      <protection locked="0"/>
    </xf>
    <xf numFmtId="6" fontId="8" fillId="34" borderId="110" xfId="65" applyNumberFormat="1" applyFont="1" applyFill="1" applyBorder="1" applyAlignment="1" applyProtection="1">
      <alignment horizontal="right" vertical="center"/>
      <protection locked="0"/>
    </xf>
    <xf numFmtId="6" fontId="8" fillId="36" borderId="105" xfId="65" applyNumberFormat="1" applyFont="1" applyFill="1" applyBorder="1" applyAlignment="1" applyProtection="1">
      <alignment horizontal="right"/>
      <protection locked="0"/>
    </xf>
    <xf numFmtId="6" fontId="8" fillId="36" borderId="106" xfId="65" applyNumberFormat="1" applyFont="1" applyFill="1" applyBorder="1" applyAlignment="1" applyProtection="1">
      <alignment horizontal="right"/>
      <protection locked="0"/>
    </xf>
    <xf numFmtId="6" fontId="8" fillId="36" borderId="107" xfId="65" applyNumberFormat="1" applyFont="1" applyFill="1" applyBorder="1" applyAlignment="1" applyProtection="1">
      <alignment horizontal="right"/>
      <protection locked="0"/>
    </xf>
    <xf numFmtId="6" fontId="8" fillId="36" borderId="112" xfId="65" applyNumberFormat="1" applyFont="1" applyFill="1" applyBorder="1" applyAlignment="1" applyProtection="1">
      <alignment horizontal="right"/>
      <protection locked="0"/>
    </xf>
    <xf numFmtId="0" fontId="5" fillId="35" borderId="113" xfId="65" applyFont="1" applyFill="1" applyBorder="1" applyAlignment="1" applyProtection="1">
      <alignment horizontal="center" vertical="center" wrapText="1"/>
      <protection locked="0"/>
    </xf>
    <xf numFmtId="1" fontId="5" fillId="36" borderId="108" xfId="65" applyNumberFormat="1" applyFont="1" applyFill="1" applyBorder="1" applyAlignment="1" applyProtection="1">
      <alignment horizontal="right" vertical="center" wrapText="1"/>
      <protection locked="0"/>
    </xf>
    <xf numFmtId="6" fontId="5" fillId="34" borderId="37" xfId="65" applyNumberFormat="1" applyFont="1" applyFill="1" applyBorder="1" applyAlignment="1" applyProtection="1">
      <alignment horizontal="right" vertical="center" wrapText="1"/>
      <protection locked="0"/>
    </xf>
    <xf numFmtId="0" fontId="5" fillId="34" borderId="37" xfId="65" applyNumberFormat="1" applyFont="1" applyFill="1" applyBorder="1" applyAlignment="1" applyProtection="1">
      <alignment horizontal="center" vertical="center" wrapText="1"/>
      <protection locked="0"/>
    </xf>
    <xf numFmtId="9" fontId="5" fillId="34" borderId="101" xfId="69" applyFont="1" applyFill="1" applyBorder="1" applyAlignment="1" applyProtection="1">
      <alignment horizontal="center" vertical="center" wrapText="1"/>
      <protection locked="0"/>
    </xf>
    <xf numFmtId="186" fontId="5" fillId="34" borderId="36" xfId="46" applyNumberFormat="1" applyFont="1" applyFill="1" applyBorder="1" applyAlignment="1">
      <alignment horizontal="center" vertical="center"/>
    </xf>
    <xf numFmtId="186" fontId="5" fillId="34" borderId="34" xfId="46" applyNumberFormat="1" applyFont="1" applyFill="1" applyBorder="1" applyAlignment="1">
      <alignment horizontal="center" vertical="center"/>
    </xf>
    <xf numFmtId="186" fontId="5" fillId="34" borderId="35" xfId="46" applyNumberFormat="1" applyFont="1" applyFill="1" applyBorder="1" applyAlignment="1">
      <alignment horizontal="center" vertical="center"/>
    </xf>
    <xf numFmtId="1" fontId="5" fillId="34" borderId="40" xfId="65" applyNumberFormat="1" applyFont="1" applyFill="1" applyBorder="1" applyAlignment="1" applyProtection="1">
      <alignment horizontal="right" vertical="center" wrapText="1"/>
      <protection locked="0"/>
    </xf>
    <xf numFmtId="1" fontId="5" fillId="34" borderId="34" xfId="65" applyNumberFormat="1" applyFont="1" applyFill="1" applyBorder="1" applyAlignment="1" applyProtection="1">
      <alignment horizontal="right" vertical="center" wrapText="1" shrinkToFit="1"/>
      <protection locked="0"/>
    </xf>
    <xf numFmtId="1" fontId="5" fillId="34" borderId="57" xfId="65" applyNumberFormat="1" applyFont="1" applyFill="1" applyBorder="1" applyAlignment="1" applyProtection="1">
      <alignment horizontal="right" vertical="center" wrapText="1"/>
      <protection locked="0"/>
    </xf>
    <xf numFmtId="0" fontId="0" fillId="34" borderId="114" xfId="0" applyFill="1" applyBorder="1" applyAlignment="1">
      <alignment vertical="center"/>
    </xf>
    <xf numFmtId="0" fontId="5" fillId="36" borderId="115" xfId="64" applyFont="1" applyFill="1" applyBorder="1" applyAlignment="1" applyProtection="1">
      <alignment horizontal="center" vertical="center" wrapText="1"/>
      <protection locked="0"/>
    </xf>
    <xf numFmtId="0" fontId="5" fillId="36" borderId="116" xfId="60" applyFont="1" applyFill="1" applyBorder="1" applyAlignment="1" applyProtection="1">
      <alignment horizontal="center" vertical="center" wrapText="1"/>
      <protection locked="0"/>
    </xf>
    <xf numFmtId="0" fontId="0" fillId="34" borderId="0" xfId="0" applyFill="1" applyAlignment="1">
      <alignment vertical="center"/>
    </xf>
    <xf numFmtId="0" fontId="0" fillId="34" borderId="117" xfId="0" applyFill="1" applyBorder="1" applyAlignment="1">
      <alignment vertical="center"/>
    </xf>
    <xf numFmtId="0" fontId="5" fillId="35" borderId="62" xfId="64" applyFont="1" applyFill="1" applyBorder="1" applyAlignment="1" applyProtection="1">
      <alignment vertical="center" wrapText="1"/>
      <protection locked="0"/>
    </xf>
    <xf numFmtId="0" fontId="5" fillId="34" borderId="34" xfId="64" applyFont="1" applyFill="1" applyBorder="1" applyAlignment="1" applyProtection="1">
      <alignment vertical="center" wrapText="1"/>
      <protection locked="0"/>
    </xf>
    <xf numFmtId="0" fontId="5" fillId="34" borderId="35" xfId="60" applyFont="1" applyFill="1" applyBorder="1" applyAlignment="1" applyProtection="1">
      <alignment vertical="center" wrapText="1"/>
      <protection locked="0"/>
    </xf>
    <xf numFmtId="186" fontId="5" fillId="35" borderId="101" xfId="46" applyNumberFormat="1" applyFont="1" applyFill="1" applyBorder="1" applyAlignment="1">
      <alignment horizontal="center" vertical="center"/>
    </xf>
    <xf numFmtId="186" fontId="5" fillId="35" borderId="118" xfId="46" applyNumberFormat="1" applyFont="1" applyFill="1" applyBorder="1" applyAlignment="1">
      <alignment horizontal="center" vertical="center"/>
    </xf>
    <xf numFmtId="186" fontId="5" fillId="35" borderId="113" xfId="46" applyNumberFormat="1" applyFont="1" applyFill="1" applyBorder="1" applyAlignment="1">
      <alignment horizontal="center" vertical="center"/>
    </xf>
    <xf numFmtId="0" fontId="5" fillId="35" borderId="119" xfId="65" applyNumberFormat="1" applyFont="1" applyFill="1" applyBorder="1" applyAlignment="1" applyProtection="1">
      <alignment horizontal="center" vertical="center" wrapText="1"/>
      <protection locked="0"/>
    </xf>
    <xf numFmtId="6" fontId="5" fillId="36" borderId="119" xfId="65" applyNumberFormat="1" applyFont="1" applyFill="1" applyBorder="1" applyAlignment="1" applyProtection="1">
      <alignment horizontal="right" vertical="center" wrapText="1"/>
      <protection locked="0"/>
    </xf>
    <xf numFmtId="6" fontId="5" fillId="36" borderId="118" xfId="65" applyNumberFormat="1" applyFont="1" applyFill="1" applyBorder="1" applyAlignment="1" applyProtection="1">
      <alignment horizontal="right" vertical="center" wrapText="1"/>
      <protection locked="0"/>
    </xf>
    <xf numFmtId="6" fontId="5" fillId="36" borderId="120" xfId="65" applyNumberFormat="1" applyFont="1" applyFill="1" applyBorder="1" applyAlignment="1" applyProtection="1">
      <alignment horizontal="right" vertical="center" wrapText="1"/>
      <protection locked="0"/>
    </xf>
    <xf numFmtId="6" fontId="5" fillId="36" borderId="121" xfId="65" applyNumberFormat="1" applyFont="1" applyFill="1" applyBorder="1" applyAlignment="1" applyProtection="1">
      <alignment horizontal="right" vertical="center"/>
      <protection locked="0"/>
    </xf>
    <xf numFmtId="0" fontId="53" fillId="34" borderId="0" xfId="65" applyFont="1" applyFill="1" applyBorder="1" applyAlignment="1" applyProtection="1">
      <alignment vertical="center"/>
      <protection locked="0"/>
    </xf>
    <xf numFmtId="198" fontId="5" fillId="35" borderId="122" xfId="65" applyNumberFormat="1" applyFont="1" applyFill="1" applyBorder="1" applyAlignment="1" applyProtection="1" quotePrefix="1">
      <alignment horizontal="left" vertical="center" wrapText="1"/>
      <protection locked="0"/>
    </xf>
    <xf numFmtId="49" fontId="8" fillId="34" borderId="123" xfId="46" applyNumberFormat="1" applyFont="1" applyFill="1" applyBorder="1" applyAlignment="1" applyProtection="1">
      <alignment horizontal="center" vertical="center" wrapText="1"/>
      <protection locked="0"/>
    </xf>
    <xf numFmtId="49" fontId="8" fillId="34" borderId="124" xfId="65" applyNumberFormat="1" applyFont="1" applyFill="1" applyBorder="1" applyAlignment="1" applyProtection="1">
      <alignment horizontal="center" vertical="center" wrapText="1"/>
      <protection locked="0"/>
    </xf>
    <xf numFmtId="49" fontId="8" fillId="34" borderId="125" xfId="65" applyNumberFormat="1" applyFont="1" applyFill="1" applyBorder="1" applyAlignment="1" applyProtection="1">
      <alignment horizontal="center" vertical="center" wrapText="1"/>
      <protection locked="0"/>
    </xf>
    <xf numFmtId="44" fontId="8" fillId="34" borderId="126" xfId="65" applyNumberFormat="1" applyFont="1" applyFill="1" applyBorder="1" applyAlignment="1" applyProtection="1">
      <alignment horizontal="center" vertical="center" wrapText="1"/>
      <protection locked="0"/>
    </xf>
    <xf numFmtId="1" fontId="5" fillId="36" borderId="118" xfId="65" applyNumberFormat="1" applyFont="1" applyFill="1" applyBorder="1" applyAlignment="1" applyProtection="1">
      <alignment horizontal="right" vertical="center" wrapText="1" shrinkToFit="1"/>
      <protection locked="0"/>
    </xf>
    <xf numFmtId="1" fontId="5" fillId="36" borderId="127" xfId="65" applyNumberFormat="1" applyFont="1" applyFill="1" applyBorder="1" applyAlignment="1" applyProtection="1">
      <alignment horizontal="right" vertical="center" wrapText="1"/>
      <protection locked="0"/>
    </xf>
    <xf numFmtId="0" fontId="8" fillId="34" borderId="123" xfId="0" applyFont="1" applyFill="1" applyBorder="1" applyAlignment="1">
      <alignment horizontal="center" vertical="center" wrapText="1"/>
    </xf>
    <xf numFmtId="0" fontId="8" fillId="34" borderId="128" xfId="0" applyFont="1" applyFill="1" applyBorder="1" applyAlignment="1">
      <alignment horizontal="center" vertical="center" wrapText="1"/>
    </xf>
    <xf numFmtId="0" fontId="8" fillId="34" borderId="89" xfId="64" applyFont="1" applyFill="1" applyBorder="1" applyAlignment="1" applyProtection="1">
      <alignment horizontal="center" vertical="center" wrapText="1"/>
      <protection locked="0"/>
    </xf>
    <xf numFmtId="177" fontId="8" fillId="34" borderId="89" xfId="69" applyNumberFormat="1" applyFont="1" applyFill="1" applyBorder="1" applyAlignment="1" applyProtection="1">
      <alignment horizontal="center" vertical="center" wrapText="1"/>
      <protection locked="0"/>
    </xf>
    <xf numFmtId="177" fontId="8" fillId="34" borderId="124" xfId="69" applyNumberFormat="1" applyFont="1" applyFill="1" applyBorder="1" applyAlignment="1" applyProtection="1">
      <alignment horizontal="center" vertical="center" wrapText="1"/>
      <protection locked="0"/>
    </xf>
    <xf numFmtId="177" fontId="8" fillId="34" borderId="129" xfId="69" applyNumberFormat="1" applyFont="1" applyFill="1" applyBorder="1" applyAlignment="1" applyProtection="1">
      <alignment horizontal="center" vertical="center" wrapText="1"/>
      <protection locked="0"/>
    </xf>
    <xf numFmtId="0" fontId="8" fillId="34" borderId="130" xfId="64" applyFont="1" applyFill="1" applyBorder="1" applyAlignment="1" applyProtection="1">
      <alignment horizontal="center" vertical="center" wrapText="1"/>
      <protection locked="0"/>
    </xf>
    <xf numFmtId="1" fontId="8" fillId="34" borderId="124" xfId="64" applyNumberFormat="1" applyFont="1" applyFill="1" applyBorder="1" applyAlignment="1" applyProtection="1">
      <alignment horizontal="center" vertical="center" wrapText="1"/>
      <protection locked="0"/>
    </xf>
    <xf numFmtId="1" fontId="8" fillId="34" borderId="131" xfId="64" applyNumberFormat="1" applyFont="1" applyFill="1" applyBorder="1" applyAlignment="1" applyProtection="1">
      <alignment horizontal="center" vertical="center" wrapText="1"/>
      <protection locked="0"/>
    </xf>
    <xf numFmtId="186" fontId="5" fillId="36" borderId="119" xfId="65" applyNumberFormat="1" applyFont="1" applyFill="1" applyBorder="1" applyAlignment="1" applyProtection="1">
      <alignment horizontal="right" vertical="center" wrapText="1"/>
      <protection locked="0"/>
    </xf>
    <xf numFmtId="186" fontId="5" fillId="36" borderId="118" xfId="65" applyNumberFormat="1" applyFont="1" applyFill="1" applyBorder="1" applyAlignment="1" applyProtection="1">
      <alignment horizontal="right" vertical="center" wrapText="1"/>
      <protection locked="0"/>
    </xf>
    <xf numFmtId="186" fontId="5" fillId="36" borderId="120" xfId="65" applyNumberFormat="1" applyFont="1" applyFill="1" applyBorder="1" applyAlignment="1" applyProtection="1">
      <alignment horizontal="right" vertical="center" wrapText="1"/>
      <protection locked="0"/>
    </xf>
    <xf numFmtId="186" fontId="5" fillId="36" borderId="121" xfId="65" applyNumberFormat="1" applyFont="1" applyFill="1" applyBorder="1" applyAlignment="1" applyProtection="1">
      <alignment horizontal="right" vertical="center"/>
      <protection locked="0"/>
    </xf>
    <xf numFmtId="186" fontId="5" fillId="34" borderId="123" xfId="65" applyNumberFormat="1" applyFont="1" applyFill="1" applyBorder="1" applyAlignment="1" applyProtection="1">
      <alignment horizontal="right" vertical="center" wrapText="1"/>
      <protection locked="0"/>
    </xf>
    <xf numFmtId="186" fontId="5" fillId="34" borderId="130" xfId="65" applyNumberFormat="1" applyFont="1" applyFill="1" applyBorder="1" applyAlignment="1" applyProtection="1">
      <alignment horizontal="right" vertical="center" wrapText="1"/>
      <protection locked="0"/>
    </xf>
    <xf numFmtId="186" fontId="5" fillId="34" borderId="132" xfId="65" applyNumberFormat="1" applyFont="1" applyFill="1" applyBorder="1" applyAlignment="1" applyProtection="1">
      <alignment horizontal="right" vertical="center" wrapText="1"/>
      <protection locked="0"/>
    </xf>
    <xf numFmtId="3" fontId="8" fillId="34" borderId="74" xfId="65" applyNumberFormat="1" applyFont="1" applyFill="1" applyBorder="1" applyAlignment="1" applyProtection="1">
      <alignment horizontal="center" vertical="center" wrapText="1"/>
      <protection locked="0"/>
    </xf>
    <xf numFmtId="0" fontId="0" fillId="34" borderId="74" xfId="0" applyFont="1" applyFill="1" applyBorder="1" applyAlignment="1">
      <alignment horizontal="center" vertical="center" wrapText="1"/>
    </xf>
    <xf numFmtId="0" fontId="0" fillId="34" borderId="0" xfId="0" applyFont="1" applyFill="1" applyBorder="1" applyAlignment="1">
      <alignment horizontal="center" vertical="center" wrapText="1"/>
    </xf>
    <xf numFmtId="9" fontId="5" fillId="36" borderId="133" xfId="69" applyFont="1" applyFill="1" applyBorder="1" applyAlignment="1" applyProtection="1">
      <alignment horizontal="center" vertical="center" wrapText="1"/>
      <protection locked="0"/>
    </xf>
    <xf numFmtId="3" fontId="8" fillId="34" borderId="0" xfId="65" applyNumberFormat="1" applyFont="1" applyFill="1" applyBorder="1" applyAlignment="1" applyProtection="1">
      <alignment horizontal="center" vertical="center" wrapText="1"/>
      <protection locked="0"/>
    </xf>
    <xf numFmtId="3" fontId="8" fillId="34" borderId="134" xfId="65" applyNumberFormat="1" applyFont="1" applyFill="1" applyBorder="1" applyAlignment="1" applyProtection="1">
      <alignment horizontal="center" vertical="center"/>
      <protection locked="0"/>
    </xf>
    <xf numFmtId="3" fontId="8" fillId="34" borderId="135" xfId="65" applyNumberFormat="1" applyFont="1" applyFill="1" applyBorder="1" applyAlignment="1" applyProtection="1" quotePrefix="1">
      <alignment horizontal="right" vertical="center"/>
      <protection locked="0"/>
    </xf>
    <xf numFmtId="3" fontId="8" fillId="34" borderId="80" xfId="65" applyNumberFormat="1" applyFont="1" applyFill="1" applyBorder="1" applyAlignment="1" applyProtection="1">
      <alignment horizontal="right" vertical="center"/>
      <protection locked="0"/>
    </xf>
    <xf numFmtId="6" fontId="8" fillId="36" borderId="136" xfId="65" applyNumberFormat="1" applyFont="1" applyFill="1" applyBorder="1" applyAlignment="1" applyProtection="1">
      <alignment horizontal="right" vertical="center"/>
      <protection locked="0"/>
    </xf>
    <xf numFmtId="185" fontId="8" fillId="36" borderId="119" xfId="65" applyNumberFormat="1" applyFont="1" applyFill="1" applyBorder="1" applyAlignment="1" applyProtection="1">
      <alignment horizontal="right"/>
      <protection locked="0"/>
    </xf>
    <xf numFmtId="185" fontId="8" fillId="36" borderId="118" xfId="65" applyNumberFormat="1" applyFont="1" applyFill="1" applyBorder="1" applyAlignment="1" applyProtection="1">
      <alignment horizontal="right"/>
      <protection locked="0"/>
    </xf>
    <xf numFmtId="185" fontId="8" fillId="36" borderId="127" xfId="65" applyNumberFormat="1" applyFont="1" applyFill="1" applyBorder="1" applyAlignment="1" applyProtection="1">
      <alignment horizontal="right"/>
      <protection locked="0"/>
    </xf>
    <xf numFmtId="3" fontId="8" fillId="34" borderId="137" xfId="65" applyNumberFormat="1" applyFont="1" applyFill="1" applyBorder="1" applyAlignment="1" applyProtection="1">
      <alignment horizontal="left" vertical="center"/>
      <protection locked="0"/>
    </xf>
    <xf numFmtId="186" fontId="5" fillId="34" borderId="58" xfId="65" applyNumberFormat="1" applyFont="1" applyFill="1" applyBorder="1" applyAlignment="1" applyProtection="1">
      <alignment horizontal="right" vertical="center" wrapText="1"/>
      <protection locked="0"/>
    </xf>
    <xf numFmtId="186" fontId="5" fillId="34" borderId="138" xfId="65" applyNumberFormat="1" applyFont="1" applyFill="1" applyBorder="1" applyAlignment="1" applyProtection="1">
      <alignment horizontal="right" vertical="center"/>
      <protection locked="0"/>
    </xf>
    <xf numFmtId="6" fontId="8" fillId="36" borderId="139" xfId="65" applyNumberFormat="1" applyFont="1" applyFill="1" applyBorder="1" applyAlignment="1" applyProtection="1">
      <alignment horizontal="right" vertical="center"/>
      <protection locked="0"/>
    </xf>
    <xf numFmtId="3" fontId="8" fillId="34" borderId="58" xfId="65" applyNumberFormat="1" applyFont="1" applyFill="1" applyBorder="1" applyAlignment="1" applyProtection="1">
      <alignment horizontal="right" vertical="center"/>
      <protection locked="0"/>
    </xf>
    <xf numFmtId="3" fontId="8" fillId="34" borderId="58" xfId="65" applyNumberFormat="1" applyFont="1" applyFill="1" applyBorder="1" applyAlignment="1" applyProtection="1" quotePrefix="1">
      <alignment horizontal="right" vertical="center"/>
      <protection locked="0"/>
    </xf>
    <xf numFmtId="6" fontId="8" fillId="34" borderId="140" xfId="65" applyNumberFormat="1" applyFont="1" applyFill="1" applyBorder="1" applyAlignment="1" applyProtection="1">
      <alignment horizontal="right" vertical="center"/>
      <protection locked="0"/>
    </xf>
    <xf numFmtId="6" fontId="8" fillId="34" borderId="112" xfId="65" applyNumberFormat="1" applyFont="1" applyFill="1" applyBorder="1" applyAlignment="1" applyProtection="1">
      <alignment horizontal="right" vertical="center"/>
      <protection locked="0"/>
    </xf>
    <xf numFmtId="17" fontId="0" fillId="0" borderId="0" xfId="61" applyNumberFormat="1" applyFont="1" applyBorder="1">
      <alignment/>
      <protection/>
    </xf>
    <xf numFmtId="7" fontId="53" fillId="34" borderId="0" xfId="65" applyNumberFormat="1" applyFont="1" applyFill="1" applyBorder="1" applyAlignment="1" applyProtection="1">
      <alignment vertical="center"/>
      <protection locked="0"/>
    </xf>
    <xf numFmtId="15" fontId="5" fillId="35" borderId="38" xfId="65" applyNumberFormat="1" applyFont="1" applyFill="1" applyBorder="1" applyAlignment="1" applyProtection="1" quotePrefix="1">
      <alignment horizontal="left" vertical="center" wrapText="1"/>
      <protection locked="0"/>
    </xf>
    <xf numFmtId="0" fontId="5" fillId="41" borderId="0" xfId="65" applyFont="1" applyFill="1" applyBorder="1" applyAlignment="1" applyProtection="1">
      <alignment vertical="center"/>
      <protection locked="0"/>
    </xf>
    <xf numFmtId="0" fontId="8" fillId="34" borderId="141" xfId="66" applyFont="1" applyFill="1" applyBorder="1" applyAlignment="1">
      <alignment horizontal="center" vertical="center" wrapText="1"/>
      <protection/>
    </xf>
    <xf numFmtId="0" fontId="0" fillId="34" borderId="142" xfId="65" applyFont="1" applyFill="1" applyBorder="1" applyAlignment="1" applyProtection="1">
      <alignment vertical="center"/>
      <protection locked="0"/>
    </xf>
    <xf numFmtId="0" fontId="8" fillId="34" borderId="143" xfId="64" applyFont="1" applyFill="1" applyBorder="1" applyAlignment="1" applyProtection="1">
      <alignment horizontal="center" vertical="center" wrapText="1"/>
      <protection locked="0"/>
    </xf>
    <xf numFmtId="0" fontId="8" fillId="34" borderId="144" xfId="65" applyFont="1" applyFill="1" applyBorder="1" applyAlignment="1" applyProtection="1">
      <alignment horizontal="center" vertical="center"/>
      <protection locked="0"/>
    </xf>
    <xf numFmtId="7" fontId="5" fillId="34" borderId="145" xfId="65" applyNumberFormat="1" applyFont="1" applyFill="1" applyBorder="1" applyAlignment="1" applyProtection="1">
      <alignment vertical="center"/>
      <protection locked="0"/>
    </xf>
    <xf numFmtId="0" fontId="5" fillId="34" borderId="146" xfId="65" applyFont="1" applyFill="1" applyBorder="1" applyAlignment="1" applyProtection="1">
      <alignment horizontal="center" vertical="center"/>
      <protection locked="0"/>
    </xf>
    <xf numFmtId="0" fontId="5" fillId="34" borderId="147" xfId="65" applyFont="1" applyFill="1" applyBorder="1" applyAlignment="1" applyProtection="1">
      <alignment horizontal="center" vertical="center"/>
      <protection locked="0"/>
    </xf>
    <xf numFmtId="0" fontId="5" fillId="34" borderId="148" xfId="60" applyFont="1" applyFill="1" applyBorder="1" applyAlignment="1" applyProtection="1">
      <alignment vertical="center" wrapText="1"/>
      <protection locked="0"/>
    </xf>
    <xf numFmtId="0" fontId="5" fillId="35" borderId="149" xfId="65" applyFont="1" applyFill="1" applyBorder="1" applyAlignment="1" applyProtection="1">
      <alignment horizontal="center" vertical="center" wrapText="1"/>
      <protection locked="0"/>
    </xf>
    <xf numFmtId="0" fontId="5" fillId="35" borderId="147" xfId="65" applyFont="1" applyFill="1" applyBorder="1" applyAlignment="1" applyProtection="1">
      <alignment horizontal="center" vertical="center" wrapText="1"/>
      <protection locked="0"/>
    </xf>
    <xf numFmtId="0" fontId="5" fillId="35" borderId="150" xfId="65" applyFont="1" applyFill="1" applyBorder="1" applyAlignment="1" applyProtection="1">
      <alignment horizontal="center" vertical="center" wrapText="1"/>
      <protection locked="0"/>
    </xf>
    <xf numFmtId="0" fontId="5" fillId="35" borderId="151" xfId="64" applyFont="1" applyFill="1" applyBorder="1" applyAlignment="1" applyProtection="1">
      <alignment horizontal="center" vertical="center" wrapText="1"/>
      <protection locked="0"/>
    </xf>
    <xf numFmtId="0" fontId="5" fillId="35" borderId="149" xfId="64" applyFont="1" applyFill="1" applyBorder="1" applyAlignment="1" applyProtection="1">
      <alignment vertical="center" wrapText="1"/>
      <protection locked="0"/>
    </xf>
    <xf numFmtId="0" fontId="5" fillId="35" borderId="152" xfId="64" applyFont="1" applyFill="1" applyBorder="1" applyAlignment="1" applyProtection="1">
      <alignment vertical="center" wrapText="1"/>
      <protection locked="0"/>
    </xf>
    <xf numFmtId="0" fontId="5" fillId="35" borderId="151" xfId="64" applyFont="1" applyFill="1" applyBorder="1" applyAlignment="1" applyProtection="1">
      <alignment vertical="center" wrapText="1"/>
      <protection locked="0"/>
    </xf>
    <xf numFmtId="6" fontId="5" fillId="35" borderId="151" xfId="64" applyNumberFormat="1" applyFont="1" applyFill="1" applyBorder="1" applyAlignment="1" applyProtection="1">
      <alignment horizontal="right" vertical="center" wrapText="1"/>
      <protection locked="0"/>
    </xf>
    <xf numFmtId="15" fontId="5" fillId="35" borderId="147" xfId="64" applyNumberFormat="1" applyFont="1" applyFill="1" applyBorder="1" applyAlignment="1" applyProtection="1">
      <alignment horizontal="center" vertical="center" wrapText="1"/>
      <protection locked="0"/>
    </xf>
    <xf numFmtId="9" fontId="5" fillId="35" borderId="152" xfId="69" applyNumberFormat="1" applyFont="1" applyFill="1" applyBorder="1" applyAlignment="1" applyProtection="1">
      <alignment horizontal="center" vertical="center" wrapText="1"/>
      <protection locked="0"/>
    </xf>
    <xf numFmtId="0" fontId="5" fillId="35" borderId="153" xfId="64" applyFont="1" applyFill="1" applyBorder="1" applyAlignment="1" applyProtection="1">
      <alignment horizontal="center" vertical="center" wrapText="1"/>
      <protection locked="0"/>
    </xf>
    <xf numFmtId="0" fontId="5" fillId="36" borderId="151" xfId="64" applyFont="1" applyFill="1" applyBorder="1" applyAlignment="1" applyProtection="1">
      <alignment horizontal="center" vertical="center" wrapText="1"/>
      <protection locked="0"/>
    </xf>
    <xf numFmtId="0" fontId="5" fillId="36" borderId="147" xfId="60" applyFont="1" applyFill="1" applyBorder="1" applyAlignment="1" applyProtection="1">
      <alignment horizontal="center" vertical="center" wrapText="1"/>
      <protection locked="0"/>
    </xf>
    <xf numFmtId="6" fontId="5" fillId="35" borderId="152" xfId="46" applyNumberFormat="1" applyFont="1" applyFill="1" applyBorder="1" applyAlignment="1">
      <alignment horizontal="right" vertical="center"/>
    </xf>
    <xf numFmtId="6" fontId="5" fillId="35" borderId="151" xfId="46" applyNumberFormat="1" applyFont="1" applyFill="1" applyBorder="1" applyAlignment="1">
      <alignment horizontal="right" vertical="center"/>
    </xf>
    <xf numFmtId="6" fontId="5" fillId="35" borderId="147" xfId="46" applyNumberFormat="1" applyFont="1" applyFill="1" applyBorder="1" applyAlignment="1">
      <alignment horizontal="right" vertical="center"/>
    </xf>
    <xf numFmtId="6" fontId="5" fillId="36" borderId="151" xfId="46" applyNumberFormat="1" applyFont="1" applyFill="1" applyBorder="1" applyAlignment="1">
      <alignment horizontal="right" vertical="center"/>
    </xf>
    <xf numFmtId="6" fontId="5" fillId="36" borderId="151" xfId="65" applyNumberFormat="1" applyFont="1" applyFill="1" applyBorder="1" applyAlignment="1" applyProtection="1">
      <alignment horizontal="right" vertical="center" wrapText="1" shrinkToFit="1"/>
      <protection locked="0"/>
    </xf>
    <xf numFmtId="6" fontId="5" fillId="36" borderId="147" xfId="65" applyNumberFormat="1" applyFont="1" applyFill="1" applyBorder="1" applyAlignment="1" applyProtection="1">
      <alignment horizontal="right" vertical="center" wrapText="1"/>
      <protection locked="0"/>
    </xf>
    <xf numFmtId="0" fontId="5" fillId="34" borderId="154" xfId="65" applyFont="1" applyFill="1" applyBorder="1" applyAlignment="1" applyProtection="1">
      <alignment horizontal="center" vertical="center"/>
      <protection locked="0"/>
    </xf>
    <xf numFmtId="0" fontId="5" fillId="35" borderId="155" xfId="65" applyFont="1" applyFill="1" applyBorder="1" applyAlignment="1" applyProtection="1">
      <alignment vertical="center" wrapText="1"/>
      <protection locked="0"/>
    </xf>
    <xf numFmtId="0" fontId="5" fillId="35" borderId="156" xfId="65" applyFont="1" applyFill="1" applyBorder="1" applyAlignment="1" applyProtection="1">
      <alignment vertical="center" wrapText="1"/>
      <protection locked="0"/>
    </xf>
    <xf numFmtId="0" fontId="5" fillId="34" borderId="157" xfId="65" applyFont="1" applyFill="1" applyBorder="1" applyAlignment="1" applyProtection="1">
      <alignment horizontal="center" vertical="center"/>
      <protection locked="0"/>
    </xf>
    <xf numFmtId="0" fontId="5" fillId="34" borderId="158" xfId="65" applyFont="1" applyFill="1" applyBorder="1" applyAlignment="1" applyProtection="1">
      <alignment horizontal="center" vertical="center"/>
      <protection locked="0"/>
    </xf>
    <xf numFmtId="0" fontId="5" fillId="34" borderId="159" xfId="60" applyFont="1" applyFill="1" applyBorder="1" applyAlignment="1" applyProtection="1">
      <alignment vertical="center" wrapText="1"/>
      <protection locked="0"/>
    </xf>
    <xf numFmtId="0" fontId="5" fillId="34" borderId="160" xfId="64" applyFont="1" applyFill="1" applyBorder="1" applyAlignment="1" applyProtection="1">
      <alignment vertical="center" wrapText="1"/>
      <protection locked="0"/>
    </xf>
    <xf numFmtId="0" fontId="5" fillId="35" borderId="161" xfId="65" applyFont="1" applyFill="1" applyBorder="1" applyAlignment="1" applyProtection="1">
      <alignment horizontal="center" vertical="center" wrapText="1"/>
      <protection locked="0"/>
    </xf>
    <xf numFmtId="0" fontId="5" fillId="35" borderId="162" xfId="65" applyFont="1" applyFill="1" applyBorder="1" applyAlignment="1" applyProtection="1">
      <alignment horizontal="center" vertical="center" wrapText="1"/>
      <protection locked="0"/>
    </xf>
    <xf numFmtId="0" fontId="5" fillId="35" borderId="158" xfId="65" applyFont="1" applyFill="1" applyBorder="1" applyAlignment="1" applyProtection="1">
      <alignment horizontal="center" vertical="center" wrapText="1"/>
      <protection locked="0"/>
    </xf>
    <xf numFmtId="0" fontId="5" fillId="35" borderId="163" xfId="65" applyFont="1" applyFill="1" applyBorder="1" applyAlignment="1" applyProtection="1">
      <alignment horizontal="center" vertical="center" wrapText="1"/>
      <protection locked="0"/>
    </xf>
    <xf numFmtId="0" fontId="5" fillId="35" borderId="160" xfId="64" applyFont="1" applyFill="1" applyBorder="1" applyAlignment="1" applyProtection="1">
      <alignment horizontal="center" vertical="center" wrapText="1"/>
      <protection locked="0"/>
    </xf>
    <xf numFmtId="0" fontId="5" fillId="36" borderId="160" xfId="64" applyFont="1" applyFill="1" applyBorder="1" applyAlignment="1" applyProtection="1">
      <alignment horizontal="center" vertical="center" wrapText="1"/>
      <protection locked="0"/>
    </xf>
    <xf numFmtId="0" fontId="5" fillId="36" borderId="158" xfId="60" applyFont="1" applyFill="1" applyBorder="1" applyAlignment="1" applyProtection="1">
      <alignment horizontal="center" vertical="center" wrapText="1"/>
      <protection locked="0"/>
    </xf>
    <xf numFmtId="0" fontId="5" fillId="35" borderId="160" xfId="64" applyFont="1" applyFill="1" applyBorder="1" applyAlignment="1" applyProtection="1">
      <alignment vertical="center" wrapText="1"/>
      <protection locked="0"/>
    </xf>
    <xf numFmtId="0" fontId="5" fillId="35" borderId="164" xfId="64" applyFont="1" applyFill="1" applyBorder="1" applyAlignment="1" applyProtection="1">
      <alignment vertical="center" wrapText="1"/>
      <protection locked="0"/>
    </xf>
    <xf numFmtId="6" fontId="5" fillId="35" borderId="160" xfId="64" applyNumberFormat="1" applyFont="1" applyFill="1" applyBorder="1" applyAlignment="1" applyProtection="1">
      <alignment horizontal="right" vertical="center" wrapText="1"/>
      <protection locked="0"/>
    </xf>
    <xf numFmtId="15" fontId="5" fillId="35" borderId="158" xfId="64" applyNumberFormat="1" applyFont="1" applyFill="1" applyBorder="1" applyAlignment="1" applyProtection="1">
      <alignment horizontal="center" vertical="center" wrapText="1"/>
      <protection locked="0"/>
    </xf>
    <xf numFmtId="9" fontId="5" fillId="35" borderId="164" xfId="69" applyNumberFormat="1" applyFont="1" applyFill="1" applyBorder="1" applyAlignment="1" applyProtection="1">
      <alignment horizontal="center" vertical="center" wrapText="1"/>
      <protection locked="0"/>
    </xf>
    <xf numFmtId="6" fontId="5" fillId="35" borderId="164" xfId="46" applyNumberFormat="1" applyFont="1" applyFill="1" applyBorder="1" applyAlignment="1">
      <alignment horizontal="right" vertical="center"/>
    </xf>
    <xf numFmtId="6" fontId="5" fillId="35" borderId="160" xfId="46" applyNumberFormat="1" applyFont="1" applyFill="1" applyBorder="1" applyAlignment="1">
      <alignment horizontal="right" vertical="center"/>
    </xf>
    <xf numFmtId="6" fontId="5" fillId="35" borderId="158" xfId="46" applyNumberFormat="1" applyFont="1" applyFill="1" applyBorder="1" applyAlignment="1">
      <alignment horizontal="right" vertical="center"/>
    </xf>
    <xf numFmtId="6" fontId="5" fillId="36" borderId="164" xfId="46" applyNumberFormat="1" applyFont="1" applyFill="1" applyBorder="1" applyAlignment="1">
      <alignment horizontal="right" vertical="center"/>
    </xf>
    <xf numFmtId="1" fontId="5" fillId="36" borderId="160" xfId="65" applyNumberFormat="1" applyFont="1" applyFill="1" applyBorder="1" applyAlignment="1" applyProtection="1">
      <alignment horizontal="right" vertical="center" wrapText="1"/>
      <protection locked="0"/>
    </xf>
    <xf numFmtId="6" fontId="5" fillId="36" borderId="160" xfId="65" applyNumberFormat="1" applyFont="1" applyFill="1" applyBorder="1" applyAlignment="1" applyProtection="1">
      <alignment horizontal="right" vertical="center" wrapText="1" shrinkToFit="1"/>
      <protection locked="0"/>
    </xf>
    <xf numFmtId="6" fontId="5" fillId="36" borderId="158" xfId="65" applyNumberFormat="1" applyFont="1" applyFill="1" applyBorder="1" applyAlignment="1" applyProtection="1">
      <alignment horizontal="right" vertical="center" wrapText="1"/>
      <protection locked="0"/>
    </xf>
    <xf numFmtId="0" fontId="5" fillId="35" borderId="165" xfId="65" applyFont="1" applyFill="1" applyBorder="1" applyAlignment="1" applyProtection="1">
      <alignment vertical="center" wrapText="1"/>
      <protection locked="0"/>
    </xf>
    <xf numFmtId="0" fontId="0" fillId="34" borderId="166" xfId="0" applyFill="1" applyBorder="1" applyAlignment="1">
      <alignment vertical="center"/>
    </xf>
    <xf numFmtId="0" fontId="4" fillId="34" borderId="76" xfId="66" applyFont="1" applyFill="1" applyBorder="1" applyAlignment="1">
      <alignment vertical="center"/>
      <protection/>
    </xf>
    <xf numFmtId="0" fontId="0" fillId="34" borderId="0" xfId="0" applyFill="1" applyBorder="1" applyAlignment="1">
      <alignment/>
    </xf>
    <xf numFmtId="0" fontId="52" fillId="34" borderId="0" xfId="0" applyFont="1" applyFill="1" applyBorder="1" applyAlignment="1">
      <alignment vertical="center"/>
    </xf>
    <xf numFmtId="0" fontId="5" fillId="35" borderId="167" xfId="64" applyFont="1" applyFill="1" applyBorder="1" applyAlignment="1">
      <alignment vertical="center" wrapText="1"/>
      <protection/>
    </xf>
    <xf numFmtId="0" fontId="5" fillId="35" borderId="167" xfId="65" applyFont="1" applyFill="1" applyBorder="1" applyAlignment="1">
      <alignment vertical="center" wrapText="1"/>
      <protection/>
    </xf>
    <xf numFmtId="0" fontId="5" fillId="35" borderId="167" xfId="65" applyFont="1" applyFill="1" applyBorder="1" applyAlignment="1" applyProtection="1">
      <alignment horizontal="center" vertical="center" wrapText="1"/>
      <protection locked="0"/>
    </xf>
    <xf numFmtId="0" fontId="5" fillId="35" borderId="167" xfId="64" applyFont="1" applyFill="1" applyBorder="1" applyAlignment="1" applyProtection="1">
      <alignment horizontal="center" vertical="center" wrapText="1"/>
      <protection locked="0"/>
    </xf>
    <xf numFmtId="0" fontId="5" fillId="36" borderId="167" xfId="64" applyFont="1" applyFill="1" applyBorder="1" applyAlignment="1" applyProtection="1">
      <alignment horizontal="center" vertical="center" wrapText="1"/>
      <protection locked="0"/>
    </xf>
    <xf numFmtId="0" fontId="5" fillId="36" borderId="167" xfId="60" applyFont="1" applyFill="1" applyBorder="1" applyAlignment="1" applyProtection="1">
      <alignment horizontal="center" vertical="center" wrapText="1"/>
      <protection locked="0"/>
    </xf>
    <xf numFmtId="0" fontId="5" fillId="35" borderId="167" xfId="60" applyFont="1" applyFill="1" applyBorder="1" applyAlignment="1" applyProtection="1">
      <alignment horizontal="center" vertical="center" wrapText="1"/>
      <protection locked="0"/>
    </xf>
    <xf numFmtId="0" fontId="5" fillId="35" borderId="167" xfId="64" applyFont="1" applyFill="1" applyBorder="1" applyAlignment="1" applyProtection="1">
      <alignment vertical="center" wrapText="1"/>
      <protection locked="0"/>
    </xf>
    <xf numFmtId="6" fontId="5" fillId="35" borderId="167" xfId="64" applyNumberFormat="1" applyFont="1" applyFill="1" applyBorder="1" applyAlignment="1" applyProtection="1">
      <alignment horizontal="right" vertical="center" wrapText="1"/>
      <protection locked="0"/>
    </xf>
    <xf numFmtId="15" fontId="5" fillId="35" borderId="167" xfId="64" applyNumberFormat="1" applyFont="1" applyFill="1" applyBorder="1" applyAlignment="1" applyProtection="1">
      <alignment horizontal="center" vertical="center" wrapText="1"/>
      <protection locked="0"/>
    </xf>
    <xf numFmtId="9" fontId="5" fillId="35" borderId="167" xfId="69" applyNumberFormat="1" applyFont="1" applyFill="1" applyBorder="1" applyAlignment="1">
      <alignment horizontal="center" vertical="center"/>
    </xf>
    <xf numFmtId="6" fontId="5" fillId="35" borderId="167" xfId="46" applyNumberFormat="1" applyFont="1" applyFill="1" applyBorder="1" applyAlignment="1">
      <alignment horizontal="right" vertical="center"/>
    </xf>
    <xf numFmtId="6" fontId="5" fillId="36" borderId="167" xfId="46" applyNumberFormat="1" applyFont="1" applyFill="1" applyBorder="1" applyAlignment="1">
      <alignment horizontal="right" vertical="center"/>
    </xf>
    <xf numFmtId="1" fontId="5" fillId="36" borderId="167" xfId="65" applyNumberFormat="1" applyFont="1" applyFill="1" applyBorder="1" applyAlignment="1" applyProtection="1">
      <alignment horizontal="right" vertical="center" wrapText="1"/>
      <protection locked="0"/>
    </xf>
    <xf numFmtId="6" fontId="5" fillId="36" borderId="167" xfId="65" applyNumberFormat="1" applyFont="1" applyFill="1" applyBorder="1" applyAlignment="1" applyProtection="1">
      <alignment horizontal="right" vertical="center" wrapText="1" shrinkToFit="1"/>
      <protection locked="0"/>
    </xf>
    <xf numFmtId="6" fontId="5" fillId="36" borderId="167" xfId="65" applyNumberFormat="1" applyFont="1" applyFill="1" applyBorder="1" applyAlignment="1" applyProtection="1">
      <alignment horizontal="right" vertical="center" wrapText="1"/>
      <protection locked="0"/>
    </xf>
    <xf numFmtId="0" fontId="0" fillId="34" borderId="167" xfId="0" applyFill="1" applyBorder="1" applyAlignment="1">
      <alignment vertical="center"/>
    </xf>
    <xf numFmtId="0" fontId="52" fillId="34" borderId="167" xfId="0" applyFont="1" applyFill="1" applyBorder="1" applyAlignment="1">
      <alignment vertical="center"/>
    </xf>
    <xf numFmtId="0" fontId="53" fillId="35" borderId="167" xfId="60" applyFont="1" applyFill="1" applyBorder="1" applyAlignment="1" applyProtection="1">
      <alignment horizontal="center" vertical="center" wrapText="1"/>
      <protection locked="0"/>
    </xf>
    <xf numFmtId="6" fontId="53" fillId="35" borderId="167" xfId="64" applyNumberFormat="1" applyFont="1" applyFill="1" applyBorder="1" applyAlignment="1" applyProtection="1">
      <alignment horizontal="right" vertical="center" wrapText="1"/>
      <protection locked="0"/>
    </xf>
    <xf numFmtId="0" fontId="53" fillId="35" borderId="167" xfId="64" applyFont="1" applyFill="1" applyBorder="1" applyAlignment="1" applyProtection="1">
      <alignment horizontal="center" vertical="center" wrapText="1"/>
      <protection locked="0"/>
    </xf>
    <xf numFmtId="15" fontId="53" fillId="35" borderId="167" xfId="64" applyNumberFormat="1" applyFont="1" applyFill="1" applyBorder="1" applyAlignment="1" applyProtection="1">
      <alignment horizontal="center" vertical="center" wrapText="1"/>
      <protection locked="0"/>
    </xf>
    <xf numFmtId="0" fontId="53" fillId="35" borderId="167" xfId="64" applyFont="1" applyFill="1" applyBorder="1" applyAlignment="1">
      <alignment vertical="center" wrapText="1"/>
      <protection/>
    </xf>
    <xf numFmtId="0" fontId="52" fillId="34" borderId="167" xfId="0" applyFont="1" applyFill="1" applyBorder="1" applyAlignment="1">
      <alignment vertical="center" wrapText="1"/>
    </xf>
    <xf numFmtId="6" fontId="22" fillId="35" borderId="167" xfId="46" applyNumberFormat="1" applyFont="1" applyFill="1" applyBorder="1" applyAlignment="1">
      <alignment horizontal="right" vertical="center"/>
    </xf>
    <xf numFmtId="0" fontId="5" fillId="34" borderId="90" xfId="65" applyFont="1" applyFill="1" applyBorder="1" applyAlignment="1" applyProtection="1">
      <alignment horizontal="center" vertical="center"/>
      <protection locked="0"/>
    </xf>
    <xf numFmtId="0" fontId="5" fillId="35" borderId="168" xfId="65" applyFont="1" applyFill="1" applyBorder="1" applyAlignment="1" applyProtection="1">
      <alignment vertical="center" wrapText="1"/>
      <protection locked="0"/>
    </xf>
    <xf numFmtId="0" fontId="5" fillId="34" borderId="152" xfId="60" applyFont="1" applyFill="1" applyBorder="1" applyAlignment="1" applyProtection="1">
      <alignment vertical="center" wrapText="1"/>
      <protection locked="0"/>
    </xf>
    <xf numFmtId="0" fontId="5" fillId="35" borderId="152" xfId="65" applyFont="1" applyFill="1" applyBorder="1" applyAlignment="1" applyProtection="1">
      <alignment horizontal="center" vertical="center" wrapText="1"/>
      <protection locked="0"/>
    </xf>
    <xf numFmtId="1" fontId="5" fillId="36" borderId="151" xfId="65" applyNumberFormat="1" applyFont="1" applyFill="1" applyBorder="1" applyAlignment="1" applyProtection="1">
      <alignment horizontal="right" vertical="center" wrapText="1"/>
      <protection locked="0"/>
    </xf>
    <xf numFmtId="0" fontId="5" fillId="35" borderId="169" xfId="65" applyFont="1" applyFill="1" applyBorder="1" applyAlignment="1" applyProtection="1">
      <alignment vertical="center" wrapText="1"/>
      <protection locked="0"/>
    </xf>
    <xf numFmtId="0" fontId="30" fillId="0" borderId="52" xfId="66" applyFont="1" applyFill="1" applyBorder="1" applyAlignment="1" applyProtection="1">
      <alignment horizontal="center" vertical="center" wrapText="1"/>
      <protection/>
    </xf>
    <xf numFmtId="0" fontId="30" fillId="0" borderId="49" xfId="66" applyFont="1" applyFill="1" applyBorder="1" applyAlignment="1" applyProtection="1">
      <alignment horizontal="center" vertical="center" wrapText="1"/>
      <protection/>
    </xf>
    <xf numFmtId="0" fontId="30" fillId="0" borderId="49" xfId="0" applyFont="1" applyFill="1" applyBorder="1" applyAlignment="1" applyProtection="1">
      <alignment horizontal="center" vertical="center" wrapText="1"/>
      <protection/>
    </xf>
    <xf numFmtId="0" fontId="30" fillId="0" borderId="50" xfId="0" applyFont="1" applyFill="1" applyBorder="1" applyAlignment="1" applyProtection="1">
      <alignment horizontal="center" vertical="center" wrapText="1"/>
      <protection/>
    </xf>
    <xf numFmtId="0" fontId="0" fillId="0" borderId="49" xfId="0" applyFill="1" applyBorder="1" applyAlignment="1" applyProtection="1">
      <alignment horizontal="center" vertical="center" wrapText="1"/>
      <protection/>
    </xf>
    <xf numFmtId="0" fontId="8" fillId="0" borderId="88" xfId="63" applyFont="1" applyFill="1" applyBorder="1" applyAlignment="1" applyProtection="1">
      <alignment horizontal="center" vertical="center" wrapText="1"/>
      <protection/>
    </xf>
    <xf numFmtId="0" fontId="8" fillId="0" borderId="170" xfId="63" applyFont="1" applyFill="1" applyBorder="1" applyAlignment="1" applyProtection="1">
      <alignment horizontal="center" vertical="center" wrapText="1"/>
      <protection/>
    </xf>
    <xf numFmtId="0" fontId="8" fillId="0" borderId="171" xfId="63" applyFont="1" applyFill="1" applyBorder="1" applyAlignment="1" applyProtection="1">
      <alignment horizontal="center" vertical="center" wrapText="1"/>
      <protection/>
    </xf>
    <xf numFmtId="0" fontId="27" fillId="0" borderId="89" xfId="66" applyFont="1" applyFill="1" applyBorder="1" applyAlignment="1" applyProtection="1">
      <alignment horizontal="center" vertical="center"/>
      <protection/>
    </xf>
    <xf numFmtId="0" fontId="4" fillId="0" borderId="124" xfId="63" applyFont="1" applyFill="1" applyBorder="1" applyAlignment="1" applyProtection="1">
      <alignment horizontal="left" vertical="center"/>
      <protection/>
    </xf>
    <xf numFmtId="0" fontId="4" fillId="0" borderId="172" xfId="63" applyFont="1" applyFill="1" applyBorder="1" applyAlignment="1" applyProtection="1">
      <alignment horizontal="left" vertical="center"/>
      <protection/>
    </xf>
    <xf numFmtId="0" fontId="4" fillId="0" borderId="173" xfId="63" applyFont="1" applyFill="1" applyBorder="1" applyAlignment="1" applyProtection="1">
      <alignment horizontal="left" vertical="center"/>
      <protection/>
    </xf>
    <xf numFmtId="9" fontId="4" fillId="0" borderId="124" xfId="63" applyNumberFormat="1" applyFont="1" applyFill="1" applyBorder="1" applyAlignment="1" applyProtection="1">
      <alignment horizontal="center" vertical="center"/>
      <protection/>
    </xf>
    <xf numFmtId="9" fontId="4" fillId="0" borderId="129" xfId="63" applyNumberFormat="1" applyFont="1" applyFill="1" applyBorder="1" applyAlignment="1" applyProtection="1">
      <alignment horizontal="center" vertical="center"/>
      <protection locked="0"/>
    </xf>
    <xf numFmtId="9" fontId="4" fillId="0" borderId="129" xfId="66" applyNumberFormat="1" applyFont="1" applyFill="1" applyBorder="1" applyAlignment="1" applyProtection="1">
      <alignment horizontal="center" vertical="center"/>
      <protection locked="0"/>
    </xf>
    <xf numFmtId="204" fontId="4" fillId="0" borderId="124" xfId="66" applyNumberFormat="1" applyFont="1" applyFill="1" applyBorder="1" applyAlignment="1" applyProtection="1">
      <alignment horizontal="right" vertical="center" wrapText="1"/>
      <protection/>
    </xf>
    <xf numFmtId="204" fontId="4" fillId="0" borderId="129" xfId="66" applyNumberFormat="1" applyFont="1" applyFill="1" applyBorder="1" applyAlignment="1" applyProtection="1">
      <alignment horizontal="right" vertical="center"/>
      <protection/>
    </xf>
    <xf numFmtId="0" fontId="4" fillId="0" borderId="174" xfId="66" applyNumberFormat="1" applyFont="1" applyFill="1" applyBorder="1" applyAlignment="1" applyProtection="1">
      <alignment horizontal="center" vertical="center"/>
      <protection/>
    </xf>
    <xf numFmtId="0" fontId="4" fillId="0" borderId="175" xfId="66" applyNumberFormat="1" applyFont="1" applyFill="1" applyBorder="1" applyAlignment="1" applyProtection="1">
      <alignment horizontal="center" vertical="center" wrapText="1"/>
      <protection/>
    </xf>
    <xf numFmtId="0" fontId="27" fillId="0" borderId="90" xfId="66" applyFont="1" applyFill="1" applyBorder="1" applyAlignment="1" applyProtection="1">
      <alignment horizontal="center" vertical="center"/>
      <protection/>
    </xf>
    <xf numFmtId="0" fontId="4" fillId="0" borderId="167" xfId="63" applyFont="1" applyFill="1" applyBorder="1" applyAlignment="1" applyProtection="1">
      <alignment horizontal="left" vertical="center"/>
      <protection/>
    </xf>
    <xf numFmtId="0" fontId="4" fillId="0" borderId="87" xfId="63" applyFont="1" applyFill="1" applyBorder="1" applyAlignment="1" applyProtection="1">
      <alignment horizontal="left" vertical="center"/>
      <protection/>
    </xf>
    <xf numFmtId="0" fontId="4" fillId="0" borderId="86" xfId="63" applyFont="1" applyFill="1" applyBorder="1" applyAlignment="1" applyProtection="1">
      <alignment horizontal="left" vertical="center"/>
      <protection/>
    </xf>
    <xf numFmtId="9" fontId="4" fillId="0" borderId="167" xfId="63" applyNumberFormat="1" applyFont="1" applyFill="1" applyBorder="1" applyAlignment="1" applyProtection="1">
      <alignment horizontal="center" vertical="center"/>
      <protection/>
    </xf>
    <xf numFmtId="9" fontId="4" fillId="0" borderId="168" xfId="63" applyNumberFormat="1" applyFont="1" applyFill="1" applyBorder="1" applyAlignment="1" applyProtection="1">
      <alignment horizontal="center" vertical="center"/>
      <protection locked="0"/>
    </xf>
    <xf numFmtId="9" fontId="4" fillId="0" borderId="168" xfId="66" applyNumberFormat="1" applyFont="1" applyFill="1" applyBorder="1" applyAlignment="1" applyProtection="1">
      <alignment horizontal="center" vertical="center"/>
      <protection locked="0"/>
    </xf>
    <xf numFmtId="204" fontId="4" fillId="0" borderId="167" xfId="66" applyNumberFormat="1" applyFont="1" applyFill="1" applyBorder="1" applyAlignment="1" applyProtection="1">
      <alignment horizontal="right" vertical="center"/>
      <protection/>
    </xf>
    <xf numFmtId="204" fontId="4" fillId="0" borderId="168" xfId="66" applyNumberFormat="1" applyFont="1" applyFill="1" applyBorder="1" applyAlignment="1" applyProtection="1">
      <alignment horizontal="right" vertical="center"/>
      <protection/>
    </xf>
    <xf numFmtId="0" fontId="4" fillId="0" borderId="124" xfId="66" applyNumberFormat="1" applyFont="1" applyFill="1" applyBorder="1" applyAlignment="1" applyProtection="1">
      <alignment horizontal="center" vertical="center" wrapText="1"/>
      <protection/>
    </xf>
    <xf numFmtId="0" fontId="4" fillId="0" borderId="129" xfId="66" applyNumberFormat="1" applyFont="1" applyFill="1" applyBorder="1" applyAlignment="1" applyProtection="1">
      <alignment horizontal="center" vertical="center" wrapText="1"/>
      <protection/>
    </xf>
    <xf numFmtId="0" fontId="27" fillId="0" borderId="91" xfId="66" applyFont="1" applyFill="1" applyBorder="1" applyAlignment="1" applyProtection="1">
      <alignment horizontal="center" vertical="center"/>
      <protection/>
    </xf>
    <xf numFmtId="0" fontId="4" fillId="0" borderId="49" xfId="63" applyFont="1" applyFill="1" applyBorder="1" applyAlignment="1" applyProtection="1">
      <alignment horizontal="left" vertical="center"/>
      <protection/>
    </xf>
    <xf numFmtId="0" fontId="4" fillId="0" borderId="176" xfId="63" applyFont="1" applyFill="1" applyBorder="1" applyAlignment="1" applyProtection="1">
      <alignment horizontal="left" vertical="center"/>
      <protection/>
    </xf>
    <xf numFmtId="9" fontId="4" fillId="0" borderId="177" xfId="63" applyNumberFormat="1" applyFont="1" applyFill="1" applyBorder="1" applyAlignment="1" applyProtection="1">
      <alignment horizontal="center" vertical="center"/>
      <protection/>
    </xf>
    <xf numFmtId="175" fontId="4" fillId="0" borderId="178" xfId="66" applyNumberFormat="1" applyFont="1" applyFill="1" applyBorder="1" applyAlignment="1" applyProtection="1">
      <alignment horizontal="center" vertical="center"/>
      <protection locked="0"/>
    </xf>
    <xf numFmtId="204" fontId="4" fillId="0" borderId="177" xfId="66" applyNumberFormat="1" applyFont="1" applyFill="1" applyBorder="1" applyAlignment="1" applyProtection="1">
      <alignment horizontal="right" vertical="center"/>
      <protection/>
    </xf>
    <xf numFmtId="204" fontId="31" fillId="0" borderId="178" xfId="66" applyNumberFormat="1" applyFont="1" applyFill="1" applyBorder="1" applyAlignment="1" applyProtection="1">
      <alignment horizontal="right" vertical="center"/>
      <protection/>
    </xf>
    <xf numFmtId="0" fontId="4" fillId="0" borderId="177" xfId="66" applyNumberFormat="1" applyFont="1" applyFill="1" applyBorder="1" applyAlignment="1" applyProtection="1">
      <alignment horizontal="center" vertical="center"/>
      <protection/>
    </xf>
    <xf numFmtId="0" fontId="99" fillId="35" borderId="167" xfId="64" applyFont="1" applyFill="1" applyBorder="1" applyAlignment="1" applyProtection="1">
      <alignment horizontal="center" vertical="center" wrapText="1"/>
      <protection locked="0"/>
    </xf>
    <xf numFmtId="0" fontId="5" fillId="35" borderId="167" xfId="60" applyFont="1" applyFill="1" applyBorder="1" applyAlignment="1" applyProtection="1">
      <alignment horizontal="left" vertical="center" wrapText="1"/>
      <protection locked="0"/>
    </xf>
    <xf numFmtId="0" fontId="99" fillId="35" borderId="167" xfId="65" applyFont="1" applyFill="1" applyBorder="1" applyAlignment="1" applyProtection="1">
      <alignment horizontal="center" vertical="center" wrapText="1"/>
      <protection locked="0"/>
    </xf>
    <xf numFmtId="0" fontId="57" fillId="34" borderId="90" xfId="65" applyFont="1" applyFill="1" applyBorder="1" applyAlignment="1" applyProtection="1">
      <alignment horizontal="center" vertical="center"/>
      <protection locked="0"/>
    </xf>
    <xf numFmtId="0" fontId="57" fillId="35" borderId="167" xfId="64" applyFont="1" applyFill="1" applyBorder="1" applyAlignment="1">
      <alignment vertical="center" wrapText="1"/>
      <protection/>
    </xf>
    <xf numFmtId="0" fontId="100" fillId="35" borderId="167" xfId="64" applyFont="1" applyFill="1" applyBorder="1" applyAlignment="1">
      <alignment vertical="center" wrapText="1"/>
      <protection/>
    </xf>
    <xf numFmtId="0" fontId="100" fillId="35" borderId="167" xfId="65" applyFont="1" applyFill="1" applyBorder="1" applyAlignment="1" applyProtection="1">
      <alignment horizontal="center" vertical="center" wrapText="1"/>
      <protection locked="0"/>
    </xf>
    <xf numFmtId="0" fontId="57" fillId="35" borderId="167" xfId="65" applyFont="1" applyFill="1" applyBorder="1" applyAlignment="1" applyProtection="1">
      <alignment horizontal="center" vertical="center" wrapText="1"/>
      <protection locked="0"/>
    </xf>
    <xf numFmtId="0" fontId="57" fillId="35" borderId="167" xfId="64" applyFont="1" applyFill="1" applyBorder="1" applyAlignment="1" applyProtection="1">
      <alignment horizontal="center" vertical="center" wrapText="1"/>
      <protection locked="0"/>
    </xf>
    <xf numFmtId="0" fontId="57" fillId="36" borderId="167" xfId="64" applyFont="1" applyFill="1" applyBorder="1" applyAlignment="1" applyProtection="1">
      <alignment horizontal="center" vertical="center" wrapText="1"/>
      <protection locked="0"/>
    </xf>
    <xf numFmtId="0" fontId="57" fillId="36" borderId="167" xfId="60" applyFont="1" applyFill="1" applyBorder="1" applyAlignment="1" applyProtection="1">
      <alignment horizontal="center" vertical="center" wrapText="1"/>
      <protection locked="0"/>
    </xf>
    <xf numFmtId="0" fontId="57" fillId="35" borderId="167" xfId="60" applyFont="1" applyFill="1" applyBorder="1" applyAlignment="1" applyProtection="1">
      <alignment horizontal="center" vertical="center" wrapText="1"/>
      <protection locked="0"/>
    </xf>
    <xf numFmtId="0" fontId="57" fillId="35" borderId="167" xfId="64" applyFont="1" applyFill="1" applyBorder="1" applyAlignment="1" applyProtection="1">
      <alignment vertical="center" wrapText="1"/>
      <protection locked="0"/>
    </xf>
    <xf numFmtId="6" fontId="57" fillId="35" borderId="167" xfId="64" applyNumberFormat="1" applyFont="1" applyFill="1" applyBorder="1" applyAlignment="1" applyProtection="1">
      <alignment horizontal="right" vertical="center" wrapText="1"/>
      <protection locked="0"/>
    </xf>
    <xf numFmtId="15" fontId="57" fillId="35" borderId="167" xfId="64" applyNumberFormat="1" applyFont="1" applyFill="1" applyBorder="1" applyAlignment="1" applyProtection="1">
      <alignment horizontal="center" vertical="center" wrapText="1"/>
      <protection locked="0"/>
    </xf>
    <xf numFmtId="9" fontId="57" fillId="35" borderId="167" xfId="69" applyNumberFormat="1" applyFont="1" applyFill="1" applyBorder="1" applyAlignment="1">
      <alignment horizontal="center" vertical="center"/>
    </xf>
    <xf numFmtId="6" fontId="57" fillId="35" borderId="167" xfId="46" applyNumberFormat="1" applyFont="1" applyFill="1" applyBorder="1" applyAlignment="1">
      <alignment horizontal="right" vertical="center"/>
    </xf>
    <xf numFmtId="6" fontId="57" fillId="36" borderId="167" xfId="46" applyNumberFormat="1" applyFont="1" applyFill="1" applyBorder="1" applyAlignment="1">
      <alignment horizontal="right" vertical="center"/>
    </xf>
    <xf numFmtId="1" fontId="57" fillId="36" borderId="167" xfId="65" applyNumberFormat="1" applyFont="1" applyFill="1" applyBorder="1" applyAlignment="1" applyProtection="1">
      <alignment horizontal="right" vertical="center" wrapText="1"/>
      <protection locked="0"/>
    </xf>
    <xf numFmtId="6" fontId="57" fillId="36" borderId="167" xfId="65" applyNumberFormat="1" applyFont="1" applyFill="1" applyBorder="1" applyAlignment="1" applyProtection="1">
      <alignment horizontal="right" vertical="center" wrapText="1" shrinkToFit="1"/>
      <protection locked="0"/>
    </xf>
    <xf numFmtId="6" fontId="57" fillId="36" borderId="167" xfId="65" applyNumberFormat="1" applyFont="1" applyFill="1" applyBorder="1" applyAlignment="1" applyProtection="1">
      <alignment horizontal="right" vertical="center" wrapText="1"/>
      <protection locked="0"/>
    </xf>
    <xf numFmtId="7" fontId="58" fillId="34" borderId="0" xfId="65" applyNumberFormat="1" applyFont="1" applyFill="1" applyBorder="1" applyAlignment="1" applyProtection="1">
      <alignment vertical="center"/>
      <protection locked="0"/>
    </xf>
    <xf numFmtId="6" fontId="57" fillId="36" borderId="37" xfId="65" applyNumberFormat="1" applyFont="1" applyFill="1" applyBorder="1" applyAlignment="1" applyProtection="1">
      <alignment horizontal="right" vertical="center" wrapText="1"/>
      <protection locked="0"/>
    </xf>
    <xf numFmtId="6" fontId="57" fillId="36" borderId="34" xfId="65" applyNumberFormat="1" applyFont="1" applyFill="1" applyBorder="1" applyAlignment="1" applyProtection="1">
      <alignment horizontal="right" vertical="center" wrapText="1"/>
      <protection locked="0"/>
    </xf>
    <xf numFmtId="6" fontId="57" fillId="36" borderId="38" xfId="65" applyNumberFormat="1" applyFont="1" applyFill="1" applyBorder="1" applyAlignment="1" applyProtection="1">
      <alignment horizontal="right" vertical="center" wrapText="1"/>
      <protection locked="0"/>
    </xf>
    <xf numFmtId="6" fontId="57" fillId="36" borderId="39" xfId="65" applyNumberFormat="1" applyFont="1" applyFill="1" applyBorder="1" applyAlignment="1" applyProtection="1">
      <alignment horizontal="right" vertical="center"/>
      <protection locked="0"/>
    </xf>
    <xf numFmtId="0" fontId="57" fillId="34" borderId="0" xfId="65" applyFont="1" applyFill="1" applyBorder="1" applyAlignment="1" applyProtection="1">
      <alignment vertical="center"/>
      <protection locked="0"/>
    </xf>
    <xf numFmtId="0" fontId="57" fillId="35" borderId="37" xfId="65" applyNumberFormat="1" applyFont="1" applyFill="1" applyBorder="1" applyAlignment="1" applyProtection="1">
      <alignment horizontal="center" vertical="center" wrapText="1"/>
      <protection locked="0"/>
    </xf>
    <xf numFmtId="0" fontId="57" fillId="35" borderId="35" xfId="65" applyFont="1" applyFill="1" applyBorder="1" applyAlignment="1" applyProtection="1">
      <alignment horizontal="center" vertical="center" wrapText="1"/>
      <protection locked="0"/>
    </xf>
    <xf numFmtId="9" fontId="57" fillId="36" borderId="101" xfId="69" applyFont="1" applyFill="1" applyBorder="1" applyAlignment="1" applyProtection="1">
      <alignment horizontal="center" vertical="center" wrapText="1"/>
      <protection locked="0"/>
    </xf>
    <xf numFmtId="186" fontId="57" fillId="35" borderId="36" xfId="46" applyNumberFormat="1" applyFont="1" applyFill="1" applyBorder="1" applyAlignment="1">
      <alignment horizontal="center" vertical="center"/>
    </xf>
    <xf numFmtId="186" fontId="57" fillId="35" borderId="34" xfId="46" applyNumberFormat="1" applyFont="1" applyFill="1" applyBorder="1" applyAlignment="1">
      <alignment horizontal="center" vertical="center"/>
    </xf>
    <xf numFmtId="186" fontId="57" fillId="35" borderId="35" xfId="46" applyNumberFormat="1" applyFont="1" applyFill="1" applyBorder="1" applyAlignment="1">
      <alignment horizontal="center" vertical="center"/>
    </xf>
    <xf numFmtId="1" fontId="57" fillId="36" borderId="40" xfId="65" applyNumberFormat="1" applyFont="1" applyFill="1" applyBorder="1" applyAlignment="1" applyProtection="1">
      <alignment horizontal="right" vertical="center" wrapText="1"/>
      <protection locked="0"/>
    </xf>
    <xf numFmtId="1" fontId="57" fillId="36" borderId="34" xfId="65" applyNumberFormat="1" applyFont="1" applyFill="1" applyBorder="1" applyAlignment="1" applyProtection="1">
      <alignment horizontal="right" vertical="center" wrapText="1" shrinkToFit="1"/>
      <protection locked="0"/>
    </xf>
    <xf numFmtId="1" fontId="57" fillId="36" borderId="57" xfId="65" applyNumberFormat="1" applyFont="1" applyFill="1" applyBorder="1" applyAlignment="1" applyProtection="1">
      <alignment horizontal="right" vertical="center" wrapText="1"/>
      <protection locked="0"/>
    </xf>
    <xf numFmtId="186" fontId="57" fillId="36" borderId="37" xfId="65" applyNumberFormat="1" applyFont="1" applyFill="1" applyBorder="1" applyAlignment="1" applyProtection="1">
      <alignment horizontal="right" vertical="center" wrapText="1"/>
      <protection locked="0"/>
    </xf>
    <xf numFmtId="186" fontId="57" fillId="36" borderId="40" xfId="65" applyNumberFormat="1" applyFont="1" applyFill="1" applyBorder="1" applyAlignment="1" applyProtection="1">
      <alignment horizontal="right" vertical="center" wrapText="1"/>
      <protection locked="0"/>
    </xf>
    <xf numFmtId="186" fontId="57" fillId="36" borderId="34" xfId="65" applyNumberFormat="1" applyFont="1" applyFill="1" applyBorder="1" applyAlignment="1" applyProtection="1">
      <alignment horizontal="right" vertical="center" wrapText="1"/>
      <protection locked="0"/>
    </xf>
    <xf numFmtId="186" fontId="57" fillId="36" borderId="38" xfId="65" applyNumberFormat="1" applyFont="1" applyFill="1" applyBorder="1" applyAlignment="1" applyProtection="1">
      <alignment horizontal="right" vertical="center" wrapText="1"/>
      <protection locked="0"/>
    </xf>
    <xf numFmtId="186" fontId="57" fillId="36" borderId="39" xfId="65" applyNumberFormat="1" applyFont="1" applyFill="1" applyBorder="1" applyAlignment="1" applyProtection="1">
      <alignment horizontal="right" vertical="center"/>
      <protection locked="0"/>
    </xf>
    <xf numFmtId="0" fontId="58" fillId="34" borderId="0" xfId="65" applyFont="1" applyFill="1" applyBorder="1" applyAlignment="1" applyProtection="1">
      <alignment vertical="center"/>
      <protection locked="0"/>
    </xf>
    <xf numFmtId="0" fontId="57" fillId="35" borderId="167" xfId="65" applyFont="1" applyFill="1" applyBorder="1" applyAlignment="1">
      <alignment vertical="center" wrapText="1"/>
      <protection/>
    </xf>
    <xf numFmtId="0" fontId="57" fillId="35" borderId="168" xfId="65" applyFont="1" applyFill="1" applyBorder="1" applyAlignment="1" applyProtection="1">
      <alignment vertical="center" wrapText="1"/>
      <protection locked="0"/>
    </xf>
    <xf numFmtId="7" fontId="57" fillId="34" borderId="0" xfId="65" applyNumberFormat="1" applyFont="1" applyFill="1" applyBorder="1" applyAlignment="1" applyProtection="1">
      <alignment vertical="center"/>
      <protection locked="0"/>
    </xf>
    <xf numFmtId="6" fontId="59" fillId="35" borderId="167" xfId="46" applyNumberFormat="1" applyFont="1" applyFill="1" applyBorder="1" applyAlignment="1">
      <alignment horizontal="right" vertical="center"/>
    </xf>
    <xf numFmtId="0" fontId="58" fillId="35" borderId="167" xfId="64" applyFont="1" applyFill="1" applyBorder="1" applyAlignment="1">
      <alignment vertical="center" wrapText="1"/>
      <protection/>
    </xf>
    <xf numFmtId="0" fontId="57" fillId="34" borderId="179" xfId="65" applyFont="1" applyFill="1" applyBorder="1" applyAlignment="1" applyProtection="1">
      <alignment horizontal="center" vertical="center"/>
      <protection locked="0"/>
    </xf>
    <xf numFmtId="0" fontId="57" fillId="35" borderId="180" xfId="64" applyFont="1" applyFill="1" applyBorder="1" applyAlignment="1">
      <alignment vertical="center" wrapText="1"/>
      <protection/>
    </xf>
    <xf numFmtId="0" fontId="57" fillId="35" borderId="180" xfId="65" applyFont="1" applyFill="1" applyBorder="1" applyAlignment="1">
      <alignment vertical="center" wrapText="1"/>
      <protection/>
    </xf>
    <xf numFmtId="0" fontId="57" fillId="35" borderId="180" xfId="65" applyFont="1" applyFill="1" applyBorder="1" applyAlignment="1" applyProtection="1">
      <alignment horizontal="center" vertical="center" wrapText="1"/>
      <protection locked="0"/>
    </xf>
    <xf numFmtId="0" fontId="57" fillId="35" borderId="180" xfId="64" applyFont="1" applyFill="1" applyBorder="1" applyAlignment="1" applyProtection="1">
      <alignment horizontal="center" vertical="center" wrapText="1"/>
      <protection locked="0"/>
    </xf>
    <xf numFmtId="0" fontId="57" fillId="35" borderId="180" xfId="60" applyFont="1" applyFill="1" applyBorder="1" applyAlignment="1" applyProtection="1">
      <alignment horizontal="center" vertical="center" wrapText="1"/>
      <protection locked="0"/>
    </xf>
    <xf numFmtId="0" fontId="57" fillId="35" borderId="180" xfId="64" applyFont="1" applyFill="1" applyBorder="1" applyAlignment="1" applyProtection="1">
      <alignment vertical="center" wrapText="1"/>
      <protection locked="0"/>
    </xf>
    <xf numFmtId="6" fontId="57" fillId="35" borderId="180" xfId="64" applyNumberFormat="1" applyFont="1" applyFill="1" applyBorder="1" applyAlignment="1" applyProtection="1">
      <alignment horizontal="right" vertical="center" wrapText="1"/>
      <protection locked="0"/>
    </xf>
    <xf numFmtId="15" fontId="57" fillId="35" borderId="180" xfId="64" applyNumberFormat="1" applyFont="1" applyFill="1" applyBorder="1" applyAlignment="1" applyProtection="1">
      <alignment horizontal="center" vertical="center" wrapText="1"/>
      <protection locked="0"/>
    </xf>
    <xf numFmtId="9" fontId="57" fillId="35" borderId="180" xfId="69" applyNumberFormat="1" applyFont="1" applyFill="1" applyBorder="1" applyAlignment="1">
      <alignment horizontal="center" vertical="center"/>
    </xf>
    <xf numFmtId="0" fontId="0" fillId="34" borderId="166" xfId="0" applyFont="1" applyFill="1" applyBorder="1" applyAlignment="1">
      <alignment wrapText="1"/>
    </xf>
    <xf numFmtId="6" fontId="5" fillId="36" borderId="181" xfId="65" applyNumberFormat="1" applyFont="1" applyFill="1" applyBorder="1" applyAlignment="1" applyProtection="1">
      <alignment horizontal="right" vertical="center" wrapText="1"/>
      <protection locked="0"/>
    </xf>
    <xf numFmtId="6" fontId="5" fillId="34" borderId="118" xfId="65" applyNumberFormat="1" applyFont="1" applyFill="1" applyBorder="1" applyAlignment="1" applyProtection="1">
      <alignment horizontal="right" vertical="center" wrapText="1"/>
      <protection locked="0"/>
    </xf>
    <xf numFmtId="6" fontId="5" fillId="34" borderId="120" xfId="65" applyNumberFormat="1" applyFont="1" applyFill="1" applyBorder="1" applyAlignment="1" applyProtection="1">
      <alignment horizontal="right" vertical="center" wrapText="1"/>
      <protection locked="0"/>
    </xf>
    <xf numFmtId="6" fontId="5" fillId="36" borderId="182" xfId="65" applyNumberFormat="1" applyFont="1" applyFill="1" applyBorder="1" applyAlignment="1" applyProtection="1">
      <alignment horizontal="right" vertical="center"/>
      <protection locked="0"/>
    </xf>
    <xf numFmtId="0" fontId="5" fillId="35" borderId="181" xfId="65" applyNumberFormat="1" applyFont="1" applyFill="1" applyBorder="1" applyAlignment="1" applyProtection="1">
      <alignment horizontal="center" vertical="center" wrapText="1"/>
      <protection locked="0"/>
    </xf>
    <xf numFmtId="1" fontId="5" fillId="36" borderId="183" xfId="65" applyNumberFormat="1" applyFont="1" applyFill="1" applyBorder="1" applyAlignment="1" applyProtection="1">
      <alignment horizontal="right" vertical="center" wrapText="1"/>
      <protection locked="0"/>
    </xf>
    <xf numFmtId="186" fontId="5" fillId="36" borderId="181" xfId="65" applyNumberFormat="1" applyFont="1" applyFill="1" applyBorder="1" applyAlignment="1" applyProtection="1">
      <alignment horizontal="right" vertical="center" wrapText="1"/>
      <protection locked="0"/>
    </xf>
    <xf numFmtId="186" fontId="5" fillId="34" borderId="108" xfId="65" applyNumberFormat="1" applyFont="1" applyFill="1" applyBorder="1" applyAlignment="1" applyProtection="1">
      <alignment horizontal="right" vertical="center" wrapText="1"/>
      <protection locked="0"/>
    </xf>
    <xf numFmtId="186" fontId="5" fillId="34" borderId="118" xfId="65" applyNumberFormat="1" applyFont="1" applyFill="1" applyBorder="1" applyAlignment="1" applyProtection="1">
      <alignment horizontal="right" vertical="center" wrapText="1"/>
      <protection locked="0"/>
    </xf>
    <xf numFmtId="186" fontId="5" fillId="34" borderId="120" xfId="65" applyNumberFormat="1" applyFont="1" applyFill="1" applyBorder="1" applyAlignment="1" applyProtection="1">
      <alignment horizontal="right" vertical="center" wrapText="1"/>
      <protection locked="0"/>
    </xf>
    <xf numFmtId="186" fontId="5" fillId="36" borderId="182" xfId="65" applyNumberFormat="1" applyFont="1" applyFill="1" applyBorder="1" applyAlignment="1" applyProtection="1">
      <alignment horizontal="right" vertical="center"/>
      <protection locked="0"/>
    </xf>
    <xf numFmtId="0" fontId="5" fillId="34" borderId="179" xfId="65" applyFont="1" applyFill="1" applyBorder="1" applyAlignment="1" applyProtection="1">
      <alignment horizontal="center" vertical="center"/>
      <protection locked="0"/>
    </xf>
    <xf numFmtId="0" fontId="5" fillId="35" borderId="180" xfId="64" applyFont="1" applyFill="1" applyBorder="1" applyAlignment="1">
      <alignment vertical="center" wrapText="1"/>
      <protection/>
    </xf>
    <xf numFmtId="0" fontId="5" fillId="35" borderId="180" xfId="65" applyFont="1" applyFill="1" applyBorder="1" applyAlignment="1">
      <alignment vertical="center" wrapText="1"/>
      <protection/>
    </xf>
    <xf numFmtId="0" fontId="5" fillId="35" borderId="180" xfId="65" applyFont="1" applyFill="1" applyBorder="1" applyAlignment="1" applyProtection="1">
      <alignment horizontal="center" vertical="center" wrapText="1"/>
      <protection locked="0"/>
    </xf>
    <xf numFmtId="0" fontId="5" fillId="35" borderId="180" xfId="64" applyFont="1" applyFill="1" applyBorder="1" applyAlignment="1" applyProtection="1">
      <alignment horizontal="center" vertical="center" wrapText="1"/>
      <protection locked="0"/>
    </xf>
    <xf numFmtId="0" fontId="5" fillId="35" borderId="180" xfId="60" applyFont="1" applyFill="1" applyBorder="1" applyAlignment="1" applyProtection="1">
      <alignment horizontal="center" vertical="center" wrapText="1"/>
      <protection locked="0"/>
    </xf>
    <xf numFmtId="0" fontId="5" fillId="35" borderId="180" xfId="64" applyFont="1" applyFill="1" applyBorder="1" applyAlignment="1" applyProtection="1">
      <alignment vertical="center" wrapText="1"/>
      <protection locked="0"/>
    </xf>
    <xf numFmtId="6" fontId="5" fillId="35" borderId="180" xfId="64" applyNumberFormat="1" applyFont="1" applyFill="1" applyBorder="1" applyAlignment="1" applyProtection="1">
      <alignment horizontal="right" vertical="center" wrapText="1"/>
      <protection locked="0"/>
    </xf>
    <xf numFmtId="15" fontId="5" fillId="35" borderId="180" xfId="64" applyNumberFormat="1" applyFont="1" applyFill="1" applyBorder="1" applyAlignment="1" applyProtection="1">
      <alignment horizontal="center" vertical="center" wrapText="1"/>
      <protection locked="0"/>
    </xf>
    <xf numFmtId="9" fontId="5" fillId="35" borderId="180" xfId="69" applyNumberFormat="1" applyFont="1" applyFill="1" applyBorder="1" applyAlignment="1">
      <alignment horizontal="center" vertical="center"/>
    </xf>
    <xf numFmtId="6" fontId="22" fillId="35" borderId="167" xfId="46" applyNumberFormat="1" applyFont="1" applyFill="1" applyBorder="1" applyAlignment="1">
      <alignment horizontal="right" vertical="center"/>
    </xf>
    <xf numFmtId="6" fontId="5" fillId="36" borderId="184" xfId="65" applyNumberFormat="1" applyFont="1" applyFill="1" applyBorder="1" applyAlignment="1" applyProtection="1">
      <alignment horizontal="right" vertical="center" wrapText="1"/>
      <protection locked="0"/>
    </xf>
    <xf numFmtId="6" fontId="5" fillId="36" borderId="185" xfId="65" applyNumberFormat="1" applyFont="1" applyFill="1" applyBorder="1" applyAlignment="1" applyProtection="1">
      <alignment horizontal="right" vertical="center" wrapText="1"/>
      <protection locked="0"/>
    </xf>
    <xf numFmtId="6" fontId="5" fillId="36" borderId="186" xfId="65" applyNumberFormat="1" applyFont="1" applyFill="1" applyBorder="1" applyAlignment="1" applyProtection="1">
      <alignment horizontal="right" vertical="center" wrapText="1"/>
      <protection locked="0"/>
    </xf>
    <xf numFmtId="6" fontId="5" fillId="36" borderId="187" xfId="65" applyNumberFormat="1" applyFont="1" applyFill="1" applyBorder="1" applyAlignment="1" applyProtection="1">
      <alignment horizontal="right" vertical="center"/>
      <protection locked="0"/>
    </xf>
    <xf numFmtId="0" fontId="5" fillId="35" borderId="184" xfId="65" applyNumberFormat="1" applyFont="1" applyFill="1" applyBorder="1" applyAlignment="1" applyProtection="1">
      <alignment horizontal="center" vertical="center" wrapText="1"/>
      <protection locked="0"/>
    </xf>
    <xf numFmtId="0" fontId="5" fillId="35" borderId="188" xfId="65" applyFont="1" applyFill="1" applyBorder="1" applyAlignment="1" applyProtection="1">
      <alignment horizontal="center" vertical="center" wrapText="1"/>
      <protection locked="0"/>
    </xf>
    <xf numFmtId="9" fontId="5" fillId="36" borderId="189" xfId="69" applyFont="1" applyFill="1" applyBorder="1" applyAlignment="1" applyProtection="1">
      <alignment horizontal="center" vertical="center" wrapText="1"/>
      <protection locked="0"/>
    </xf>
    <xf numFmtId="186" fontId="5" fillId="35" borderId="189" xfId="46" applyNumberFormat="1" applyFont="1" applyFill="1" applyBorder="1" applyAlignment="1">
      <alignment horizontal="center" vertical="center"/>
    </xf>
    <xf numFmtId="186" fontId="5" fillId="35" borderId="185" xfId="46" applyNumberFormat="1" applyFont="1" applyFill="1" applyBorder="1" applyAlignment="1">
      <alignment horizontal="center" vertical="center"/>
    </xf>
    <xf numFmtId="186" fontId="5" fillId="35" borderId="188" xfId="46" applyNumberFormat="1" applyFont="1" applyFill="1" applyBorder="1" applyAlignment="1">
      <alignment horizontal="center" vertical="center"/>
    </xf>
    <xf numFmtId="1" fontId="5" fillId="36" borderId="190" xfId="65" applyNumberFormat="1" applyFont="1" applyFill="1" applyBorder="1" applyAlignment="1" applyProtection="1">
      <alignment horizontal="right" vertical="center" wrapText="1"/>
      <protection locked="0"/>
    </xf>
    <xf numFmtId="1" fontId="5" fillId="36" borderId="185" xfId="65" applyNumberFormat="1" applyFont="1" applyFill="1" applyBorder="1" applyAlignment="1" applyProtection="1">
      <alignment horizontal="right" vertical="center" wrapText="1" shrinkToFit="1"/>
      <protection locked="0"/>
    </xf>
    <xf numFmtId="1" fontId="5" fillId="36" borderId="191" xfId="65" applyNumberFormat="1" applyFont="1" applyFill="1" applyBorder="1" applyAlignment="1" applyProtection="1">
      <alignment horizontal="right" vertical="center" wrapText="1"/>
      <protection locked="0"/>
    </xf>
    <xf numFmtId="186" fontId="5" fillId="36" borderId="184" xfId="65" applyNumberFormat="1" applyFont="1" applyFill="1" applyBorder="1" applyAlignment="1" applyProtection="1">
      <alignment horizontal="right" vertical="center" wrapText="1"/>
      <protection locked="0"/>
    </xf>
    <xf numFmtId="186" fontId="5" fillId="36" borderId="190" xfId="65" applyNumberFormat="1" applyFont="1" applyFill="1" applyBorder="1" applyAlignment="1" applyProtection="1">
      <alignment horizontal="right" vertical="center" wrapText="1"/>
      <protection locked="0"/>
    </xf>
    <xf numFmtId="186" fontId="5" fillId="36" borderId="185" xfId="65" applyNumberFormat="1" applyFont="1" applyFill="1" applyBorder="1" applyAlignment="1" applyProtection="1">
      <alignment horizontal="right" vertical="center" wrapText="1"/>
      <protection locked="0"/>
    </xf>
    <xf numFmtId="186" fontId="5" fillId="36" borderId="186" xfId="65" applyNumberFormat="1" applyFont="1" applyFill="1" applyBorder="1" applyAlignment="1" applyProtection="1">
      <alignment horizontal="right" vertical="center" wrapText="1"/>
      <protection locked="0"/>
    </xf>
    <xf numFmtId="186" fontId="5" fillId="36" borderId="187" xfId="65" applyNumberFormat="1" applyFont="1" applyFill="1" applyBorder="1" applyAlignment="1" applyProtection="1">
      <alignment horizontal="right" vertical="center"/>
      <protection locked="0"/>
    </xf>
    <xf numFmtId="0" fontId="0" fillId="34" borderId="0" xfId="0" applyFont="1" applyFill="1" applyBorder="1" applyAlignment="1">
      <alignment/>
    </xf>
    <xf numFmtId="0" fontId="0" fillId="34" borderId="167" xfId="0" applyFont="1" applyFill="1" applyBorder="1" applyAlignment="1">
      <alignment vertical="center"/>
    </xf>
    <xf numFmtId="0" fontId="60" fillId="35" borderId="167" xfId="65" applyFont="1" applyFill="1" applyBorder="1" applyAlignment="1">
      <alignment vertical="center" wrapText="1"/>
      <protection/>
    </xf>
    <xf numFmtId="0" fontId="99" fillId="35" borderId="174" xfId="65" applyFont="1" applyFill="1" applyBorder="1" applyAlignment="1" applyProtection="1">
      <alignment horizontal="center" vertical="center" wrapText="1"/>
      <protection locked="0"/>
    </xf>
    <xf numFmtId="6" fontId="99" fillId="35" borderId="167" xfId="64" applyNumberFormat="1" applyFont="1" applyFill="1" applyBorder="1" applyAlignment="1" applyProtection="1">
      <alignment horizontal="right" vertical="center" wrapText="1"/>
      <protection locked="0"/>
    </xf>
    <xf numFmtId="15" fontId="99" fillId="35" borderId="167" xfId="64" applyNumberFormat="1" applyFont="1" applyFill="1" applyBorder="1" applyAlignment="1" applyProtection="1">
      <alignment horizontal="center" vertical="center" wrapText="1"/>
      <protection locked="0"/>
    </xf>
    <xf numFmtId="0" fontId="101" fillId="35" borderId="167" xfId="64" applyFont="1" applyFill="1" applyBorder="1" applyAlignment="1" applyProtection="1">
      <alignment horizontal="center" vertical="center" wrapText="1"/>
      <protection locked="0"/>
    </xf>
    <xf numFmtId="0" fontId="99" fillId="35" borderId="124" xfId="65" applyFont="1" applyFill="1" applyBorder="1" applyAlignment="1" applyProtection="1">
      <alignment horizontal="center" vertical="center" wrapText="1"/>
      <protection locked="0"/>
    </xf>
    <xf numFmtId="0" fontId="5" fillId="42" borderId="192" xfId="65" applyFont="1" applyFill="1" applyBorder="1" applyAlignment="1" applyProtection="1">
      <alignment horizontal="center" vertical="center"/>
      <protection locked="0"/>
    </xf>
    <xf numFmtId="0" fontId="5" fillId="43" borderId="174" xfId="64" applyFont="1" applyFill="1" applyBorder="1" applyAlignment="1">
      <alignment vertical="center" wrapText="1"/>
      <protection/>
    </xf>
    <xf numFmtId="0" fontId="102" fillId="43" borderId="174" xfId="65" applyFont="1" applyFill="1" applyBorder="1" applyAlignment="1">
      <alignment vertical="center" wrapText="1"/>
      <protection/>
    </xf>
    <xf numFmtId="0" fontId="102" fillId="43" borderId="174" xfId="64" applyFont="1" applyFill="1" applyBorder="1" applyAlignment="1">
      <alignment vertical="center" wrapText="1"/>
      <protection/>
    </xf>
    <xf numFmtId="0" fontId="5" fillId="42" borderId="90" xfId="65" applyFont="1" applyFill="1" applyBorder="1" applyAlignment="1" applyProtection="1">
      <alignment horizontal="center" vertical="center"/>
      <protection locked="0"/>
    </xf>
    <xf numFmtId="0" fontId="5" fillId="43" borderId="167" xfId="64" applyFont="1" applyFill="1" applyBorder="1" applyAlignment="1">
      <alignment vertical="center" wrapText="1"/>
      <protection/>
    </xf>
    <xf numFmtId="0" fontId="102" fillId="43" borderId="167" xfId="65" applyFont="1" applyFill="1" applyBorder="1" applyAlignment="1">
      <alignment vertical="center" wrapText="1"/>
      <protection/>
    </xf>
    <xf numFmtId="0" fontId="102" fillId="43" borderId="167" xfId="64" applyFont="1" applyFill="1" applyBorder="1" applyAlignment="1">
      <alignment vertical="center" wrapText="1"/>
      <protection/>
    </xf>
    <xf numFmtId="0" fontId="102" fillId="35" borderId="167" xfId="65" applyFont="1" applyFill="1" applyBorder="1" applyAlignment="1">
      <alignment vertical="center" wrapText="1"/>
      <protection/>
    </xf>
    <xf numFmtId="0" fontId="102" fillId="35" borderId="167" xfId="64" applyFont="1" applyFill="1" applyBorder="1" applyAlignment="1">
      <alignment vertical="center" wrapText="1"/>
      <protection/>
    </xf>
    <xf numFmtId="0" fontId="101" fillId="35" borderId="167" xfId="65" applyFont="1" applyFill="1" applyBorder="1" applyAlignment="1">
      <alignment vertical="center" wrapText="1"/>
      <protection/>
    </xf>
    <xf numFmtId="0" fontId="101" fillId="35" borderId="167" xfId="64" applyFont="1" applyFill="1" applyBorder="1" applyAlignment="1">
      <alignment vertical="center" wrapText="1"/>
      <protection/>
    </xf>
    <xf numFmtId="0" fontId="5" fillId="44" borderId="90" xfId="65" applyFont="1" applyFill="1" applyBorder="1" applyAlignment="1" applyProtection="1">
      <alignment horizontal="center" vertical="center"/>
      <protection locked="0"/>
    </xf>
    <xf numFmtId="0" fontId="5" fillId="43" borderId="167" xfId="65" applyFont="1" applyFill="1" applyBorder="1" applyAlignment="1">
      <alignment vertical="center" wrapText="1"/>
      <protection/>
    </xf>
    <xf numFmtId="0" fontId="101" fillId="35" borderId="180" xfId="65" applyFont="1" applyFill="1" applyBorder="1" applyAlignment="1">
      <alignment vertical="center" wrapText="1"/>
      <protection/>
    </xf>
    <xf numFmtId="0" fontId="5" fillId="35" borderId="174" xfId="65" applyFont="1" applyFill="1" applyBorder="1" applyAlignment="1" applyProtection="1">
      <alignment horizontal="center" vertical="center" wrapText="1"/>
      <protection locked="0"/>
    </xf>
    <xf numFmtId="0" fontId="5" fillId="35" borderId="124" xfId="65" applyFont="1" applyFill="1" applyBorder="1" applyAlignment="1" applyProtection="1">
      <alignment horizontal="center" vertical="center" wrapText="1"/>
      <protection locked="0"/>
    </xf>
    <xf numFmtId="0" fontId="15" fillId="34" borderId="0" xfId="65" applyFont="1" applyFill="1" applyBorder="1" applyAlignment="1" applyProtection="1">
      <alignment vertical="center"/>
      <protection locked="0"/>
    </xf>
    <xf numFmtId="0" fontId="61" fillId="34" borderId="0" xfId="66" applyFont="1" applyFill="1" applyBorder="1" applyAlignment="1" applyProtection="1">
      <alignment horizontal="right" vertical="center" wrapText="1"/>
      <protection locked="0"/>
    </xf>
    <xf numFmtId="0" fontId="102" fillId="43" borderId="174" xfId="65" applyFont="1" applyFill="1" applyBorder="1" applyAlignment="1" applyProtection="1">
      <alignment horizontal="center" vertical="center" wrapText="1"/>
      <protection locked="0"/>
    </xf>
    <xf numFmtId="0" fontId="102" fillId="43" borderId="174" xfId="64" applyFont="1" applyFill="1" applyBorder="1" applyAlignment="1" applyProtection="1">
      <alignment horizontal="center" vertical="center" wrapText="1"/>
      <protection locked="0"/>
    </xf>
    <xf numFmtId="0" fontId="102" fillId="43" borderId="174" xfId="60" applyFont="1" applyFill="1" applyBorder="1" applyAlignment="1" applyProtection="1">
      <alignment horizontal="center" vertical="center" wrapText="1"/>
      <protection locked="0"/>
    </xf>
    <xf numFmtId="0" fontId="102" fillId="43" borderId="174" xfId="64" applyFont="1" applyFill="1" applyBorder="1" applyAlignment="1" applyProtection="1">
      <alignment vertical="center" wrapText="1"/>
      <protection locked="0"/>
    </xf>
    <xf numFmtId="6" fontId="99" fillId="43" borderId="174" xfId="64" applyNumberFormat="1" applyFont="1" applyFill="1" applyBorder="1" applyAlignment="1" applyProtection="1">
      <alignment horizontal="right" vertical="center" wrapText="1"/>
      <protection locked="0"/>
    </xf>
    <xf numFmtId="0" fontId="99" fillId="43" borderId="174" xfId="64" applyFont="1" applyFill="1" applyBorder="1" applyAlignment="1" applyProtection="1">
      <alignment horizontal="center" vertical="center" wrapText="1"/>
      <protection locked="0"/>
    </xf>
    <xf numFmtId="15" fontId="99" fillId="43" borderId="174" xfId="64" applyNumberFormat="1" applyFont="1" applyFill="1" applyBorder="1" applyAlignment="1" applyProtection="1">
      <alignment horizontal="center" vertical="center" wrapText="1"/>
      <protection locked="0"/>
    </xf>
    <xf numFmtId="9" fontId="102" fillId="43" borderId="174" xfId="69" applyNumberFormat="1" applyFont="1" applyFill="1" applyBorder="1" applyAlignment="1">
      <alignment horizontal="center" vertical="center"/>
    </xf>
    <xf numFmtId="0" fontId="102" fillId="43" borderId="167" xfId="65" applyFont="1" applyFill="1" applyBorder="1" applyAlignment="1" applyProtection="1">
      <alignment horizontal="center" vertical="center" wrapText="1"/>
      <protection locked="0"/>
    </xf>
    <xf numFmtId="0" fontId="102" fillId="43" borderId="167" xfId="64" applyFont="1" applyFill="1" applyBorder="1" applyAlignment="1" applyProtection="1">
      <alignment horizontal="center" vertical="center" wrapText="1"/>
      <protection locked="0"/>
    </xf>
    <xf numFmtId="0" fontId="102" fillId="43" borderId="167" xfId="60" applyFont="1" applyFill="1" applyBorder="1" applyAlignment="1" applyProtection="1">
      <alignment horizontal="center" vertical="center" wrapText="1"/>
      <protection locked="0"/>
    </xf>
    <xf numFmtId="0" fontId="102" fillId="43" borderId="167" xfId="64" applyFont="1" applyFill="1" applyBorder="1" applyAlignment="1" applyProtection="1">
      <alignment vertical="center" wrapText="1"/>
      <protection locked="0"/>
    </xf>
    <xf numFmtId="6" fontId="99" fillId="43" borderId="167" xfId="64" applyNumberFormat="1" applyFont="1" applyFill="1" applyBorder="1" applyAlignment="1" applyProtection="1">
      <alignment horizontal="right" vertical="center" wrapText="1"/>
      <protection locked="0"/>
    </xf>
    <xf numFmtId="0" fontId="99" fillId="43" borderId="167" xfId="64" applyFont="1" applyFill="1" applyBorder="1" applyAlignment="1" applyProtection="1">
      <alignment horizontal="center" vertical="center" wrapText="1"/>
      <protection locked="0"/>
    </xf>
    <xf numFmtId="15" fontId="99" fillId="43" borderId="167" xfId="64" applyNumberFormat="1" applyFont="1" applyFill="1" applyBorder="1" applyAlignment="1" applyProtection="1">
      <alignment horizontal="center" vertical="center" wrapText="1"/>
      <protection locked="0"/>
    </xf>
    <xf numFmtId="9" fontId="102" fillId="43" borderId="167" xfId="69" applyNumberFormat="1" applyFont="1" applyFill="1" applyBorder="1" applyAlignment="1">
      <alignment horizontal="center" vertical="center"/>
    </xf>
    <xf numFmtId="9" fontId="102" fillId="35" borderId="167" xfId="69" applyNumberFormat="1" applyFont="1" applyFill="1" applyBorder="1" applyAlignment="1">
      <alignment horizontal="center" vertical="center"/>
    </xf>
    <xf numFmtId="0" fontId="102" fillId="35" borderId="167" xfId="65" applyFont="1" applyFill="1" applyBorder="1" applyAlignment="1" applyProtection="1">
      <alignment horizontal="center" vertical="center" wrapText="1"/>
      <protection locked="0"/>
    </xf>
    <xf numFmtId="0" fontId="102" fillId="35" borderId="167" xfId="64" applyFont="1" applyFill="1" applyBorder="1" applyAlignment="1" applyProtection="1">
      <alignment horizontal="center" vertical="center" wrapText="1"/>
      <protection locked="0"/>
    </xf>
    <xf numFmtId="0" fontId="102" fillId="36" borderId="167" xfId="64" applyFont="1" applyFill="1" applyBorder="1" applyAlignment="1" applyProtection="1">
      <alignment horizontal="center" vertical="center" wrapText="1"/>
      <protection locked="0"/>
    </xf>
    <xf numFmtId="0" fontId="102" fillId="35" borderId="167" xfId="60" applyFont="1" applyFill="1" applyBorder="1" applyAlignment="1" applyProtection="1">
      <alignment horizontal="center" vertical="center" wrapText="1"/>
      <protection locked="0"/>
    </xf>
    <xf numFmtId="0" fontId="102" fillId="35" borderId="167" xfId="64" applyFont="1" applyFill="1" applyBorder="1" applyAlignment="1" applyProtection="1">
      <alignment vertical="center" wrapText="1"/>
      <protection locked="0"/>
    </xf>
    <xf numFmtId="6" fontId="102" fillId="35" borderId="167" xfId="64" applyNumberFormat="1" applyFont="1" applyFill="1" applyBorder="1" applyAlignment="1" applyProtection="1">
      <alignment horizontal="right" vertical="center" wrapText="1"/>
      <protection locked="0"/>
    </xf>
    <xf numFmtId="15" fontId="102" fillId="35" borderId="167" xfId="64" applyNumberFormat="1" applyFont="1" applyFill="1" applyBorder="1" applyAlignment="1" applyProtection="1">
      <alignment horizontal="center" vertical="center" wrapText="1"/>
      <protection locked="0"/>
    </xf>
    <xf numFmtId="6" fontId="102" fillId="43" borderId="167" xfId="64" applyNumberFormat="1" applyFont="1" applyFill="1" applyBorder="1" applyAlignment="1" applyProtection="1">
      <alignment horizontal="right" vertical="center" wrapText="1"/>
      <protection locked="0"/>
    </xf>
    <xf numFmtId="15" fontId="102" fillId="43" borderId="167" xfId="64" applyNumberFormat="1" applyFont="1" applyFill="1" applyBorder="1" applyAlignment="1" applyProtection="1">
      <alignment horizontal="center" vertical="center" wrapText="1"/>
      <protection locked="0"/>
    </xf>
    <xf numFmtId="0" fontId="101" fillId="35" borderId="167" xfId="65" applyFont="1" applyFill="1" applyBorder="1" applyAlignment="1" applyProtection="1">
      <alignment horizontal="center" vertical="center" wrapText="1"/>
      <protection locked="0"/>
    </xf>
    <xf numFmtId="0" fontId="101" fillId="36" borderId="167" xfId="64" applyFont="1" applyFill="1" applyBorder="1" applyAlignment="1" applyProtection="1">
      <alignment horizontal="center" vertical="center" wrapText="1"/>
      <protection locked="0"/>
    </xf>
    <xf numFmtId="0" fontId="101" fillId="36" borderId="167" xfId="60" applyFont="1" applyFill="1" applyBorder="1" applyAlignment="1" applyProtection="1">
      <alignment horizontal="center" vertical="center" wrapText="1"/>
      <protection locked="0"/>
    </xf>
    <xf numFmtId="0" fontId="101" fillId="35" borderId="167" xfId="60" applyFont="1" applyFill="1" applyBorder="1" applyAlignment="1" applyProtection="1">
      <alignment horizontal="center" vertical="center" wrapText="1"/>
      <protection locked="0"/>
    </xf>
    <xf numFmtId="0" fontId="101" fillId="35" borderId="167" xfId="64" applyFont="1" applyFill="1" applyBorder="1" applyAlignment="1" applyProtection="1">
      <alignment vertical="center" wrapText="1"/>
      <protection locked="0"/>
    </xf>
    <xf numFmtId="6" fontId="101" fillId="35" borderId="167" xfId="64" applyNumberFormat="1" applyFont="1" applyFill="1" applyBorder="1" applyAlignment="1" applyProtection="1">
      <alignment horizontal="right" vertical="center" wrapText="1"/>
      <protection locked="0"/>
    </xf>
    <xf numFmtId="15" fontId="101" fillId="35" borderId="167" xfId="64" applyNumberFormat="1" applyFont="1" applyFill="1" applyBorder="1" applyAlignment="1" applyProtection="1">
      <alignment horizontal="center" vertical="center" wrapText="1"/>
      <protection locked="0"/>
    </xf>
    <xf numFmtId="9" fontId="101" fillId="35" borderId="167" xfId="69" applyNumberFormat="1" applyFont="1" applyFill="1" applyBorder="1" applyAlignment="1">
      <alignment horizontal="center" vertical="center"/>
    </xf>
    <xf numFmtId="0" fontId="101" fillId="35" borderId="167" xfId="65" applyFont="1" applyFill="1" applyBorder="1" applyAlignment="1">
      <alignment horizontal="center" vertical="center" wrapText="1"/>
      <protection/>
    </xf>
    <xf numFmtId="0" fontId="101" fillId="41" borderId="167" xfId="64" applyFont="1" applyFill="1" applyBorder="1" applyAlignment="1" applyProtection="1">
      <alignment horizontal="center" vertical="center" wrapText="1"/>
      <protection locked="0"/>
    </xf>
    <xf numFmtId="0" fontId="101" fillId="41" borderId="167" xfId="60" applyFont="1" applyFill="1" applyBorder="1" applyAlignment="1" applyProtection="1">
      <alignment horizontal="center" vertical="center" wrapText="1"/>
      <protection locked="0"/>
    </xf>
    <xf numFmtId="6" fontId="101" fillId="41" borderId="167" xfId="64" applyNumberFormat="1" applyFont="1" applyFill="1" applyBorder="1" applyAlignment="1" applyProtection="1">
      <alignment horizontal="right" vertical="center" wrapText="1"/>
      <protection locked="0"/>
    </xf>
    <xf numFmtId="15" fontId="101" fillId="41" borderId="167" xfId="64" applyNumberFormat="1" applyFont="1" applyFill="1" applyBorder="1" applyAlignment="1" applyProtection="1">
      <alignment horizontal="center" vertical="center" wrapText="1"/>
      <protection locked="0"/>
    </xf>
    <xf numFmtId="0" fontId="5" fillId="43" borderId="167" xfId="65" applyFont="1" applyFill="1" applyBorder="1" applyAlignment="1" applyProtection="1">
      <alignment horizontal="center" vertical="center" wrapText="1"/>
      <protection locked="0"/>
    </xf>
    <xf numFmtId="0" fontId="5" fillId="43" borderId="167" xfId="64" applyFont="1" applyFill="1" applyBorder="1" applyAlignment="1" applyProtection="1">
      <alignment horizontal="center" vertical="center" wrapText="1"/>
      <protection locked="0"/>
    </xf>
    <xf numFmtId="0" fontId="5" fillId="43" borderId="167" xfId="60" applyFont="1" applyFill="1" applyBorder="1" applyAlignment="1" applyProtection="1">
      <alignment horizontal="center" vertical="center" wrapText="1"/>
      <protection locked="0"/>
    </xf>
    <xf numFmtId="0" fontId="5" fillId="43" borderId="167" xfId="64" applyFont="1" applyFill="1" applyBorder="1" applyAlignment="1" applyProtection="1">
      <alignment vertical="center" wrapText="1"/>
      <protection locked="0"/>
    </xf>
    <xf numFmtId="6" fontId="5" fillId="43" borderId="167" xfId="64" applyNumberFormat="1" applyFont="1" applyFill="1" applyBorder="1" applyAlignment="1" applyProtection="1">
      <alignment horizontal="right" vertical="center" wrapText="1"/>
      <protection locked="0"/>
    </xf>
    <xf numFmtId="15" fontId="5" fillId="43" borderId="167" xfId="64" applyNumberFormat="1" applyFont="1" applyFill="1" applyBorder="1" applyAlignment="1" applyProtection="1">
      <alignment horizontal="center" vertical="center" wrapText="1"/>
      <protection locked="0"/>
    </xf>
    <xf numFmtId="9" fontId="5" fillId="43" borderId="167" xfId="69" applyNumberFormat="1" applyFont="1" applyFill="1" applyBorder="1" applyAlignment="1">
      <alignment horizontal="center" vertical="center"/>
    </xf>
    <xf numFmtId="0" fontId="102" fillId="45" borderId="174" xfId="64" applyFont="1" applyFill="1" applyBorder="1" applyAlignment="1" applyProtection="1">
      <alignment horizontal="center" vertical="center" wrapText="1"/>
      <protection locked="0"/>
    </xf>
    <xf numFmtId="0" fontId="5" fillId="43" borderId="174" xfId="60" applyFont="1" applyFill="1" applyBorder="1" applyAlignment="1" applyProtection="1">
      <alignment horizontal="center" vertical="center" wrapText="1"/>
      <protection locked="0"/>
    </xf>
    <xf numFmtId="6" fontId="102" fillId="43" borderId="167" xfId="46" applyNumberFormat="1" applyFont="1" applyFill="1" applyBorder="1" applyAlignment="1">
      <alignment horizontal="right" vertical="center"/>
    </xf>
    <xf numFmtId="6" fontId="102" fillId="43" borderId="174" xfId="46" applyNumberFormat="1" applyFont="1" applyFill="1" applyBorder="1" applyAlignment="1">
      <alignment horizontal="right" vertical="center"/>
    </xf>
    <xf numFmtId="0" fontId="102" fillId="45" borderId="167" xfId="64" applyFont="1" applyFill="1" applyBorder="1" applyAlignment="1" applyProtection="1">
      <alignment horizontal="center" vertical="center" wrapText="1"/>
      <protection locked="0"/>
    </xf>
    <xf numFmtId="6" fontId="102" fillId="35" borderId="167" xfId="46" applyNumberFormat="1" applyFont="1" applyFill="1" applyBorder="1" applyAlignment="1">
      <alignment horizontal="right" vertical="center"/>
    </xf>
    <xf numFmtId="0" fontId="101" fillId="45" borderId="167" xfId="64" applyFont="1" applyFill="1" applyBorder="1" applyAlignment="1" applyProtection="1">
      <alignment horizontal="center" vertical="center" wrapText="1"/>
      <protection locked="0"/>
    </xf>
    <xf numFmtId="6" fontId="101" fillId="35" borderId="167" xfId="46" applyNumberFormat="1" applyFont="1" applyFill="1" applyBorder="1" applyAlignment="1">
      <alignment horizontal="right" vertical="center"/>
    </xf>
    <xf numFmtId="0" fontId="5" fillId="45" borderId="167" xfId="64" applyFont="1" applyFill="1" applyBorder="1" applyAlignment="1" applyProtection="1">
      <alignment horizontal="center" vertical="center" wrapText="1"/>
      <protection locked="0"/>
    </xf>
    <xf numFmtId="0" fontId="5" fillId="44" borderId="167" xfId="60" applyFont="1" applyFill="1" applyBorder="1" applyAlignment="1" applyProtection="1">
      <alignment horizontal="center" vertical="center" wrapText="1"/>
      <protection locked="0"/>
    </xf>
    <xf numFmtId="6" fontId="5" fillId="43" borderId="167" xfId="46" applyNumberFormat="1" applyFont="1" applyFill="1" applyBorder="1" applyAlignment="1">
      <alignment horizontal="right" vertical="center"/>
    </xf>
    <xf numFmtId="6" fontId="5" fillId="36" borderId="174" xfId="46" applyNumberFormat="1" applyFont="1" applyFill="1" applyBorder="1" applyAlignment="1">
      <alignment horizontal="right" vertical="center"/>
    </xf>
    <xf numFmtId="1" fontId="5" fillId="36" borderId="174" xfId="65" applyNumberFormat="1" applyFont="1" applyFill="1" applyBorder="1" applyAlignment="1" applyProtection="1">
      <alignment horizontal="right" vertical="center" wrapText="1"/>
      <protection locked="0"/>
    </xf>
    <xf numFmtId="6" fontId="5" fillId="36" borderId="174" xfId="65" applyNumberFormat="1" applyFont="1" applyFill="1" applyBorder="1" applyAlignment="1" applyProtection="1">
      <alignment horizontal="right" vertical="center" wrapText="1" shrinkToFit="1"/>
      <protection locked="0"/>
    </xf>
    <xf numFmtId="6" fontId="5" fillId="36" borderId="174" xfId="65" applyNumberFormat="1" applyFont="1" applyFill="1" applyBorder="1" applyAlignment="1" applyProtection="1">
      <alignment horizontal="right" vertical="center" wrapText="1"/>
      <protection locked="0"/>
    </xf>
    <xf numFmtId="0" fontId="5" fillId="35" borderId="175" xfId="65" applyFont="1" applyFill="1" applyBorder="1" applyAlignment="1" applyProtection="1">
      <alignment vertical="center" wrapText="1"/>
      <protection locked="0"/>
    </xf>
    <xf numFmtId="0" fontId="5" fillId="35" borderId="129" xfId="65" applyFont="1" applyFill="1" applyBorder="1" applyAlignment="1" applyProtection="1">
      <alignment vertical="center" wrapText="1"/>
      <protection locked="0"/>
    </xf>
    <xf numFmtId="0" fontId="0" fillId="34" borderId="168" xfId="0" applyFont="1" applyFill="1" applyBorder="1" applyAlignment="1">
      <alignment vertical="center"/>
    </xf>
    <xf numFmtId="0" fontId="5" fillId="42" borderId="0" xfId="65" applyFont="1" applyFill="1" applyBorder="1" applyAlignment="1" applyProtection="1">
      <alignment horizontal="center" vertical="center"/>
      <protection locked="0"/>
    </xf>
    <xf numFmtId="0" fontId="53" fillId="34" borderId="0" xfId="65" applyFont="1" applyFill="1" applyBorder="1" applyAlignment="1" applyProtection="1">
      <alignment horizontal="center" vertical="center"/>
      <protection locked="0"/>
    </xf>
    <xf numFmtId="0" fontId="5" fillId="44" borderId="0" xfId="65" applyFont="1" applyFill="1" applyBorder="1" applyAlignment="1" applyProtection="1">
      <alignment horizontal="center" vertical="center"/>
      <protection locked="0"/>
    </xf>
    <xf numFmtId="0" fontId="57" fillId="34" borderId="0" xfId="65" applyFont="1" applyFill="1" applyBorder="1" applyAlignment="1" applyProtection="1">
      <alignment horizontal="center" vertical="center"/>
      <protection locked="0"/>
    </xf>
    <xf numFmtId="0" fontId="58" fillId="34" borderId="0" xfId="65" applyFont="1" applyFill="1" applyBorder="1" applyAlignment="1" applyProtection="1">
      <alignment horizontal="center" vertical="center"/>
      <protection locked="0"/>
    </xf>
    <xf numFmtId="0" fontId="62" fillId="46" borderId="0" xfId="0" applyFont="1" applyFill="1" applyBorder="1" applyAlignment="1">
      <alignment/>
    </xf>
    <xf numFmtId="0" fontId="7" fillId="46" borderId="0" xfId="0" applyFont="1" applyFill="1" applyBorder="1" applyAlignment="1">
      <alignment/>
    </xf>
    <xf numFmtId="0" fontId="7" fillId="46" borderId="193" xfId="0" applyFont="1" applyFill="1" applyBorder="1" applyAlignment="1">
      <alignment/>
    </xf>
    <xf numFmtId="0" fontId="62" fillId="46" borderId="0" xfId="0" applyFont="1" applyFill="1" applyBorder="1" applyAlignment="1" quotePrefix="1">
      <alignment/>
    </xf>
    <xf numFmtId="0" fontId="38" fillId="46" borderId="0" xfId="0" applyFont="1" applyFill="1" applyBorder="1" applyAlignment="1">
      <alignment/>
    </xf>
    <xf numFmtId="0" fontId="38" fillId="46" borderId="193" xfId="0" applyFont="1" applyFill="1" applyBorder="1" applyAlignment="1">
      <alignment/>
    </xf>
    <xf numFmtId="0" fontId="33" fillId="0" borderId="194" xfId="0" applyNumberFormat="1" applyFont="1" applyBorder="1" applyAlignment="1">
      <alignment horizontal="left" vertical="top"/>
    </xf>
    <xf numFmtId="0" fontId="33" fillId="0" borderId="195" xfId="0" applyNumberFormat="1" applyFont="1" applyBorder="1" applyAlignment="1">
      <alignment horizontal="left" vertical="top"/>
    </xf>
    <xf numFmtId="0" fontId="33" fillId="0" borderId="0" xfId="0" applyNumberFormat="1" applyFont="1" applyBorder="1" applyAlignment="1">
      <alignment horizontal="left" vertical="top"/>
    </xf>
    <xf numFmtId="0" fontId="33" fillId="0" borderId="196" xfId="0" applyNumberFormat="1" applyFont="1" applyBorder="1" applyAlignment="1">
      <alignment horizontal="left" vertical="top"/>
    </xf>
    <xf numFmtId="0" fontId="33" fillId="0" borderId="197" xfId="0" applyNumberFormat="1" applyFont="1" applyBorder="1" applyAlignment="1">
      <alignment horizontal="left" vertical="top"/>
    </xf>
    <xf numFmtId="0" fontId="33" fillId="0" borderId="198" xfId="0" applyNumberFormat="1" applyFont="1" applyBorder="1" applyAlignment="1">
      <alignment horizontal="left" vertical="top"/>
    </xf>
    <xf numFmtId="0" fontId="33" fillId="0" borderId="20" xfId="0" applyNumberFormat="1" applyFont="1" applyBorder="1" applyAlignment="1">
      <alignment horizontal="left" vertical="top"/>
    </xf>
    <xf numFmtId="0" fontId="33" fillId="0" borderId="199" xfId="0" applyNumberFormat="1" applyFont="1" applyBorder="1" applyAlignment="1">
      <alignment horizontal="left" vertical="top"/>
    </xf>
    <xf numFmtId="0" fontId="63" fillId="0" borderId="194" xfId="0" applyNumberFormat="1" applyFont="1" applyBorder="1" applyAlignment="1">
      <alignment horizontal="left" vertical="top"/>
    </xf>
    <xf numFmtId="0" fontId="63" fillId="0" borderId="195" xfId="0" applyNumberFormat="1" applyFont="1" applyBorder="1" applyAlignment="1">
      <alignment horizontal="left" vertical="top"/>
    </xf>
    <xf numFmtId="0" fontId="63" fillId="0" borderId="200" xfId="0" applyNumberFormat="1" applyFont="1" applyBorder="1" applyAlignment="1">
      <alignment horizontal="left"/>
    </xf>
    <xf numFmtId="0" fontId="63" fillId="0" borderId="201" xfId="0" applyNumberFormat="1" applyFont="1" applyBorder="1" applyAlignment="1">
      <alignment horizontal="left"/>
    </xf>
    <xf numFmtId="0" fontId="63" fillId="0" borderId="202" xfId="0" applyNumberFormat="1" applyFont="1" applyBorder="1" applyAlignment="1">
      <alignment horizontal="left"/>
    </xf>
    <xf numFmtId="0" fontId="63" fillId="0" borderId="54" xfId="0" applyNumberFormat="1" applyFont="1" applyBorder="1" applyAlignment="1">
      <alignment horizontal="left"/>
    </xf>
    <xf numFmtId="6" fontId="33" fillId="0" borderId="0" xfId="0" applyNumberFormat="1" applyFont="1" applyBorder="1" applyAlignment="1">
      <alignment horizontal="left" vertical="top"/>
    </xf>
    <xf numFmtId="9" fontId="33" fillId="0" borderId="0" xfId="0" applyNumberFormat="1" applyFont="1" applyBorder="1" applyAlignment="1">
      <alignment horizontal="left" vertical="top"/>
    </xf>
    <xf numFmtId="0" fontId="63" fillId="0" borderId="203" xfId="0" applyNumberFormat="1" applyFont="1" applyBorder="1" applyAlignment="1">
      <alignment vertical="top"/>
    </xf>
    <xf numFmtId="0" fontId="63" fillId="0" borderId="204" xfId="0" applyNumberFormat="1" applyFont="1" applyBorder="1" applyAlignment="1">
      <alignment vertical="top"/>
    </xf>
    <xf numFmtId="0" fontId="63" fillId="0" borderId="205" xfId="0" applyNumberFormat="1" applyFont="1" applyBorder="1" applyAlignment="1">
      <alignment vertical="top"/>
    </xf>
    <xf numFmtId="6" fontId="33" fillId="0" borderId="197" xfId="0" applyNumberFormat="1" applyFont="1" applyBorder="1" applyAlignment="1">
      <alignment horizontal="left" vertical="top"/>
    </xf>
    <xf numFmtId="9" fontId="63" fillId="0" borderId="206" xfId="0" applyNumberFormat="1" applyFont="1" applyBorder="1" applyAlignment="1">
      <alignment vertical="top"/>
    </xf>
    <xf numFmtId="9" fontId="63" fillId="0" borderId="16" xfId="0" applyNumberFormat="1" applyFont="1" applyBorder="1" applyAlignment="1">
      <alignment vertical="top"/>
    </xf>
    <xf numFmtId="0" fontId="63" fillId="0" borderId="207" xfId="0" applyNumberFormat="1" applyFont="1" applyBorder="1" applyAlignment="1">
      <alignment/>
    </xf>
    <xf numFmtId="0" fontId="63" fillId="0" borderId="200" xfId="0" applyNumberFormat="1" applyFont="1" applyBorder="1" applyAlignment="1">
      <alignment/>
    </xf>
    <xf numFmtId="0" fontId="63" fillId="0" borderId="208" xfId="0" applyNumberFormat="1" applyFont="1" applyBorder="1" applyAlignment="1">
      <alignment/>
    </xf>
    <xf numFmtId="0" fontId="63" fillId="0" borderId="209" xfId="0" applyNumberFormat="1" applyFont="1" applyBorder="1" applyAlignment="1">
      <alignment/>
    </xf>
    <xf numFmtId="0" fontId="33" fillId="0" borderId="17" xfId="0" applyNumberFormat="1" applyFont="1" applyBorder="1" applyAlignment="1">
      <alignment vertical="top"/>
    </xf>
    <xf numFmtId="0" fontId="33" fillId="0" borderId="210" xfId="0" applyNumberFormat="1" applyFont="1" applyBorder="1" applyAlignment="1">
      <alignment vertical="top"/>
    </xf>
    <xf numFmtId="194" fontId="33" fillId="0" borderId="16" xfId="0" applyNumberFormat="1" applyFont="1" applyBorder="1" applyAlignment="1">
      <alignment horizontal="left" vertical="top"/>
    </xf>
    <xf numFmtId="194" fontId="33" fillId="0" borderId="197" xfId="0" applyNumberFormat="1" applyFont="1" applyBorder="1" applyAlignment="1">
      <alignment horizontal="left" vertical="top"/>
    </xf>
    <xf numFmtId="194" fontId="33" fillId="0" borderId="211" xfId="0" applyNumberFormat="1" applyFont="1" applyBorder="1" applyAlignment="1">
      <alignment horizontal="left" vertical="top"/>
    </xf>
    <xf numFmtId="9" fontId="63" fillId="47" borderId="212" xfId="0" applyNumberFormat="1" applyFont="1" applyFill="1" applyBorder="1" applyAlignment="1">
      <alignment vertical="top"/>
    </xf>
    <xf numFmtId="6" fontId="33" fillId="47" borderId="103" xfId="0" applyNumberFormat="1" applyFont="1" applyFill="1" applyBorder="1" applyAlignment="1">
      <alignment horizontal="left" vertical="top"/>
    </xf>
    <xf numFmtId="194" fontId="33" fillId="0" borderId="198" xfId="0" applyNumberFormat="1" applyFont="1" applyBorder="1" applyAlignment="1">
      <alignment horizontal="left" vertical="top"/>
    </xf>
    <xf numFmtId="0" fontId="30" fillId="0" borderId="53" xfId="0" applyFont="1" applyFill="1" applyBorder="1" applyAlignment="1" applyProtection="1">
      <alignment horizontal="center" vertical="center" wrapText="1"/>
      <protection/>
    </xf>
    <xf numFmtId="0" fontId="0" fillId="0" borderId="54" xfId="0" applyFill="1" applyBorder="1" applyAlignment="1" applyProtection="1">
      <alignment horizontal="center" vertical="center" wrapText="1"/>
      <protection/>
    </xf>
    <xf numFmtId="0" fontId="0" fillId="0" borderId="47" xfId="0" applyFill="1" applyBorder="1" applyAlignment="1" applyProtection="1">
      <alignment horizontal="center" vertical="center" wrapText="1"/>
      <protection/>
    </xf>
    <xf numFmtId="0" fontId="10" fillId="0" borderId="102" xfId="0" applyFont="1" applyFill="1" applyBorder="1" applyAlignment="1" applyProtection="1">
      <alignment horizontal="center" vertical="center" wrapText="1"/>
      <protection/>
    </xf>
    <xf numFmtId="0" fontId="10" fillId="0" borderId="213" xfId="0" applyFont="1" applyFill="1" applyBorder="1" applyAlignment="1" applyProtection="1">
      <alignment horizontal="center" vertical="center" wrapText="1"/>
      <protection/>
    </xf>
    <xf numFmtId="0" fontId="10" fillId="0" borderId="103" xfId="0" applyFont="1" applyFill="1" applyBorder="1" applyAlignment="1" applyProtection="1">
      <alignment horizontal="center" vertical="center" wrapText="1"/>
      <protection/>
    </xf>
    <xf numFmtId="0" fontId="4" fillId="0" borderId="87" xfId="63" applyFont="1" applyFill="1" applyBorder="1" applyAlignment="1" applyProtection="1">
      <alignment horizontal="left" vertical="center"/>
      <protection/>
    </xf>
    <xf numFmtId="0" fontId="0" fillId="0" borderId="85" xfId="0" applyFill="1" applyBorder="1" applyAlignment="1">
      <alignment horizontal="left" vertical="center"/>
    </xf>
    <xf numFmtId="0" fontId="0" fillId="0" borderId="86" xfId="0" applyFill="1" applyBorder="1" applyAlignment="1">
      <alignment horizontal="left" vertical="center"/>
    </xf>
    <xf numFmtId="0" fontId="29" fillId="34" borderId="0" xfId="66" applyFont="1" applyFill="1" applyBorder="1" applyAlignment="1" applyProtection="1">
      <alignment horizontal="right" vertical="center" textRotation="90" wrapText="1"/>
      <protection/>
    </xf>
    <xf numFmtId="0" fontId="0" fillId="0" borderId="0" xfId="0" applyAlignment="1" applyProtection="1">
      <alignment horizontal="right" vertical="center" wrapText="1"/>
      <protection/>
    </xf>
    <xf numFmtId="0" fontId="29" fillId="34" borderId="0" xfId="66" applyFont="1" applyFill="1" applyBorder="1" applyAlignment="1" applyProtection="1">
      <alignment horizontal="center" wrapText="1"/>
      <protection/>
    </xf>
    <xf numFmtId="0" fontId="19" fillId="34" borderId="0" xfId="66" applyFont="1" applyFill="1" applyAlignment="1" applyProtection="1">
      <alignment vertical="center" wrapText="1"/>
      <protection/>
    </xf>
    <xf numFmtId="0" fontId="0" fillId="0" borderId="0" xfId="0" applyAlignment="1" applyProtection="1">
      <alignment vertical="center" wrapText="1"/>
      <protection/>
    </xf>
    <xf numFmtId="0" fontId="4" fillId="0" borderId="214" xfId="63" applyFont="1" applyFill="1" applyBorder="1" applyAlignment="1" applyProtection="1">
      <alignment horizontal="center" vertical="center"/>
      <protection locked="0"/>
    </xf>
    <xf numFmtId="0" fontId="4" fillId="0" borderId="214" xfId="66" applyFont="1" applyFill="1" applyBorder="1" applyAlignment="1" applyProtection="1">
      <alignment horizontal="center" vertical="center"/>
      <protection locked="0"/>
    </xf>
    <xf numFmtId="0" fontId="4" fillId="0" borderId="215" xfId="66" applyFont="1" applyFill="1" applyBorder="1" applyAlignment="1" applyProtection="1">
      <alignment horizontal="center" vertical="center"/>
      <protection locked="0"/>
    </xf>
    <xf numFmtId="204" fontId="4" fillId="0" borderId="214" xfId="63" applyNumberFormat="1" applyFont="1" applyFill="1" applyBorder="1" applyAlignment="1" applyProtection="1">
      <alignment horizontal="center" vertical="center"/>
      <protection locked="0"/>
    </xf>
    <xf numFmtId="204" fontId="4" fillId="0" borderId="214" xfId="66" applyNumberFormat="1" applyFont="1" applyFill="1" applyBorder="1" applyAlignment="1" applyProtection="1">
      <alignment horizontal="center" vertical="center"/>
      <protection locked="0"/>
    </xf>
    <xf numFmtId="204" fontId="4" fillId="0" borderId="215" xfId="66" applyNumberFormat="1" applyFont="1" applyFill="1" applyBorder="1" applyAlignment="1" applyProtection="1">
      <alignment horizontal="center" vertical="center"/>
      <protection locked="0"/>
    </xf>
    <xf numFmtId="0" fontId="30" fillId="0" borderId="53" xfId="66" applyFont="1" applyFill="1" applyBorder="1" applyAlignment="1" applyProtection="1">
      <alignment horizontal="center" vertical="center" wrapText="1"/>
      <protection/>
    </xf>
    <xf numFmtId="0" fontId="30" fillId="0" borderId="54" xfId="66" applyFont="1" applyFill="1" applyBorder="1" applyAlignment="1" applyProtection="1">
      <alignment horizontal="center" vertical="center" wrapText="1"/>
      <protection/>
    </xf>
    <xf numFmtId="0" fontId="30" fillId="0" borderId="54" xfId="0" applyFont="1" applyFill="1" applyBorder="1" applyAlignment="1" applyProtection="1">
      <alignment horizontal="center" vertical="center" wrapText="1"/>
      <protection/>
    </xf>
    <xf numFmtId="0" fontId="30" fillId="0" borderId="47" xfId="0" applyFont="1" applyFill="1" applyBorder="1" applyAlignment="1" applyProtection="1">
      <alignment horizontal="center" vertical="center" wrapText="1"/>
      <protection/>
    </xf>
    <xf numFmtId="0" fontId="8" fillId="0" borderId="216" xfId="63" applyFont="1" applyFill="1" applyBorder="1" applyAlignment="1" applyProtection="1">
      <alignment horizontal="center" vertical="center" wrapText="1"/>
      <protection/>
    </xf>
    <xf numFmtId="0" fontId="8" fillId="0" borderId="213" xfId="63" applyFont="1" applyFill="1" applyBorder="1" applyAlignment="1" applyProtection="1">
      <alignment horizontal="center" vertical="center" wrapText="1"/>
      <protection/>
    </xf>
    <xf numFmtId="0" fontId="8" fillId="0" borderId="217" xfId="63" applyFont="1" applyFill="1" applyBorder="1" applyAlignment="1" applyProtection="1">
      <alignment horizontal="center" vertical="center" wrapText="1"/>
      <protection/>
    </xf>
    <xf numFmtId="0" fontId="1" fillId="34" borderId="218" xfId="65" applyFont="1" applyFill="1" applyBorder="1" applyAlignment="1" applyProtection="1">
      <alignment horizontal="center" vertical="center" wrapText="1"/>
      <protection locked="0"/>
    </xf>
    <xf numFmtId="0" fontId="48" fillId="34" borderId="0" xfId="63" applyFont="1" applyFill="1" applyBorder="1" applyAlignment="1" applyProtection="1">
      <alignment horizontal="center" wrapText="1"/>
      <protection locked="0"/>
    </xf>
    <xf numFmtId="0" fontId="0" fillId="0" borderId="0" xfId="0" applyAlignment="1">
      <alignment/>
    </xf>
    <xf numFmtId="0" fontId="51" fillId="34" borderId="0" xfId="63" applyFont="1" applyFill="1" applyBorder="1" applyAlignment="1" applyProtection="1">
      <alignment horizontal="center" wrapText="1"/>
      <protection locked="0"/>
    </xf>
    <xf numFmtId="0" fontId="0" fillId="0" borderId="0" xfId="0" applyAlignment="1">
      <alignment wrapText="1"/>
    </xf>
    <xf numFmtId="0" fontId="5" fillId="35" borderId="106" xfId="65" applyFont="1" applyFill="1" applyBorder="1" applyAlignment="1" applyProtection="1">
      <alignment horizontal="left" vertical="center" wrapText="1"/>
      <protection locked="0"/>
    </xf>
    <xf numFmtId="0" fontId="5" fillId="35" borderId="109" xfId="65" applyFont="1" applyFill="1" applyBorder="1" applyAlignment="1" applyProtection="1">
      <alignment horizontal="left" vertical="center" wrapText="1"/>
      <protection locked="0"/>
    </xf>
    <xf numFmtId="0" fontId="5" fillId="35" borderId="34" xfId="65" applyFont="1" applyFill="1" applyBorder="1" applyAlignment="1" applyProtection="1">
      <alignment horizontal="left" vertical="center" wrapText="1"/>
      <protection locked="0"/>
    </xf>
    <xf numFmtId="0" fontId="0" fillId="0" borderId="57" xfId="0" applyBorder="1" applyAlignment="1">
      <alignment vertical="center" wrapText="1"/>
    </xf>
    <xf numFmtId="0" fontId="5" fillId="35" borderId="72" xfId="65" applyFont="1" applyFill="1" applyBorder="1" applyAlignment="1" applyProtection="1">
      <alignment horizontal="left" vertical="center" wrapText="1"/>
      <protection locked="0"/>
    </xf>
    <xf numFmtId="0" fontId="0" fillId="0" borderId="110" xfId="0" applyBorder="1" applyAlignment="1">
      <alignment vertical="center" wrapText="1"/>
    </xf>
    <xf numFmtId="0" fontId="25" fillId="34" borderId="73" xfId="65" applyFont="1" applyFill="1" applyBorder="1" applyAlignment="1" applyProtection="1">
      <alignment horizontal="center" vertical="center"/>
      <protection locked="0"/>
    </xf>
    <xf numFmtId="0" fontId="43" fillId="0" borderId="74" xfId="66" applyFont="1" applyBorder="1" applyAlignment="1">
      <alignment/>
      <protection/>
    </xf>
    <xf numFmtId="0" fontId="43" fillId="0" borderId="219" xfId="66" applyFont="1" applyBorder="1" applyAlignment="1">
      <alignment/>
      <protection/>
    </xf>
    <xf numFmtId="3" fontId="8" fillId="34" borderId="73" xfId="65" applyNumberFormat="1" applyFont="1" applyFill="1" applyBorder="1" applyAlignment="1" applyProtection="1">
      <alignment horizontal="center" vertical="center" wrapText="1"/>
      <protection locked="0"/>
    </xf>
    <xf numFmtId="3" fontId="8" fillId="34" borderId="219" xfId="65" applyNumberFormat="1" applyFont="1" applyFill="1" applyBorder="1" applyAlignment="1" applyProtection="1">
      <alignment horizontal="center" vertical="center" wrapText="1"/>
      <protection locked="0"/>
    </xf>
    <xf numFmtId="3" fontId="8" fillId="34" borderId="76" xfId="65" applyNumberFormat="1" applyFont="1" applyFill="1" applyBorder="1" applyAlignment="1" applyProtection="1">
      <alignment horizontal="center" vertical="center" wrapText="1"/>
      <protection locked="0"/>
    </xf>
    <xf numFmtId="3" fontId="8" fillId="34" borderId="166" xfId="65" applyNumberFormat="1" applyFont="1" applyFill="1" applyBorder="1" applyAlignment="1" applyProtection="1">
      <alignment horizontal="center" vertical="center" wrapText="1"/>
      <protection locked="0"/>
    </xf>
    <xf numFmtId="3" fontId="8" fillId="34" borderId="134" xfId="65" applyNumberFormat="1" applyFont="1" applyFill="1" applyBorder="1" applyAlignment="1" applyProtection="1">
      <alignment horizontal="center" vertical="center" wrapText="1"/>
      <protection locked="0"/>
    </xf>
    <xf numFmtId="3" fontId="8" fillId="34" borderId="220" xfId="65" applyNumberFormat="1" applyFont="1" applyFill="1" applyBorder="1" applyAlignment="1" applyProtection="1">
      <alignment horizontal="center" vertical="center" wrapText="1"/>
      <protection locked="0"/>
    </xf>
    <xf numFmtId="0" fontId="10" fillId="34" borderId="221" xfId="65" applyFont="1" applyFill="1" applyBorder="1" applyAlignment="1" applyProtection="1">
      <alignment horizontal="center" vertical="center" wrapText="1"/>
      <protection locked="0"/>
    </xf>
    <xf numFmtId="0" fontId="10" fillId="34" borderId="222" xfId="65" applyFont="1" applyFill="1" applyBorder="1" applyAlignment="1" applyProtection="1">
      <alignment horizontal="center" vertical="center" wrapText="1"/>
      <protection locked="0"/>
    </xf>
    <xf numFmtId="0" fontId="10" fillId="34" borderId="223" xfId="65" applyFont="1" applyFill="1" applyBorder="1" applyAlignment="1" applyProtection="1">
      <alignment horizontal="center" vertical="center" wrapText="1"/>
      <protection locked="0"/>
    </xf>
    <xf numFmtId="177" fontId="10" fillId="34" borderId="221" xfId="65" applyNumberFormat="1" applyFont="1" applyFill="1" applyBorder="1" applyAlignment="1" applyProtection="1">
      <alignment horizontal="center" vertical="center" wrapText="1"/>
      <protection locked="0"/>
    </xf>
    <xf numFmtId="0" fontId="9" fillId="0" borderId="222" xfId="66" applyFont="1" applyBorder="1" applyAlignment="1">
      <alignment/>
      <protection/>
    </xf>
    <xf numFmtId="0" fontId="9" fillId="0" borderId="223" xfId="66" applyFont="1" applyBorder="1" applyAlignment="1">
      <alignment/>
      <protection/>
    </xf>
    <xf numFmtId="0" fontId="25" fillId="34" borderId="224" xfId="64" applyFont="1" applyFill="1" applyBorder="1" applyAlignment="1" applyProtection="1">
      <alignment horizontal="center" vertical="center" wrapText="1"/>
      <protection locked="0"/>
    </xf>
    <xf numFmtId="0" fontId="25" fillId="34" borderId="225" xfId="64" applyFont="1" applyFill="1" applyBorder="1" applyAlignment="1" applyProtection="1">
      <alignment horizontal="center" vertical="center" wrapText="1"/>
      <protection locked="0"/>
    </xf>
    <xf numFmtId="0" fontId="0" fillId="34" borderId="225" xfId="0" applyFont="1" applyFill="1" applyBorder="1" applyAlignment="1">
      <alignment horizontal="center" vertical="center" wrapText="1"/>
    </xf>
    <xf numFmtId="0" fontId="0" fillId="0" borderId="225" xfId="0" applyBorder="1" applyAlignment="1">
      <alignment horizontal="center" vertical="center" wrapText="1"/>
    </xf>
    <xf numFmtId="0" fontId="0" fillId="0" borderId="226" xfId="0" applyBorder="1" applyAlignment="1">
      <alignment horizontal="center" vertical="center" wrapText="1"/>
    </xf>
    <xf numFmtId="0" fontId="10" fillId="34" borderId="73" xfId="65" applyFont="1" applyFill="1" applyBorder="1" applyAlignment="1" applyProtection="1">
      <alignment horizontal="center" vertical="center"/>
      <protection locked="0"/>
    </xf>
    <xf numFmtId="0" fontId="9" fillId="0" borderId="74" xfId="66" applyFont="1" applyBorder="1" applyAlignment="1">
      <alignment/>
      <protection/>
    </xf>
    <xf numFmtId="0" fontId="9" fillId="0" borderId="219" xfId="66" applyFont="1" applyBorder="1" applyAlignment="1">
      <alignment/>
      <protection/>
    </xf>
    <xf numFmtId="0" fontId="10" fillId="34" borderId="227" xfId="65" applyFont="1" applyFill="1" applyBorder="1" applyAlignment="1" applyProtection="1">
      <alignment horizontal="center" vertical="center" wrapText="1" shrinkToFit="1"/>
      <protection locked="0"/>
    </xf>
    <xf numFmtId="0" fontId="4" fillId="0" borderId="228" xfId="66" applyFont="1" applyBorder="1" applyAlignment="1">
      <alignment/>
      <protection/>
    </xf>
    <xf numFmtId="0" fontId="10" fillId="34" borderId="229" xfId="60" applyFont="1" applyFill="1" applyBorder="1" applyAlignment="1" applyProtection="1">
      <alignment horizontal="center" vertical="center"/>
      <protection locked="0"/>
    </xf>
    <xf numFmtId="0" fontId="9" fillId="0" borderId="230" xfId="66" applyFont="1" applyBorder="1" applyAlignment="1">
      <alignment horizontal="center" vertical="center"/>
      <protection/>
    </xf>
    <xf numFmtId="0" fontId="9" fillId="0" borderId="231" xfId="66" applyFont="1" applyBorder="1" applyAlignment="1">
      <alignment horizontal="center" vertical="center"/>
      <protection/>
    </xf>
    <xf numFmtId="0" fontId="8" fillId="34" borderId="232" xfId="65" applyFont="1" applyFill="1" applyBorder="1" applyAlignment="1" applyProtection="1">
      <alignment horizontal="center" vertical="center" wrapText="1"/>
      <protection locked="0"/>
    </xf>
    <xf numFmtId="0" fontId="4" fillId="0" borderId="233" xfId="66" applyFont="1" applyBorder="1" applyAlignment="1">
      <alignment vertical="center"/>
      <protection/>
    </xf>
    <xf numFmtId="0" fontId="10" fillId="34" borderId="234" xfId="65" applyFont="1" applyFill="1" applyBorder="1" applyAlignment="1" applyProtection="1">
      <alignment horizontal="center" vertical="center" wrapText="1"/>
      <protection locked="0"/>
    </xf>
    <xf numFmtId="0" fontId="10" fillId="34" borderId="235" xfId="65" applyFont="1" applyFill="1" applyBorder="1" applyAlignment="1" applyProtection="1">
      <alignment horizontal="center" vertical="center" wrapText="1"/>
      <protection locked="0"/>
    </xf>
    <xf numFmtId="0" fontId="10" fillId="34" borderId="236" xfId="65" applyFont="1" applyFill="1" applyBorder="1" applyAlignment="1" applyProtection="1">
      <alignment horizontal="center" vertical="center" wrapText="1"/>
      <protection locked="0"/>
    </xf>
    <xf numFmtId="0" fontId="8" fillId="34" borderId="141" xfId="64" applyFont="1" applyFill="1" applyBorder="1" applyAlignment="1" applyProtection="1">
      <alignment horizontal="center" vertical="center" wrapText="1"/>
      <protection locked="0"/>
    </xf>
    <xf numFmtId="0" fontId="4" fillId="0" borderId="84" xfId="66" applyFont="1" applyBorder="1" applyAlignment="1">
      <alignment horizontal="center" vertical="center"/>
      <protection/>
    </xf>
    <xf numFmtId="0" fontId="10" fillId="34" borderId="237" xfId="65" applyFont="1" applyFill="1" applyBorder="1" applyAlignment="1" applyProtection="1">
      <alignment horizontal="center" vertical="center" wrapText="1"/>
      <protection locked="0"/>
    </xf>
    <xf numFmtId="0" fontId="9" fillId="0" borderId="238" xfId="0" applyFont="1" applyBorder="1" applyAlignment="1">
      <alignment horizontal="center" vertical="center" wrapText="1"/>
    </xf>
    <xf numFmtId="0" fontId="8" fillId="34" borderId="141" xfId="66" applyFont="1" applyFill="1" applyBorder="1" applyAlignment="1">
      <alignment horizontal="center" vertical="center" wrapText="1"/>
      <protection/>
    </xf>
    <xf numFmtId="0" fontId="0" fillId="0" borderId="84" xfId="0" applyFont="1" applyBorder="1" applyAlignment="1">
      <alignment horizontal="center" vertical="center" wrapText="1"/>
    </xf>
    <xf numFmtId="0" fontId="8" fillId="34" borderId="239" xfId="65" applyFont="1" applyFill="1" applyBorder="1" applyAlignment="1" applyProtection="1">
      <alignment horizontal="center" vertical="center" wrapText="1"/>
      <protection locked="0"/>
    </xf>
    <xf numFmtId="0" fontId="4" fillId="0" borderId="78" xfId="66" applyFont="1" applyBorder="1" applyAlignment="1">
      <alignment vertical="center"/>
      <protection/>
    </xf>
    <xf numFmtId="0" fontId="1" fillId="34" borderId="240" xfId="0" applyNumberFormat="1" applyFont="1" applyFill="1" applyBorder="1" applyAlignment="1" quotePrefix="1">
      <alignment horizontal="left"/>
    </xf>
    <xf numFmtId="0" fontId="1" fillId="0" borderId="241" xfId="0" applyFont="1" applyBorder="1" applyAlignment="1">
      <alignment horizontal="left"/>
    </xf>
    <xf numFmtId="0" fontId="1" fillId="0" borderId="242" xfId="0" applyFont="1" applyBorder="1" applyAlignment="1">
      <alignment horizontal="left"/>
    </xf>
    <xf numFmtId="0" fontId="1" fillId="34" borderId="243" xfId="0" applyNumberFormat="1" applyFont="1" applyFill="1" applyBorder="1" applyAlignment="1" quotePrefix="1">
      <alignment horizontal="left"/>
    </xf>
    <xf numFmtId="0" fontId="1" fillId="0" borderId="244" xfId="0" applyFont="1" applyBorder="1" applyAlignment="1">
      <alignment horizontal="left"/>
    </xf>
    <xf numFmtId="0" fontId="1" fillId="0" borderId="245" xfId="0" applyFont="1" applyBorder="1" applyAlignment="1">
      <alignment horizontal="left"/>
    </xf>
    <xf numFmtId="0" fontId="33" fillId="0" borderId="17" xfId="0" applyNumberFormat="1" applyFont="1" applyBorder="1" applyAlignment="1">
      <alignment horizontal="left" vertical="top"/>
    </xf>
    <xf numFmtId="0" fontId="0" fillId="0" borderId="197" xfId="0" applyBorder="1" applyAlignment="1">
      <alignment horizontal="left" vertical="top"/>
    </xf>
    <xf numFmtId="22" fontId="33" fillId="0" borderId="17" xfId="0" applyNumberFormat="1" applyFont="1" applyBorder="1" applyAlignment="1">
      <alignment horizontal="left" vertical="top"/>
    </xf>
    <xf numFmtId="21" fontId="33" fillId="0" borderId="17" xfId="0" applyNumberFormat="1" applyFont="1" applyBorder="1" applyAlignment="1">
      <alignment horizontal="left" vertical="top"/>
    </xf>
    <xf numFmtId="0" fontId="33" fillId="0" borderId="210" xfId="0" applyNumberFormat="1" applyFont="1" applyBorder="1" applyAlignment="1">
      <alignment horizontal="left" vertical="top"/>
    </xf>
    <xf numFmtId="0" fontId="0" fillId="0" borderId="198" xfId="0" applyBorder="1" applyAlignment="1">
      <alignment horizontal="left" vertical="top"/>
    </xf>
    <xf numFmtId="0" fontId="41" fillId="33" borderId="98" xfId="59" applyFont="1" applyFill="1" applyBorder="1" applyAlignment="1">
      <alignment wrapText="1"/>
      <protection/>
    </xf>
    <xf numFmtId="0" fontId="0" fillId="0" borderId="99" xfId="0" applyBorder="1" applyAlignment="1">
      <alignment wrapText="1"/>
    </xf>
    <xf numFmtId="0" fontId="0" fillId="0" borderId="100" xfId="0" applyBorder="1" applyAlignment="1">
      <alignment wrapText="1"/>
    </xf>
    <xf numFmtId="0" fontId="0" fillId="0" borderId="93" xfId="0" applyBorder="1" applyAlignment="1">
      <alignment wrapText="1"/>
    </xf>
    <xf numFmtId="0" fontId="0" fillId="0" borderId="94" xfId="0" applyBorder="1" applyAlignment="1">
      <alignment wrapText="1"/>
    </xf>
    <xf numFmtId="0" fontId="11" fillId="33" borderId="0" xfId="59" applyFont="1" applyFill="1" applyAlignment="1">
      <alignment wrapText="1"/>
      <protection/>
    </xf>
    <xf numFmtId="0" fontId="19" fillId="33" borderId="0" xfId="59" applyFont="1" applyFill="1" applyBorder="1" applyAlignment="1">
      <alignment wrapText="1"/>
      <protection/>
    </xf>
    <xf numFmtId="0" fontId="0" fillId="33" borderId="0" xfId="0" applyFill="1" applyBorder="1" applyAlignment="1">
      <alignment wrapText="1"/>
    </xf>
    <xf numFmtId="174" fontId="0" fillId="33" borderId="0" xfId="42" applyNumberFormat="1" applyFont="1" applyFill="1" applyBorder="1" applyAlignment="1">
      <alignment wrapText="1"/>
    </xf>
    <xf numFmtId="174" fontId="0" fillId="33" borderId="0" xfId="42" applyNumberFormat="1" applyFill="1" applyBorder="1" applyAlignment="1">
      <alignment wrapText="1"/>
    </xf>
    <xf numFmtId="0" fontId="11" fillId="33" borderId="0" xfId="59" applyFill="1" applyBorder="1" applyAlignment="1">
      <alignment wrapText="1"/>
      <protection/>
    </xf>
    <xf numFmtId="15" fontId="11" fillId="33" borderId="0" xfId="59" applyNumberFormat="1" applyFill="1" applyBorder="1" applyAlignment="1">
      <alignment wrapText="1"/>
      <protection/>
    </xf>
    <xf numFmtId="0" fontId="19" fillId="33" borderId="0" xfId="59" applyNumberFormat="1" applyFont="1" applyFill="1" applyBorder="1" applyAlignment="1">
      <alignment wrapText="1"/>
      <protection/>
    </xf>
    <xf numFmtId="0" fontId="1" fillId="33" borderId="0" xfId="0" applyNumberFormat="1" applyFont="1" applyFill="1" applyBorder="1" applyAlignment="1">
      <alignment wrapText="1"/>
    </xf>
    <xf numFmtId="0" fontId="1" fillId="33" borderId="0" xfId="0" applyFont="1" applyFill="1" applyBorder="1" applyAlignment="1">
      <alignment wrapText="1"/>
    </xf>
    <xf numFmtId="0" fontId="39" fillId="33" borderId="246" xfId="59" applyFont="1" applyFill="1" applyBorder="1" applyAlignment="1">
      <alignment horizontal="center" wrapText="1"/>
      <protection/>
    </xf>
    <xf numFmtId="0" fontId="39" fillId="33" borderId="247" xfId="59" applyFont="1" applyFill="1" applyBorder="1" applyAlignment="1">
      <alignment horizontal="center" wrapText="1"/>
      <protection/>
    </xf>
    <xf numFmtId="0" fontId="40" fillId="33" borderId="248" xfId="59" applyFont="1" applyFill="1" applyBorder="1" applyAlignment="1">
      <alignment horizontal="center" wrapText="1"/>
      <protection/>
    </xf>
    <xf numFmtId="0" fontId="0" fillId="0" borderId="249" xfId="0" applyBorder="1" applyAlignment="1">
      <alignment horizontal="center" wrapText="1"/>
    </xf>
    <xf numFmtId="0" fontId="0" fillId="0" borderId="250" xfId="0" applyBorder="1" applyAlignment="1">
      <alignment horizontal="center" wrapText="1"/>
    </xf>
    <xf numFmtId="0" fontId="0" fillId="0" borderId="251" xfId="0" applyBorder="1" applyAlignment="1">
      <alignment horizontal="center" wrapText="1"/>
    </xf>
    <xf numFmtId="0" fontId="0" fillId="0" borderId="252" xfId="0" applyBorder="1" applyAlignment="1">
      <alignment horizontal="center" wrapText="1"/>
    </xf>
    <xf numFmtId="0" fontId="0" fillId="0" borderId="253" xfId="0" applyBorder="1" applyAlignment="1">
      <alignment horizontal="center" wrapText="1"/>
    </xf>
    <xf numFmtId="210" fontId="37" fillId="33" borderId="0" xfId="59" applyNumberFormat="1" applyFont="1" applyFill="1" applyBorder="1" applyAlignment="1">
      <alignment horizontal="center"/>
      <protection/>
    </xf>
    <xf numFmtId="174" fontId="19" fillId="35" borderId="254" xfId="42" applyNumberFormat="1" applyFont="1" applyFill="1" applyBorder="1" applyAlignment="1">
      <alignment horizontal="right"/>
    </xf>
    <xf numFmtId="174" fontId="19" fillId="35" borderId="255" xfId="42" applyNumberFormat="1" applyFont="1" applyFill="1" applyBorder="1" applyAlignment="1">
      <alignment horizontal="right"/>
    </xf>
    <xf numFmtId="174" fontId="19" fillId="35" borderId="256" xfId="42" applyNumberFormat="1" applyFont="1" applyFill="1" applyBorder="1" applyAlignment="1">
      <alignment horizontal="right"/>
    </xf>
    <xf numFmtId="174" fontId="19" fillId="35" borderId="257" xfId="42" applyNumberFormat="1" applyFont="1" applyFill="1" applyBorder="1" applyAlignment="1">
      <alignment horizontal="right"/>
    </xf>
    <xf numFmtId="174" fontId="19" fillId="35" borderId="258" xfId="42" applyNumberFormat="1" applyFont="1" applyFill="1" applyBorder="1" applyAlignment="1">
      <alignment horizontal="right"/>
    </xf>
    <xf numFmtId="174" fontId="19" fillId="35" borderId="259" xfId="42" applyNumberFormat="1" applyFont="1" applyFill="1" applyBorder="1" applyAlignment="1">
      <alignment horizontal="right"/>
    </xf>
    <xf numFmtId="0" fontId="19" fillId="34" borderId="87" xfId="59" applyFont="1" applyFill="1" applyBorder="1" applyAlignment="1">
      <alignment wrapText="1"/>
      <protection/>
    </xf>
    <xf numFmtId="0" fontId="19" fillId="34" borderId="86" xfId="59" applyFont="1" applyFill="1" applyBorder="1" applyAlignment="1">
      <alignment wrapText="1"/>
      <protection/>
    </xf>
    <xf numFmtId="0" fontId="19" fillId="34" borderId="260" xfId="59" applyFont="1" applyFill="1" applyBorder="1" applyAlignment="1">
      <alignment horizontal="center" vertical="center" wrapText="1"/>
      <protection/>
    </xf>
    <xf numFmtId="0" fontId="0" fillId="0" borderId="261" xfId="0" applyBorder="1" applyAlignment="1">
      <alignment wrapText="1"/>
    </xf>
    <xf numFmtId="0" fontId="19" fillId="34" borderId="262" xfId="59" applyFont="1" applyFill="1" applyBorder="1" applyAlignment="1">
      <alignment horizontal="center" vertical="center" wrapText="1"/>
      <protection/>
    </xf>
    <xf numFmtId="0" fontId="0" fillId="0" borderId="263" xfId="0" applyBorder="1" applyAlignment="1">
      <alignment wrapText="1"/>
    </xf>
    <xf numFmtId="0" fontId="0" fillId="0" borderId="125" xfId="0" applyBorder="1" applyAlignment="1">
      <alignment horizontal="center" vertical="center" wrapText="1"/>
    </xf>
    <xf numFmtId="0" fontId="0" fillId="0" borderId="130" xfId="0" applyBorder="1" applyAlignment="1">
      <alignment wrapText="1"/>
    </xf>
    <xf numFmtId="3" fontId="19" fillId="36" borderId="85" xfId="59" applyNumberFormat="1" applyFont="1" applyFill="1" applyBorder="1" applyAlignment="1">
      <alignment horizontal="right" wrapText="1"/>
      <protection/>
    </xf>
    <xf numFmtId="0" fontId="19" fillId="33" borderId="0" xfId="59" applyFont="1" applyFill="1" applyBorder="1" applyAlignment="1">
      <alignment horizontal="center" wrapText="1"/>
      <protection/>
    </xf>
    <xf numFmtId="0" fontId="1" fillId="33" borderId="0" xfId="0" applyFont="1" applyFill="1" applyBorder="1" applyAlignment="1">
      <alignment horizontal="center" wrapText="1"/>
    </xf>
    <xf numFmtId="15" fontId="19" fillId="33" borderId="0" xfId="59" applyNumberFormat="1" applyFont="1" applyFill="1" applyBorder="1" applyAlignment="1">
      <alignment wrapText="1"/>
      <protection/>
    </xf>
    <xf numFmtId="206" fontId="36" fillId="33" borderId="0" xfId="59" applyNumberFormat="1" applyFont="1" applyFill="1" applyBorder="1" applyAlignment="1">
      <alignment horizontal="center"/>
      <protection/>
    </xf>
    <xf numFmtId="210" fontId="34" fillId="33" borderId="0" xfId="59" applyNumberFormat="1" applyFont="1" applyFill="1" applyBorder="1" applyAlignment="1">
      <alignment horizontal="center"/>
      <protection/>
    </xf>
    <xf numFmtId="0" fontId="19" fillId="34" borderId="180" xfId="59" applyFont="1" applyFill="1" applyBorder="1" applyAlignment="1">
      <alignment horizontal="right"/>
      <protection/>
    </xf>
    <xf numFmtId="0" fontId="19" fillId="34" borderId="264" xfId="59" applyFont="1" applyFill="1" applyBorder="1" applyAlignment="1">
      <alignment horizontal="right"/>
      <protection/>
    </xf>
    <xf numFmtId="0" fontId="0" fillId="0" borderId="124" xfId="0" applyBorder="1" applyAlignment="1">
      <alignment horizontal="right"/>
    </xf>
    <xf numFmtId="0" fontId="19" fillId="34" borderId="87" xfId="59" applyFont="1" applyFill="1" applyBorder="1" applyAlignment="1">
      <alignment horizontal="center"/>
      <protection/>
    </xf>
    <xf numFmtId="0" fontId="19" fillId="34" borderId="86" xfId="59" applyFont="1" applyFill="1" applyBorder="1" applyAlignment="1">
      <alignment horizontal="center"/>
      <protection/>
    </xf>
    <xf numFmtId="0" fontId="0" fillId="0" borderId="261" xfId="0" applyBorder="1" applyAlignment="1">
      <alignment horizontal="center" vertical="center" wrapText="1"/>
    </xf>
    <xf numFmtId="0" fontId="0" fillId="0" borderId="263" xfId="0" applyBorder="1" applyAlignment="1">
      <alignment horizontal="center" vertical="center" wrapText="1"/>
    </xf>
    <xf numFmtId="0" fontId="0" fillId="0" borderId="262" xfId="0" applyBorder="1" applyAlignment="1">
      <alignment horizontal="center" vertical="center" wrapText="1"/>
    </xf>
    <xf numFmtId="0" fontId="19" fillId="34" borderId="260" xfId="59" applyFont="1" applyFill="1" applyBorder="1" applyAlignment="1">
      <alignment wrapText="1"/>
      <protection/>
    </xf>
    <xf numFmtId="0" fontId="19" fillId="34" borderId="73" xfId="59" applyFont="1" applyFill="1" applyBorder="1" applyAlignment="1">
      <alignment horizontal="center" vertical="center" wrapText="1"/>
      <protection/>
    </xf>
    <xf numFmtId="0" fontId="0" fillId="0" borderId="219" xfId="0" applyBorder="1" applyAlignment="1">
      <alignment wrapText="1"/>
    </xf>
    <xf numFmtId="0" fontId="19" fillId="34" borderId="76" xfId="59" applyFont="1" applyFill="1" applyBorder="1" applyAlignment="1">
      <alignment horizontal="center" vertical="center" wrapText="1"/>
      <protection/>
    </xf>
    <xf numFmtId="0" fontId="0" fillId="0" borderId="166" xfId="0" applyBorder="1" applyAlignment="1">
      <alignment wrapText="1"/>
    </xf>
    <xf numFmtId="0" fontId="0" fillId="0" borderId="265" xfId="0" applyBorder="1" applyAlignment="1">
      <alignment wrapText="1"/>
    </xf>
    <xf numFmtId="0" fontId="0" fillId="0" borderId="266" xfId="0" applyBorder="1" applyAlignment="1">
      <alignment wrapText="1"/>
    </xf>
    <xf numFmtId="3" fontId="19" fillId="36" borderId="267" xfId="59" applyNumberFormat="1" applyFont="1" applyFill="1" applyBorder="1" applyAlignment="1">
      <alignment horizontal="right" wrapText="1"/>
      <protection/>
    </xf>
    <xf numFmtId="3" fontId="0" fillId="36" borderId="132" xfId="0" applyNumberFormat="1" applyFill="1" applyBorder="1" applyAlignment="1">
      <alignment horizontal="right" wrapText="1"/>
    </xf>
    <xf numFmtId="0" fontId="0" fillId="0" borderId="267" xfId="0" applyBorder="1" applyAlignment="1">
      <alignment wrapText="1"/>
    </xf>
    <xf numFmtId="0" fontId="0" fillId="0" borderId="0" xfId="0" applyBorder="1" applyAlignment="1">
      <alignment wrapText="1"/>
    </xf>
    <xf numFmtId="0" fontId="0" fillId="0" borderId="132" xfId="0" applyBorder="1" applyAlignment="1">
      <alignment wrapText="1"/>
    </xf>
    <xf numFmtId="174" fontId="19" fillId="36" borderId="85" xfId="42" applyNumberFormat="1" applyFont="1" applyFill="1" applyBorder="1" applyAlignment="1">
      <alignment horizontal="right" wrapText="1"/>
    </xf>
    <xf numFmtId="174" fontId="19" fillId="48" borderId="268" xfId="42" applyNumberFormat="1" applyFont="1" applyFill="1" applyBorder="1" applyAlignment="1">
      <alignment horizontal="right" wrapText="1"/>
    </xf>
    <xf numFmtId="174" fontId="0" fillId="48" borderId="269" xfId="42" applyNumberFormat="1" applyFill="1" applyBorder="1" applyAlignment="1">
      <alignment wrapText="1"/>
    </xf>
    <xf numFmtId="174" fontId="19" fillId="48" borderId="270" xfId="42" applyNumberFormat="1" applyFont="1" applyFill="1" applyBorder="1" applyAlignment="1">
      <alignment horizontal="right" wrapText="1"/>
    </xf>
    <xf numFmtId="174" fontId="0" fillId="48" borderId="271" xfId="42" applyNumberFormat="1" applyFill="1" applyBorder="1" applyAlignment="1">
      <alignment wrapText="1"/>
    </xf>
    <xf numFmtId="174" fontId="19" fillId="35" borderId="254" xfId="42" applyNumberFormat="1" applyFont="1" applyFill="1" applyBorder="1" applyAlignment="1">
      <alignment horizontal="right" wrapText="1"/>
    </xf>
    <xf numFmtId="174" fontId="19" fillId="35" borderId="255" xfId="42" applyNumberFormat="1" applyFont="1" applyFill="1" applyBorder="1" applyAlignment="1">
      <alignment horizontal="right" wrapText="1"/>
    </xf>
    <xf numFmtId="174" fontId="19" fillId="35" borderId="256" xfId="42" applyNumberFormat="1" applyFont="1" applyFill="1" applyBorder="1" applyAlignment="1">
      <alignment horizontal="right" wrapText="1"/>
    </xf>
    <xf numFmtId="174" fontId="19" fillId="35" borderId="257" xfId="42" applyNumberFormat="1" applyFont="1" applyFill="1" applyBorder="1" applyAlignment="1">
      <alignment horizontal="right" wrapText="1"/>
    </xf>
    <xf numFmtId="174" fontId="19" fillId="35" borderId="258" xfId="42" applyNumberFormat="1" applyFont="1" applyFill="1" applyBorder="1" applyAlignment="1">
      <alignment horizontal="right" wrapText="1"/>
    </xf>
    <xf numFmtId="174" fontId="19" fillId="35" borderId="259" xfId="42" applyNumberFormat="1" applyFont="1" applyFill="1" applyBorder="1" applyAlignment="1">
      <alignment horizontal="right" wrapText="1"/>
    </xf>
    <xf numFmtId="0" fontId="11" fillId="33" borderId="167" xfId="59" applyFont="1" applyFill="1" applyBorder="1" applyAlignment="1">
      <alignment wrapText="1"/>
      <protection/>
    </xf>
    <xf numFmtId="0" fontId="0" fillId="0" borderId="167" xfId="0" applyBorder="1" applyAlignment="1">
      <alignment wrapText="1"/>
    </xf>
    <xf numFmtId="0" fontId="0" fillId="0" borderId="87" xfId="0" applyBorder="1" applyAlignment="1">
      <alignment wrapText="1"/>
    </xf>
    <xf numFmtId="0" fontId="0" fillId="0" borderId="86" xfId="0" applyBorder="1" applyAlignment="1">
      <alignment wrapText="1"/>
    </xf>
    <xf numFmtId="0" fontId="19" fillId="34" borderId="170" xfId="59" applyFont="1" applyFill="1" applyBorder="1" applyAlignment="1">
      <alignment horizontal="center" wrapText="1"/>
      <protection/>
    </xf>
    <xf numFmtId="0" fontId="1" fillId="34" borderId="170" xfId="0" applyFont="1" applyFill="1" applyBorder="1" applyAlignment="1">
      <alignment horizontal="center" wrapText="1"/>
    </xf>
    <xf numFmtId="0" fontId="1" fillId="34" borderId="171" xfId="0" applyFont="1" applyFill="1" applyBorder="1" applyAlignment="1">
      <alignment horizontal="center" wrapText="1"/>
    </xf>
    <xf numFmtId="0" fontId="11" fillId="33" borderId="172" xfId="59" applyFont="1" applyFill="1" applyBorder="1" applyAlignment="1">
      <alignment wrapText="1"/>
      <protection/>
    </xf>
    <xf numFmtId="0" fontId="11" fillId="33" borderId="272" xfId="59" applyFont="1" applyFill="1" applyBorder="1" applyAlignment="1">
      <alignment wrapText="1"/>
      <protection/>
    </xf>
    <xf numFmtId="0" fontId="11" fillId="33" borderId="173" xfId="59" applyFont="1" applyFill="1" applyBorder="1" applyAlignment="1">
      <alignment wrapText="1"/>
      <protection/>
    </xf>
    <xf numFmtId="0" fontId="11" fillId="33" borderId="273" xfId="59" applyFont="1" applyFill="1" applyBorder="1" applyAlignment="1">
      <alignment horizontal="left" wrapText="1"/>
      <protection/>
    </xf>
    <xf numFmtId="0" fontId="11" fillId="33" borderId="54" xfId="59" applyFont="1" applyFill="1" applyBorder="1" applyAlignment="1">
      <alignment horizontal="left" wrapText="1"/>
      <protection/>
    </xf>
    <xf numFmtId="0" fontId="11" fillId="33" borderId="47" xfId="59" applyFont="1" applyFill="1" applyBorder="1" applyAlignment="1">
      <alignment horizontal="left" wrapText="1"/>
      <protection/>
    </xf>
    <xf numFmtId="0" fontId="11" fillId="33" borderId="87" xfId="59" applyFont="1" applyFill="1" applyBorder="1" applyAlignment="1">
      <alignment horizontal="left" wrapText="1"/>
      <protection/>
    </xf>
    <xf numFmtId="0" fontId="11" fillId="33" borderId="85" xfId="59" applyFont="1" applyFill="1" applyBorder="1" applyAlignment="1">
      <alignment horizontal="left" wrapText="1"/>
      <protection/>
    </xf>
    <xf numFmtId="0" fontId="11" fillId="33" borderId="257" xfId="59" applyFont="1" applyFill="1" applyBorder="1" applyAlignment="1">
      <alignment horizontal="left" wrapText="1"/>
      <protection/>
    </xf>
    <xf numFmtId="0" fontId="11" fillId="33" borderId="167" xfId="59" applyFont="1" applyFill="1" applyBorder="1" applyAlignment="1">
      <alignment horizontal="left" wrapText="1"/>
      <protection/>
    </xf>
    <xf numFmtId="0" fontId="0" fillId="0" borderId="167" xfId="0" applyBorder="1" applyAlignment="1">
      <alignment horizontal="left" wrapText="1"/>
    </xf>
    <xf numFmtId="0" fontId="0" fillId="0" borderId="168" xfId="0" applyBorder="1" applyAlignment="1">
      <alignment horizontal="left" wrapText="1"/>
    </xf>
    <xf numFmtId="0" fontId="0" fillId="0" borderId="85" xfId="0" applyBorder="1" applyAlignment="1">
      <alignment wrapText="1"/>
    </xf>
    <xf numFmtId="0" fontId="0" fillId="0" borderId="257" xfId="0" applyBorder="1" applyAlignment="1">
      <alignment wrapText="1"/>
    </xf>
    <xf numFmtId="0" fontId="11" fillId="33" borderId="274" xfId="59" applyFont="1" applyFill="1" applyBorder="1" applyAlignment="1">
      <alignment horizontal="left" wrapText="1"/>
      <protection/>
    </xf>
    <xf numFmtId="0" fontId="11" fillId="33" borderId="92" xfId="59" applyFont="1" applyFill="1" applyBorder="1" applyAlignment="1">
      <alignment horizontal="left" wrapText="1"/>
      <protection/>
    </xf>
    <xf numFmtId="0" fontId="11" fillId="33" borderId="259" xfId="59" applyFont="1" applyFill="1" applyBorder="1" applyAlignment="1">
      <alignment horizontal="left" wrapText="1"/>
      <protection/>
    </xf>
    <xf numFmtId="0" fontId="19" fillId="34" borderId="275" xfId="59" applyFont="1" applyFill="1" applyBorder="1" applyAlignment="1">
      <alignment horizontal="center" wrapText="1"/>
      <protection/>
    </xf>
    <xf numFmtId="0" fontId="0" fillId="0" borderId="89" xfId="0" applyBorder="1" applyAlignment="1">
      <alignment horizontal="center" wrapText="1"/>
    </xf>
    <xf numFmtId="0" fontId="19" fillId="34" borderId="273" xfId="59" applyFont="1" applyFill="1" applyBorder="1" applyAlignment="1">
      <alignment horizontal="center" wrapText="1"/>
      <protection/>
    </xf>
    <xf numFmtId="0" fontId="1" fillId="34" borderId="54" xfId="0" applyFont="1" applyFill="1" applyBorder="1" applyAlignment="1">
      <alignment horizontal="center" wrapText="1"/>
    </xf>
    <xf numFmtId="0" fontId="1" fillId="34" borderId="276" xfId="0" applyFont="1" applyFill="1" applyBorder="1" applyAlignment="1">
      <alignment horizontal="center" wrapText="1"/>
    </xf>
    <xf numFmtId="0" fontId="0" fillId="0" borderId="125" xfId="0" applyBorder="1" applyAlignment="1">
      <alignment horizontal="center" wrapText="1"/>
    </xf>
    <xf numFmtId="0" fontId="0" fillId="0" borderId="132" xfId="0" applyBorder="1" applyAlignment="1">
      <alignment horizontal="center" wrapText="1"/>
    </xf>
    <xf numFmtId="0" fontId="0" fillId="0" borderId="130" xfId="0" applyBorder="1" applyAlignment="1">
      <alignment horizontal="center" wrapText="1"/>
    </xf>
    <xf numFmtId="0" fontId="11" fillId="33" borderId="177" xfId="59" applyFont="1" applyFill="1" applyBorder="1" applyAlignment="1">
      <alignment wrapText="1"/>
      <protection/>
    </xf>
    <xf numFmtId="0" fontId="0" fillId="0" borderId="177" xfId="0" applyBorder="1" applyAlignment="1">
      <alignment wrapText="1"/>
    </xf>
    <xf numFmtId="0" fontId="1" fillId="34" borderId="277" xfId="0" applyFont="1" applyFill="1" applyBorder="1" applyAlignment="1">
      <alignment horizontal="center" wrapText="1"/>
    </xf>
    <xf numFmtId="0" fontId="0" fillId="0" borderId="124" xfId="0" applyBorder="1" applyAlignment="1">
      <alignment wrapText="1"/>
    </xf>
    <xf numFmtId="0" fontId="0" fillId="0" borderId="274" xfId="0" applyBorder="1" applyAlignment="1">
      <alignment wrapText="1"/>
    </xf>
    <xf numFmtId="0" fontId="0" fillId="0" borderId="278" xfId="0" applyBorder="1" applyAlignment="1">
      <alignment wrapText="1"/>
    </xf>
    <xf numFmtId="0" fontId="0" fillId="0" borderId="54" xfId="0" applyBorder="1" applyAlignment="1">
      <alignment wrapText="1"/>
    </xf>
    <xf numFmtId="0" fontId="0" fillId="0" borderId="125" xfId="0" applyBorder="1" applyAlignment="1">
      <alignment wrapText="1"/>
    </xf>
    <xf numFmtId="0" fontId="0" fillId="0" borderId="92" xfId="0" applyBorder="1" applyAlignment="1">
      <alignment wrapText="1"/>
    </xf>
    <xf numFmtId="0" fontId="0" fillId="0" borderId="259" xfId="0" applyBorder="1" applyAlignment="1">
      <alignment wrapText="1"/>
    </xf>
    <xf numFmtId="0" fontId="0" fillId="0" borderId="47" xfId="0" applyBorder="1" applyAlignment="1">
      <alignment wrapText="1"/>
    </xf>
    <xf numFmtId="0" fontId="0" fillId="0" borderId="128" xfId="0" applyBorder="1" applyAlignment="1">
      <alignment wrapText="1"/>
    </xf>
    <xf numFmtId="0" fontId="40" fillId="33" borderId="248" xfId="59" applyFont="1" applyFill="1" applyBorder="1" applyAlignment="1">
      <alignment horizontal="center" vertical="center" wrapText="1"/>
      <protection/>
    </xf>
    <xf numFmtId="0" fontId="0" fillId="0" borderId="249" xfId="0" applyBorder="1" applyAlignment="1">
      <alignment wrapText="1"/>
    </xf>
    <xf numFmtId="0" fontId="0" fillId="0" borderId="250" xfId="0" applyBorder="1" applyAlignment="1">
      <alignment wrapText="1"/>
    </xf>
    <xf numFmtId="0" fontId="0" fillId="0" borderId="251" xfId="0" applyBorder="1" applyAlignment="1">
      <alignment wrapText="1"/>
    </xf>
    <xf numFmtId="0" fontId="0" fillId="0" borderId="252" xfId="0" applyBorder="1" applyAlignment="1">
      <alignment wrapText="1"/>
    </xf>
    <xf numFmtId="0" fontId="0" fillId="0" borderId="253" xfId="0" applyBorder="1" applyAlignment="1">
      <alignment wrapText="1"/>
    </xf>
    <xf numFmtId="0" fontId="40" fillId="33" borderId="249" xfId="59" applyFont="1" applyFill="1" applyBorder="1" applyAlignment="1">
      <alignment horizontal="center" wrapText="1"/>
      <protection/>
    </xf>
    <xf numFmtId="0" fontId="40" fillId="33" borderId="250" xfId="59" applyFont="1" applyFill="1" applyBorder="1" applyAlignment="1">
      <alignment horizontal="center" wrapText="1"/>
      <protection/>
    </xf>
    <xf numFmtId="0" fontId="40" fillId="33" borderId="251" xfId="59" applyFont="1" applyFill="1" applyBorder="1" applyAlignment="1">
      <alignment horizontal="center" wrapText="1"/>
      <protection/>
    </xf>
    <xf numFmtId="0" fontId="40" fillId="33" borderId="252" xfId="59" applyFont="1" applyFill="1" applyBorder="1" applyAlignment="1">
      <alignment horizontal="center" wrapText="1"/>
      <protection/>
    </xf>
    <xf numFmtId="0" fontId="40" fillId="33" borderId="253" xfId="59" applyFont="1" applyFill="1" applyBorder="1" applyAlignment="1">
      <alignment horizontal="center" wrapText="1"/>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Temple Risk Register (Master)"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Updated Risk Register-rev02" xfId="55"/>
    <cellStyle name="Input" xfId="56"/>
    <cellStyle name="Linked Cell" xfId="57"/>
    <cellStyle name="Neutral" xfId="58"/>
    <cellStyle name="Normal_Arun to Adur Risk Register (Mar '08)" xfId="59"/>
    <cellStyle name="Normal_Book1" xfId="60"/>
    <cellStyle name="Normal_Happ_Winterton Risk Register" xfId="61"/>
    <cellStyle name="Normal_Risk Register (EA EC Harris) v1" xfId="62"/>
    <cellStyle name="Normal_risk registerscore auto" xfId="63"/>
    <cellStyle name="Normal_S+O Stage 2 risk budget (Model)" xfId="64"/>
    <cellStyle name="Normal_Temple Risk Register (Master)" xfId="65"/>
    <cellStyle name="Normal_Updated Risk Register-rev02" xfId="66"/>
    <cellStyle name="Note" xfId="67"/>
    <cellStyle name="Output" xfId="68"/>
    <cellStyle name="Percent" xfId="69"/>
    <cellStyle name="RISKbigPercent" xfId="70"/>
    <cellStyle name="RISKblandrEdge" xfId="71"/>
    <cellStyle name="RISKblCorner" xfId="72"/>
    <cellStyle name="RISKbottomEdge" xfId="73"/>
    <cellStyle name="RISKbrCorner" xfId="74"/>
    <cellStyle name="RISKdarkBoxed" xfId="75"/>
    <cellStyle name="RISKdarkShade" xfId="76"/>
    <cellStyle name="RISKdbottomEdge" xfId="77"/>
    <cellStyle name="RISKdrightEdge" xfId="78"/>
    <cellStyle name="RISKdurationTime" xfId="79"/>
    <cellStyle name="RISKinNumber" xfId="80"/>
    <cellStyle name="RISKlandrEdge" xfId="81"/>
    <cellStyle name="RISKleftEdge" xfId="82"/>
    <cellStyle name="RISKlightBoxed" xfId="83"/>
    <cellStyle name="RISKltandbEdge" xfId="84"/>
    <cellStyle name="RISKnormBoxed" xfId="85"/>
    <cellStyle name="RISKnormCenter" xfId="86"/>
    <cellStyle name="RISKnormHeading" xfId="87"/>
    <cellStyle name="RISKnormItal" xfId="88"/>
    <cellStyle name="RISKnormLabel" xfId="89"/>
    <cellStyle name="RISKnormShade" xfId="90"/>
    <cellStyle name="RISKnormTitle" xfId="91"/>
    <cellStyle name="RISKoutNumber" xfId="92"/>
    <cellStyle name="RISKrightEdge" xfId="93"/>
    <cellStyle name="RISKrtandbEdge" xfId="94"/>
    <cellStyle name="RISKssTime" xfId="95"/>
    <cellStyle name="RISKtandbEdge" xfId="96"/>
    <cellStyle name="RISKtlandrEdge" xfId="97"/>
    <cellStyle name="RISKtlCorner" xfId="98"/>
    <cellStyle name="RISKtopEdge" xfId="99"/>
    <cellStyle name="RISKtrCorner" xfId="100"/>
    <cellStyle name="Title" xfId="101"/>
    <cellStyle name="Total" xfId="102"/>
    <cellStyle name="Warning Text" xfId="103"/>
  </cellStyles>
  <dxfs count="341">
    <dxf>
      <fill>
        <patternFill>
          <bgColor indexed="10"/>
        </patternFill>
      </fill>
    </dxf>
    <dxf>
      <fill>
        <patternFill>
          <bgColor indexed="48"/>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52"/>
        </patternFill>
      </fill>
    </dxf>
    <dxf>
      <fill>
        <patternFill>
          <bgColor indexed="11"/>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b/>
        <i val="0"/>
        <color indexed="10"/>
      </font>
      <fill>
        <patternFill>
          <bgColor indexed="12"/>
        </patternFill>
      </fill>
    </dxf>
    <dxf>
      <fill>
        <patternFill>
          <bgColor indexed="10"/>
        </patternFill>
      </fill>
    </dxf>
    <dxf>
      <fill>
        <patternFill>
          <bgColor indexed="52"/>
        </patternFill>
      </fill>
    </dxf>
    <dxf>
      <fill>
        <patternFill>
          <bgColor indexed="11"/>
        </patternFill>
      </fill>
    </dxf>
    <dxf>
      <font>
        <color indexed="9"/>
      </font>
      <fill>
        <patternFill>
          <bgColor indexed="10"/>
        </patternFill>
      </fill>
    </dxf>
    <dxf>
      <fill>
        <patternFill>
          <bgColor indexed="51"/>
        </patternFill>
      </fill>
    </dxf>
    <dxf>
      <fill>
        <patternFill>
          <bgColor indexed="11"/>
        </patternFill>
      </fill>
    </dxf>
    <dxf>
      <fill>
        <patternFill patternType="gray125"/>
      </fill>
    </dxf>
    <dxf>
      <fill>
        <patternFill>
          <bgColor indexed="10"/>
        </patternFill>
      </fill>
    </dxf>
    <dxf>
      <fill>
        <patternFill>
          <bgColor indexed="51"/>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428625</xdr:colOff>
      <xdr:row>0</xdr:row>
      <xdr:rowOff>66675</xdr:rowOff>
    </xdr:from>
    <xdr:to>
      <xdr:col>27</xdr:col>
      <xdr:colOff>628650</xdr:colOff>
      <xdr:row>4</xdr:row>
      <xdr:rowOff>85725</xdr:rowOff>
    </xdr:to>
    <xdr:pic>
      <xdr:nvPicPr>
        <xdr:cNvPr id="1" name="Picture 1"/>
        <xdr:cNvPicPr preferRelativeResize="1">
          <a:picLocks noChangeAspect="1"/>
        </xdr:cNvPicPr>
      </xdr:nvPicPr>
      <xdr:blipFill>
        <a:blip r:embed="rId1"/>
        <a:stretch>
          <a:fillRect/>
        </a:stretch>
      </xdr:blipFill>
      <xdr:spPr>
        <a:xfrm>
          <a:off x="16887825" y="66675"/>
          <a:ext cx="2257425" cy="8953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xdr:row>
      <xdr:rowOff>0</xdr:rowOff>
    </xdr:from>
    <xdr:to>
      <xdr:col>5</xdr:col>
      <xdr:colOff>552450</xdr:colOff>
      <xdr:row>19</xdr:row>
      <xdr:rowOff>142875</xdr:rowOff>
    </xdr:to>
    <xdr:pic>
      <xdr:nvPicPr>
        <xdr:cNvPr id="1" name="Picture 1"/>
        <xdr:cNvPicPr preferRelativeResize="1">
          <a:picLocks noChangeAspect="0"/>
        </xdr:cNvPicPr>
      </xdr:nvPicPr>
      <xdr:blipFill>
        <a:blip r:embed="rId1"/>
        <a:stretch>
          <a:fillRect/>
        </a:stretch>
      </xdr:blipFill>
      <xdr:spPr>
        <a:xfrm>
          <a:off x="47625" y="685800"/>
          <a:ext cx="3381375" cy="2571750"/>
        </a:xfrm>
        <a:prstGeom prst="rect">
          <a:avLst/>
        </a:prstGeom>
        <a:noFill/>
        <a:ln w="19050" cmpd="sng">
          <a:solidFill>
            <a:srgbClr val="000000"/>
          </a:solidFill>
          <a:headEnd type="none"/>
          <a:tailEnd type="none"/>
        </a:ln>
      </xdr:spPr>
    </xdr:pic>
    <xdr:clientData/>
  </xdr:twoCellAnchor>
  <xdr:twoCellAnchor editAs="oneCell">
    <xdr:from>
      <xdr:col>1</xdr:col>
      <xdr:colOff>28575</xdr:colOff>
      <xdr:row>21</xdr:row>
      <xdr:rowOff>0</xdr:rowOff>
    </xdr:from>
    <xdr:to>
      <xdr:col>5</xdr:col>
      <xdr:colOff>552450</xdr:colOff>
      <xdr:row>36</xdr:row>
      <xdr:rowOff>142875</xdr:rowOff>
    </xdr:to>
    <xdr:pic>
      <xdr:nvPicPr>
        <xdr:cNvPr id="2" name="Picture 2"/>
        <xdr:cNvPicPr preferRelativeResize="1">
          <a:picLocks noChangeAspect="0"/>
        </xdr:cNvPicPr>
      </xdr:nvPicPr>
      <xdr:blipFill>
        <a:blip r:embed="rId2"/>
        <a:stretch>
          <a:fillRect/>
        </a:stretch>
      </xdr:blipFill>
      <xdr:spPr>
        <a:xfrm>
          <a:off x="47625" y="3438525"/>
          <a:ext cx="3381375" cy="2571750"/>
        </a:xfrm>
        <a:prstGeom prst="rect">
          <a:avLst/>
        </a:prstGeom>
        <a:noFill/>
        <a:ln w="19050" cmpd="sng">
          <a:solidFill>
            <a:srgbClr val="000000"/>
          </a:solidFill>
          <a:headEnd type="none"/>
          <a:tailEnd type="none"/>
        </a:ln>
      </xdr:spPr>
    </xdr:pic>
    <xdr:clientData/>
  </xdr:twoCellAnchor>
  <xdr:twoCellAnchor editAs="oneCell">
    <xdr:from>
      <xdr:col>1</xdr:col>
      <xdr:colOff>28575</xdr:colOff>
      <xdr:row>38</xdr:row>
      <xdr:rowOff>0</xdr:rowOff>
    </xdr:from>
    <xdr:to>
      <xdr:col>5</xdr:col>
      <xdr:colOff>552450</xdr:colOff>
      <xdr:row>53</xdr:row>
      <xdr:rowOff>142875</xdr:rowOff>
    </xdr:to>
    <xdr:pic>
      <xdr:nvPicPr>
        <xdr:cNvPr id="3" name="Picture 3"/>
        <xdr:cNvPicPr preferRelativeResize="1">
          <a:picLocks noChangeAspect="0"/>
        </xdr:cNvPicPr>
      </xdr:nvPicPr>
      <xdr:blipFill>
        <a:blip r:embed="rId3"/>
        <a:stretch>
          <a:fillRect/>
        </a:stretch>
      </xdr:blipFill>
      <xdr:spPr>
        <a:xfrm>
          <a:off x="47625" y="6191250"/>
          <a:ext cx="3381375" cy="2571750"/>
        </a:xfrm>
        <a:prstGeom prst="rect">
          <a:avLst/>
        </a:prstGeom>
        <a:noFill/>
        <a:ln w="19050"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xdr:row>
      <xdr:rowOff>0</xdr:rowOff>
    </xdr:from>
    <xdr:to>
      <xdr:col>5</xdr:col>
      <xdr:colOff>552450</xdr:colOff>
      <xdr:row>19</xdr:row>
      <xdr:rowOff>142875</xdr:rowOff>
    </xdr:to>
    <xdr:pic>
      <xdr:nvPicPr>
        <xdr:cNvPr id="1" name="Picture 1"/>
        <xdr:cNvPicPr preferRelativeResize="1">
          <a:picLocks noChangeAspect="0"/>
        </xdr:cNvPicPr>
      </xdr:nvPicPr>
      <xdr:blipFill>
        <a:blip r:embed="rId1"/>
        <a:stretch>
          <a:fillRect/>
        </a:stretch>
      </xdr:blipFill>
      <xdr:spPr>
        <a:xfrm>
          <a:off x="47625" y="685800"/>
          <a:ext cx="3381375" cy="2571750"/>
        </a:xfrm>
        <a:prstGeom prst="rect">
          <a:avLst/>
        </a:prstGeom>
        <a:noFill/>
        <a:ln w="19050" cmpd="sng">
          <a:solidFill>
            <a:srgbClr val="000000"/>
          </a:solidFill>
          <a:headEnd type="none"/>
          <a:tailEnd type="none"/>
        </a:ln>
      </xdr:spPr>
    </xdr:pic>
    <xdr:clientData/>
  </xdr:twoCellAnchor>
  <xdr:twoCellAnchor editAs="oneCell">
    <xdr:from>
      <xdr:col>1</xdr:col>
      <xdr:colOff>28575</xdr:colOff>
      <xdr:row>21</xdr:row>
      <xdr:rowOff>0</xdr:rowOff>
    </xdr:from>
    <xdr:to>
      <xdr:col>5</xdr:col>
      <xdr:colOff>552450</xdr:colOff>
      <xdr:row>36</xdr:row>
      <xdr:rowOff>142875</xdr:rowOff>
    </xdr:to>
    <xdr:pic>
      <xdr:nvPicPr>
        <xdr:cNvPr id="2" name="Picture 2"/>
        <xdr:cNvPicPr preferRelativeResize="1">
          <a:picLocks noChangeAspect="0"/>
        </xdr:cNvPicPr>
      </xdr:nvPicPr>
      <xdr:blipFill>
        <a:blip r:embed="rId2"/>
        <a:stretch>
          <a:fillRect/>
        </a:stretch>
      </xdr:blipFill>
      <xdr:spPr>
        <a:xfrm>
          <a:off x="47625" y="3438525"/>
          <a:ext cx="3381375" cy="2571750"/>
        </a:xfrm>
        <a:prstGeom prst="rect">
          <a:avLst/>
        </a:prstGeom>
        <a:noFill/>
        <a:ln w="19050" cmpd="sng">
          <a:solidFill>
            <a:srgbClr val="000000"/>
          </a:solidFill>
          <a:headEnd type="none"/>
          <a:tailEnd type="none"/>
        </a:ln>
      </xdr:spPr>
    </xdr:pic>
    <xdr:clientData/>
  </xdr:twoCellAnchor>
  <xdr:twoCellAnchor editAs="oneCell">
    <xdr:from>
      <xdr:col>1</xdr:col>
      <xdr:colOff>28575</xdr:colOff>
      <xdr:row>38</xdr:row>
      <xdr:rowOff>0</xdr:rowOff>
    </xdr:from>
    <xdr:to>
      <xdr:col>5</xdr:col>
      <xdr:colOff>552450</xdr:colOff>
      <xdr:row>53</xdr:row>
      <xdr:rowOff>142875</xdr:rowOff>
    </xdr:to>
    <xdr:pic>
      <xdr:nvPicPr>
        <xdr:cNvPr id="3" name="Picture 3"/>
        <xdr:cNvPicPr preferRelativeResize="1">
          <a:picLocks noChangeAspect="0"/>
        </xdr:cNvPicPr>
      </xdr:nvPicPr>
      <xdr:blipFill>
        <a:blip r:embed="rId3"/>
        <a:stretch>
          <a:fillRect/>
        </a:stretch>
      </xdr:blipFill>
      <xdr:spPr>
        <a:xfrm>
          <a:off x="47625" y="6191250"/>
          <a:ext cx="3381375" cy="2571750"/>
        </a:xfrm>
        <a:prstGeom prst="rect">
          <a:avLst/>
        </a:prstGeom>
        <a:noFill/>
        <a:ln w="19050"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12</xdr:row>
      <xdr:rowOff>0</xdr:rowOff>
    </xdr:from>
    <xdr:to>
      <xdr:col>12</xdr:col>
      <xdr:colOff>19050</xdr:colOff>
      <xdr:row>12</xdr:row>
      <xdr:rowOff>0</xdr:rowOff>
    </xdr:to>
    <xdr:sp>
      <xdr:nvSpPr>
        <xdr:cNvPr id="1" name="Line 5"/>
        <xdr:cNvSpPr>
          <a:spLocks/>
        </xdr:cNvSpPr>
      </xdr:nvSpPr>
      <xdr:spPr>
        <a:xfrm flipH="1" flipV="1">
          <a:off x="11068050" y="2705100"/>
          <a:ext cx="9525" cy="0"/>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ms.ea.gov/ams_root/11/11_03_engineering_project_manage/617_06.doc" TargetMode="External" /><Relationship Id="rId2" Type="http://schemas.openxmlformats.org/officeDocument/2006/relationships/hyperlink" Target="mailto:NCPMS.Ipswich1.AN@environment-agency.gov.uk" TargetMode="Externa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2">
    <tabColor indexed="10"/>
    <pageSetUpPr fitToPage="1"/>
  </sheetPr>
  <dimension ref="A1:K40"/>
  <sheetViews>
    <sheetView zoomScalePageLayoutView="0" workbookViewId="0" topLeftCell="A1">
      <selection activeCell="C34" sqref="C34"/>
    </sheetView>
  </sheetViews>
  <sheetFormatPr defaultColWidth="10.28125" defaultRowHeight="12.75"/>
  <cols>
    <col min="1" max="16384" width="10.28125" style="2" customWidth="1"/>
  </cols>
  <sheetData>
    <row r="1" ht="20.25">
      <c r="A1" s="306" t="s">
        <v>308</v>
      </c>
    </row>
    <row r="2" ht="15">
      <c r="B2" s="307" t="s">
        <v>199</v>
      </c>
    </row>
    <row r="3" ht="14.25">
      <c r="B3" s="70" t="s">
        <v>193</v>
      </c>
    </row>
    <row r="4" ht="19.5" customHeight="1">
      <c r="B4" s="324" t="s">
        <v>5</v>
      </c>
    </row>
    <row r="5" ht="21" customHeight="1">
      <c r="B5" s="308" t="s">
        <v>194</v>
      </c>
    </row>
    <row r="7" ht="15">
      <c r="B7" s="307" t="s">
        <v>200</v>
      </c>
    </row>
    <row r="8" ht="14.25">
      <c r="B8" s="70" t="s">
        <v>201</v>
      </c>
    </row>
    <row r="9" ht="14.25">
      <c r="B9" s="70" t="s">
        <v>202</v>
      </c>
    </row>
    <row r="10" spans="2:10" ht="14.25">
      <c r="B10" s="309" t="s">
        <v>203</v>
      </c>
      <c r="C10" s="309"/>
      <c r="D10" s="309"/>
      <c r="E10" s="309"/>
      <c r="F10" s="309"/>
      <c r="G10" s="309"/>
      <c r="H10" s="309"/>
      <c r="I10" s="309"/>
      <c r="J10" s="309"/>
    </row>
    <row r="11" spans="2:10" ht="14.25">
      <c r="B11" s="309" t="s">
        <v>204</v>
      </c>
      <c r="C11" s="309"/>
      <c r="D11" s="309"/>
      <c r="E11" s="309"/>
      <c r="F11" s="309"/>
      <c r="G11" s="309"/>
      <c r="H11" s="309"/>
      <c r="I11" s="309"/>
      <c r="J11" s="309"/>
    </row>
    <row r="12" spans="2:10" ht="14.25">
      <c r="B12" s="309" t="s">
        <v>205</v>
      </c>
      <c r="C12" s="309"/>
      <c r="D12" s="309"/>
      <c r="E12" s="309"/>
      <c r="F12" s="309"/>
      <c r="G12" s="309"/>
      <c r="H12" s="309"/>
      <c r="I12" s="309"/>
      <c r="J12" s="309"/>
    </row>
    <row r="13" spans="2:10" ht="14.25">
      <c r="B13" s="309" t="s">
        <v>206</v>
      </c>
      <c r="C13" s="309"/>
      <c r="D13" s="309"/>
      <c r="E13" s="309"/>
      <c r="F13" s="309"/>
      <c r="G13" s="309"/>
      <c r="H13" s="309"/>
      <c r="I13" s="309"/>
      <c r="J13" s="309"/>
    </row>
    <row r="14" spans="2:10" ht="14.25">
      <c r="B14" s="309" t="s">
        <v>207</v>
      </c>
      <c r="C14" s="309"/>
      <c r="D14" s="309"/>
      <c r="E14" s="309"/>
      <c r="F14" s="309"/>
      <c r="G14" s="309"/>
      <c r="H14" s="309"/>
      <c r="I14" s="309"/>
      <c r="J14" s="309"/>
    </row>
    <row r="15" spans="2:10" ht="14.25">
      <c r="B15" s="309" t="s">
        <v>208</v>
      </c>
      <c r="C15" s="309"/>
      <c r="D15" s="309"/>
      <c r="E15" s="309"/>
      <c r="F15" s="309"/>
      <c r="G15" s="309"/>
      <c r="H15" s="309"/>
      <c r="I15" s="309"/>
      <c r="J15" s="309"/>
    </row>
    <row r="16" spans="2:10" ht="14.25">
      <c r="B16" s="309" t="s">
        <v>209</v>
      </c>
      <c r="C16" s="309"/>
      <c r="D16" s="309"/>
      <c r="E16" s="309"/>
      <c r="F16" s="309"/>
      <c r="G16" s="309"/>
      <c r="H16" s="309"/>
      <c r="I16" s="309"/>
      <c r="J16" s="309"/>
    </row>
    <row r="17" spans="2:10" ht="14.25">
      <c r="B17" s="309" t="s">
        <v>210</v>
      </c>
      <c r="C17" s="309"/>
      <c r="D17" s="309"/>
      <c r="E17" s="309"/>
      <c r="F17" s="309"/>
      <c r="G17" s="309"/>
      <c r="H17" s="309"/>
      <c r="I17" s="309"/>
      <c r="J17" s="309"/>
    </row>
    <row r="19" ht="15">
      <c r="B19" s="307" t="s">
        <v>211</v>
      </c>
    </row>
    <row r="20" spans="2:11" ht="14.25">
      <c r="B20" s="310" t="s">
        <v>212</v>
      </c>
      <c r="C20" s="3"/>
      <c r="D20" s="3"/>
      <c r="E20" s="3"/>
      <c r="F20" s="3"/>
      <c r="G20" s="3"/>
      <c r="H20" s="3"/>
      <c r="I20" s="3"/>
      <c r="J20" s="3"/>
      <c r="K20" s="3"/>
    </row>
    <row r="21" ht="7.5" customHeight="1">
      <c r="B21" s="309"/>
    </row>
    <row r="22" spans="2:11" ht="14.25">
      <c r="B22" s="311" t="s">
        <v>213</v>
      </c>
      <c r="C22" s="4"/>
      <c r="D22" s="4"/>
      <c r="E22" s="4"/>
      <c r="F22" s="4"/>
      <c r="G22" s="4"/>
      <c r="H22" s="4"/>
      <c r="I22" s="4"/>
      <c r="J22" s="4"/>
      <c r="K22" s="4"/>
    </row>
    <row r="23" ht="6.75" customHeight="1">
      <c r="B23" s="309"/>
    </row>
    <row r="24" spans="2:11" ht="14.25">
      <c r="B24" s="312" t="s">
        <v>214</v>
      </c>
      <c r="C24" s="5"/>
      <c r="D24" s="5"/>
      <c r="E24" s="5"/>
      <c r="F24" s="5"/>
      <c r="G24" s="5"/>
      <c r="H24" s="5"/>
      <c r="I24" s="5"/>
      <c r="J24" s="5"/>
      <c r="K24" s="5"/>
    </row>
    <row r="26" spans="2:5" ht="15">
      <c r="B26" s="307" t="s">
        <v>215</v>
      </c>
      <c r="E26" s="1"/>
    </row>
    <row r="27" spans="2:4" ht="14.25">
      <c r="B27" s="314">
        <v>1</v>
      </c>
      <c r="C27" s="309" t="s">
        <v>216</v>
      </c>
      <c r="D27" s="309"/>
    </row>
    <row r="28" spans="2:4" ht="14.25">
      <c r="B28" s="314">
        <v>2</v>
      </c>
      <c r="C28" s="313" t="s">
        <v>217</v>
      </c>
      <c r="D28" s="309"/>
    </row>
    <row r="29" spans="2:4" ht="14.25">
      <c r="B29" s="314"/>
      <c r="C29" s="313" t="s">
        <v>218</v>
      </c>
      <c r="D29" s="309"/>
    </row>
    <row r="30" spans="2:4" ht="14.25">
      <c r="B30" s="314">
        <v>3</v>
      </c>
      <c r="C30" s="309" t="s">
        <v>219</v>
      </c>
      <c r="D30" s="309"/>
    </row>
    <row r="31" spans="2:4" ht="14.25">
      <c r="B31" s="314">
        <v>4</v>
      </c>
      <c r="C31" s="309" t="s">
        <v>220</v>
      </c>
      <c r="D31" s="309"/>
    </row>
    <row r="32" spans="2:4" ht="14.25">
      <c r="B32" s="314">
        <v>5</v>
      </c>
      <c r="C32" s="309" t="s">
        <v>221</v>
      </c>
      <c r="D32" s="309"/>
    </row>
    <row r="33" spans="2:4" ht="14.25">
      <c r="B33" s="314">
        <v>6</v>
      </c>
      <c r="C33" s="309" t="s">
        <v>222</v>
      </c>
      <c r="D33" s="309"/>
    </row>
    <row r="34" spans="2:4" ht="14.25">
      <c r="B34" s="314">
        <v>7</v>
      </c>
      <c r="C34" s="309" t="s">
        <v>223</v>
      </c>
      <c r="D34" s="309"/>
    </row>
    <row r="35" spans="2:4" ht="14.25">
      <c r="B35" s="314">
        <v>8</v>
      </c>
      <c r="C35" s="309" t="s">
        <v>224</v>
      </c>
      <c r="D35" s="309"/>
    </row>
    <row r="36" spans="2:4" ht="14.25">
      <c r="B36" s="314">
        <v>9</v>
      </c>
      <c r="C36" s="309" t="s">
        <v>225</v>
      </c>
      <c r="D36" s="309"/>
    </row>
    <row r="38" spans="2:6" ht="15">
      <c r="B38" s="307" t="s">
        <v>226</v>
      </c>
      <c r="C38" s="1"/>
      <c r="D38" s="1"/>
      <c r="E38" s="1"/>
      <c r="F38" s="309" t="s">
        <v>227</v>
      </c>
    </row>
    <row r="39" spans="2:3" ht="14.25">
      <c r="B39" s="314">
        <v>1</v>
      </c>
      <c r="C39" s="309" t="s">
        <v>228</v>
      </c>
    </row>
    <row r="40" spans="2:3" ht="14.25">
      <c r="B40" s="314">
        <v>2</v>
      </c>
      <c r="C40" s="309" t="s">
        <v>229</v>
      </c>
    </row>
  </sheetData>
  <sheetProtection/>
  <hyperlinks>
    <hyperlink ref="B4" r:id="rId1" display="The user should only use the Risk Register after reading the relevant guidance documents within the Risk Management System"/>
    <hyperlink ref="B5" r:id="rId2" display="mailto:NCPMS.Ipswich1.AN@environment-agency.gov.uk"/>
  </hyperlinks>
  <printOptions/>
  <pageMargins left="0.7480314960629921" right="0.7480314960629921" top="0.984251968503937" bottom="0.984251968503937" header="0.5118110236220472" footer="0.5118110236220472"/>
  <pageSetup fitToHeight="1" fitToWidth="1" horizontalDpi="300" verticalDpi="300" orientation="landscape" paperSize="9" scale="46"/>
  <headerFooter alignWithMargins="0">
    <oddHeader>&amp;C&amp;"Arial,Bold"&amp;9Environment Agency Management System document: Uncontrolled when printed &amp;D</oddHeader>
    <oddFooter>&amp;C&amp;9Risk Register - Introduction</oddFooter>
  </headerFooter>
  <drawing r:id="rId3"/>
</worksheet>
</file>

<file path=xl/worksheets/sheet2.xml><?xml version="1.0" encoding="utf-8"?>
<worksheet xmlns="http://schemas.openxmlformats.org/spreadsheetml/2006/main" xmlns:r="http://schemas.openxmlformats.org/officeDocument/2006/relationships">
  <sheetPr codeName="Sheet1">
    <pageSetUpPr fitToPage="1"/>
  </sheetPr>
  <dimension ref="B2:E51"/>
  <sheetViews>
    <sheetView zoomScale="75" zoomScaleNormal="75" zoomScalePageLayoutView="0" workbookViewId="0" topLeftCell="A1">
      <selection activeCell="C40" sqref="C40"/>
    </sheetView>
  </sheetViews>
  <sheetFormatPr defaultColWidth="9.140625" defaultRowHeight="12.75"/>
  <cols>
    <col min="1" max="1" width="3.421875" style="7" customWidth="1"/>
    <col min="2" max="2" width="18.140625" style="8" customWidth="1"/>
    <col min="3" max="3" width="78.421875" style="9" customWidth="1"/>
    <col min="4" max="4" width="23.8515625" style="7" customWidth="1"/>
    <col min="5" max="16384" width="9.140625" style="7" customWidth="1"/>
  </cols>
  <sheetData>
    <row r="1" ht="13.5" thickBot="1"/>
    <row r="2" spans="2:5" ht="12.75">
      <c r="B2" s="77" t="s">
        <v>70</v>
      </c>
      <c r="C2" s="78" t="s">
        <v>71</v>
      </c>
      <c r="D2" s="82" t="s">
        <v>72</v>
      </c>
      <c r="E2" s="54"/>
    </row>
    <row r="3" spans="2:5" ht="12.75">
      <c r="B3" s="79">
        <v>1</v>
      </c>
      <c r="C3" s="73" t="s">
        <v>198</v>
      </c>
      <c r="D3" s="85">
        <v>38961</v>
      </c>
      <c r="E3" s="56"/>
    </row>
    <row r="4" spans="2:5" ht="12.75">
      <c r="B4" s="79">
        <v>2</v>
      </c>
      <c r="C4" s="73" t="s">
        <v>74</v>
      </c>
      <c r="D4" s="85">
        <v>39142</v>
      </c>
      <c r="E4" s="56"/>
    </row>
    <row r="5" spans="2:5" ht="12.75">
      <c r="B5" s="79"/>
      <c r="C5" s="73" t="s">
        <v>75</v>
      </c>
      <c r="D5" s="55"/>
      <c r="E5" s="56"/>
    </row>
    <row r="6" spans="2:5" ht="12.75">
      <c r="B6" s="79"/>
      <c r="C6" s="86" t="s">
        <v>76</v>
      </c>
      <c r="D6" s="55"/>
      <c r="E6" s="56"/>
    </row>
    <row r="7" spans="2:5" ht="12.75">
      <c r="B7" s="79"/>
      <c r="C7" s="73" t="s">
        <v>77</v>
      </c>
      <c r="D7" s="55"/>
      <c r="E7" s="56"/>
    </row>
    <row r="8" spans="2:5" ht="12.75">
      <c r="B8" s="79"/>
      <c r="C8" s="73" t="s">
        <v>78</v>
      </c>
      <c r="D8" s="55"/>
      <c r="E8" s="56"/>
    </row>
    <row r="9" spans="2:5" ht="12.75">
      <c r="B9" s="79"/>
      <c r="C9" s="73" t="s">
        <v>79</v>
      </c>
      <c r="D9" s="55"/>
      <c r="E9" s="56"/>
    </row>
    <row r="10" spans="2:5" ht="12.75">
      <c r="B10" s="79"/>
      <c r="C10" s="73" t="s">
        <v>80</v>
      </c>
      <c r="D10" s="55"/>
      <c r="E10" s="56"/>
    </row>
    <row r="11" spans="2:5" ht="12.75">
      <c r="B11" s="79">
        <v>3</v>
      </c>
      <c r="C11" s="73" t="s">
        <v>111</v>
      </c>
      <c r="D11" s="99">
        <v>40026</v>
      </c>
      <c r="E11" s="56"/>
    </row>
    <row r="12" spans="2:5" ht="12.75">
      <c r="B12" s="79"/>
      <c r="C12" s="73" t="s">
        <v>116</v>
      </c>
      <c r="D12" s="55"/>
      <c r="E12" s="56"/>
    </row>
    <row r="13" spans="2:5" ht="12.75">
      <c r="B13" s="79"/>
      <c r="C13" s="73" t="s">
        <v>117</v>
      </c>
      <c r="D13" s="55"/>
      <c r="E13" s="56"/>
    </row>
    <row r="14" spans="2:5" ht="12.75">
      <c r="B14" s="79"/>
      <c r="C14" s="73" t="s">
        <v>118</v>
      </c>
      <c r="D14" s="55"/>
      <c r="E14" s="56"/>
    </row>
    <row r="15" spans="2:5" ht="12.75">
      <c r="B15" s="79"/>
      <c r="C15" s="278" t="s">
        <v>136</v>
      </c>
      <c r="D15" s="85"/>
      <c r="E15" s="56"/>
    </row>
    <row r="16" spans="2:5" ht="12.75">
      <c r="B16" s="79"/>
      <c r="C16" s="278" t="s">
        <v>135</v>
      </c>
      <c r="D16" s="55"/>
      <c r="E16" s="56"/>
    </row>
    <row r="17" spans="2:5" ht="12.75">
      <c r="B17" s="79"/>
      <c r="C17" s="278" t="s">
        <v>137</v>
      </c>
      <c r="D17" s="55"/>
      <c r="E17" s="56"/>
    </row>
    <row r="18" spans="2:5" ht="12.75">
      <c r="B18" s="79"/>
      <c r="C18" s="278" t="s">
        <v>138</v>
      </c>
      <c r="D18" s="55"/>
      <c r="E18" s="56"/>
    </row>
    <row r="19" spans="2:5" ht="12.75">
      <c r="B19" s="79"/>
      <c r="C19" s="73" t="s">
        <v>177</v>
      </c>
      <c r="D19" s="55"/>
      <c r="E19" s="56"/>
    </row>
    <row r="20" spans="2:5" ht="12.75">
      <c r="B20" s="79"/>
      <c r="C20" s="73" t="s">
        <v>178</v>
      </c>
      <c r="D20" s="55"/>
      <c r="E20" s="56"/>
    </row>
    <row r="21" spans="2:5" ht="12.75">
      <c r="B21" s="79"/>
      <c r="C21" s="73" t="s">
        <v>179</v>
      </c>
      <c r="D21" s="55"/>
      <c r="E21" s="56"/>
    </row>
    <row r="22" spans="2:5" ht="14.25" customHeight="1">
      <c r="B22" s="79"/>
      <c r="C22" s="73" t="s">
        <v>191</v>
      </c>
      <c r="D22" s="302">
        <v>40072</v>
      </c>
      <c r="E22" s="56"/>
    </row>
    <row r="23" spans="2:5" ht="12.75">
      <c r="B23" s="79"/>
      <c r="C23" s="73" t="s">
        <v>192</v>
      </c>
      <c r="D23" s="55"/>
      <c r="E23" s="56"/>
    </row>
    <row r="24" spans="2:5" ht="25.5">
      <c r="B24" s="79"/>
      <c r="C24" s="303" t="s">
        <v>195</v>
      </c>
      <c r="D24" s="55"/>
      <c r="E24" s="56"/>
    </row>
    <row r="25" spans="2:5" ht="12.75">
      <c r="B25" s="79"/>
      <c r="C25" s="73" t="s">
        <v>196</v>
      </c>
      <c r="D25" s="55"/>
      <c r="E25" s="56"/>
    </row>
    <row r="26" spans="2:5" ht="25.5">
      <c r="B26" s="79">
        <v>4</v>
      </c>
      <c r="C26" s="73" t="s">
        <v>197</v>
      </c>
      <c r="D26" s="85">
        <v>40238</v>
      </c>
      <c r="E26" s="56"/>
    </row>
    <row r="27" spans="2:5" ht="13.5" thickBot="1">
      <c r="B27" s="80"/>
      <c r="C27" s="76"/>
      <c r="D27" s="57"/>
      <c r="E27" s="58"/>
    </row>
    <row r="28" ht="13.5" thickBot="1"/>
    <row r="29" spans="2:5" s="6" customFormat="1" ht="12.75">
      <c r="B29" s="81" t="s">
        <v>73</v>
      </c>
      <c r="C29" s="82"/>
      <c r="D29" s="82" t="s">
        <v>72</v>
      </c>
      <c r="E29" s="83"/>
    </row>
    <row r="30" spans="2:5" ht="12.75">
      <c r="B30" s="79" t="s">
        <v>6</v>
      </c>
      <c r="C30" s="84" t="s">
        <v>7</v>
      </c>
      <c r="D30" s="55"/>
      <c r="E30" s="56"/>
    </row>
    <row r="31" spans="2:5" ht="12.75">
      <c r="B31" s="97">
        <v>1</v>
      </c>
      <c r="C31" s="73" t="s">
        <v>1</v>
      </c>
      <c r="D31" s="85">
        <v>40756</v>
      </c>
      <c r="E31" s="56"/>
    </row>
    <row r="32" spans="2:5" ht="12.75">
      <c r="B32" s="97">
        <v>2</v>
      </c>
      <c r="C32" s="73" t="s">
        <v>2</v>
      </c>
      <c r="D32" s="434">
        <v>40787</v>
      </c>
      <c r="E32" s="56"/>
    </row>
    <row r="33" spans="2:5" ht="12.75">
      <c r="B33" s="97"/>
      <c r="D33" s="98"/>
      <c r="E33" s="56"/>
    </row>
    <row r="34" spans="2:5" ht="12.75">
      <c r="B34" s="72"/>
      <c r="C34" s="74"/>
      <c r="D34" s="55"/>
      <c r="E34" s="56"/>
    </row>
    <row r="35" spans="2:5" ht="12.75">
      <c r="B35" s="72"/>
      <c r="C35" s="74"/>
      <c r="D35" s="55"/>
      <c r="E35" s="56"/>
    </row>
    <row r="36" spans="2:5" ht="12.75">
      <c r="B36" s="72"/>
      <c r="C36" s="74"/>
      <c r="D36" s="55"/>
      <c r="E36" s="56"/>
    </row>
    <row r="37" spans="2:5" ht="12.75">
      <c r="B37" s="72"/>
      <c r="C37" s="74"/>
      <c r="D37" s="55"/>
      <c r="E37" s="56"/>
    </row>
    <row r="38" spans="2:5" ht="12.75">
      <c r="B38" s="72"/>
      <c r="C38" s="74"/>
      <c r="D38" s="55"/>
      <c r="E38" s="56"/>
    </row>
    <row r="39" spans="2:5" ht="12.75">
      <c r="B39" s="72"/>
      <c r="C39" s="74"/>
      <c r="D39" s="55"/>
      <c r="E39" s="56"/>
    </row>
    <row r="40" spans="2:5" ht="12.75">
      <c r="B40" s="72"/>
      <c r="C40" s="74"/>
      <c r="D40" s="55"/>
      <c r="E40" s="56"/>
    </row>
    <row r="41" spans="2:5" ht="12.75">
      <c r="B41" s="72"/>
      <c r="C41" s="74"/>
      <c r="D41" s="55"/>
      <c r="E41" s="56"/>
    </row>
    <row r="42" spans="2:5" ht="12.75">
      <c r="B42" s="72"/>
      <c r="C42" s="74"/>
      <c r="D42" s="55"/>
      <c r="E42" s="56"/>
    </row>
    <row r="43" spans="2:5" ht="12.75">
      <c r="B43" s="72"/>
      <c r="C43" s="74"/>
      <c r="D43" s="55"/>
      <c r="E43" s="56"/>
    </row>
    <row r="44" spans="2:5" ht="12.75">
      <c r="B44" s="72"/>
      <c r="C44" s="74"/>
      <c r="D44" s="55"/>
      <c r="E44" s="56"/>
    </row>
    <row r="45" spans="2:5" ht="12.75">
      <c r="B45" s="72"/>
      <c r="C45" s="74"/>
      <c r="D45" s="55"/>
      <c r="E45" s="56"/>
    </row>
    <row r="46" spans="2:5" ht="12.75">
      <c r="B46" s="72"/>
      <c r="C46" s="74"/>
      <c r="D46" s="55"/>
      <c r="E46" s="56"/>
    </row>
    <row r="47" spans="2:5" ht="12.75">
      <c r="B47" s="72"/>
      <c r="C47" s="74"/>
      <c r="D47" s="55"/>
      <c r="E47" s="56"/>
    </row>
    <row r="48" spans="2:5" ht="12.75">
      <c r="B48" s="72"/>
      <c r="C48" s="74"/>
      <c r="D48" s="55"/>
      <c r="E48" s="56"/>
    </row>
    <row r="49" spans="2:5" ht="12.75">
      <c r="B49" s="72"/>
      <c r="C49" s="74"/>
      <c r="D49" s="55"/>
      <c r="E49" s="56"/>
    </row>
    <row r="50" spans="2:5" ht="12.75">
      <c r="B50" s="72"/>
      <c r="C50" s="74"/>
      <c r="D50" s="55"/>
      <c r="E50" s="56"/>
    </row>
    <row r="51" spans="2:5" ht="13.5" thickBot="1">
      <c r="B51" s="75"/>
      <c r="C51" s="76"/>
      <c r="D51" s="57"/>
      <c r="E51" s="58"/>
    </row>
  </sheetData>
  <sheetProtection/>
  <printOptions/>
  <pageMargins left="0.75" right="0.75" top="1" bottom="1" header="0.5" footer="0.5"/>
  <pageSetup fitToHeight="1" fitToWidth="1" horizontalDpi="600" verticalDpi="600" orientation="portrait" paperSize="9" scale="66"/>
  <headerFooter alignWithMargins="0">
    <oddHeader>&amp;C&amp;9Environment Agency Management System : Uncontrolled when printed &amp;D</oddHeader>
    <oddFooter>&amp;C&amp;9Risk Register - revisions</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2:R35"/>
  <sheetViews>
    <sheetView zoomScale="90" zoomScaleNormal="90" zoomScalePageLayoutView="0" workbookViewId="0" topLeftCell="A1">
      <selection activeCell="M18" sqref="M18"/>
    </sheetView>
  </sheetViews>
  <sheetFormatPr defaultColWidth="9.140625" defaultRowHeight="12.75" zeroHeight="1"/>
  <cols>
    <col min="1" max="1" width="3.28125" style="106" bestFit="1" customWidth="1"/>
    <col min="2" max="2" width="7.421875" style="107" bestFit="1" customWidth="1"/>
    <col min="3" max="4" width="7.421875" style="107" customWidth="1"/>
    <col min="5" max="5" width="7.57421875" style="107" customWidth="1"/>
    <col min="6" max="6" width="7.57421875" style="108" customWidth="1"/>
    <col min="7" max="7" width="7.7109375" style="106" customWidth="1"/>
    <col min="8" max="8" width="7.140625" style="106" customWidth="1"/>
    <col min="9" max="9" width="8.421875" style="106" customWidth="1"/>
    <col min="10" max="10" width="10.8515625" style="106" customWidth="1"/>
    <col min="11" max="11" width="10.421875" style="106" customWidth="1"/>
    <col min="12" max="12" width="19.421875" style="106" customWidth="1"/>
    <col min="13" max="13" width="19.00390625" style="106" customWidth="1"/>
    <col min="14" max="14" width="13.7109375" style="106" customWidth="1"/>
    <col min="15" max="15" width="7.421875" style="106" bestFit="1" customWidth="1"/>
    <col min="16" max="16" width="8.421875" style="106" customWidth="1"/>
    <col min="17" max="17" width="3.28125" style="106" customWidth="1"/>
    <col min="18" max="16384" width="9.140625" style="106" customWidth="1"/>
  </cols>
  <sheetData>
    <row r="1" ht="14.25"/>
    <row r="2" spans="2:16" ht="27" customHeight="1">
      <c r="B2" s="811" t="s">
        <v>230</v>
      </c>
      <c r="C2" s="812"/>
      <c r="D2" s="812"/>
      <c r="E2" s="812"/>
      <c r="F2" s="812"/>
      <c r="G2" s="812"/>
      <c r="H2" s="812"/>
      <c r="I2" s="812"/>
      <c r="J2" s="812"/>
      <c r="K2" s="812"/>
      <c r="L2" s="812"/>
      <c r="M2" s="812"/>
      <c r="N2" s="812"/>
      <c r="O2" s="812"/>
      <c r="P2" s="812"/>
    </row>
    <row r="3" ht="15" thickBot="1"/>
    <row r="4" spans="2:17" s="109" customFormat="1" ht="28.5" customHeight="1" thickBot="1">
      <c r="B4" s="819" t="s">
        <v>28</v>
      </c>
      <c r="C4" s="820"/>
      <c r="D4" s="820"/>
      <c r="E4" s="820"/>
      <c r="F4" s="821"/>
      <c r="G4" s="821"/>
      <c r="H4" s="822"/>
      <c r="I4" s="799" t="s">
        <v>126</v>
      </c>
      <c r="J4" s="800"/>
      <c r="K4" s="800"/>
      <c r="L4" s="800"/>
      <c r="M4" s="800"/>
      <c r="N4" s="800"/>
      <c r="O4" s="800"/>
      <c r="P4" s="801"/>
      <c r="Q4" s="110"/>
    </row>
    <row r="5" spans="2:17" s="109" customFormat="1" ht="20.25" customHeight="1" thickBot="1">
      <c r="B5" s="527"/>
      <c r="C5" s="528"/>
      <c r="D5" s="528"/>
      <c r="E5" s="528"/>
      <c r="F5" s="529"/>
      <c r="G5" s="529"/>
      <c r="H5" s="530"/>
      <c r="I5" s="529"/>
      <c r="J5" s="531"/>
      <c r="K5" s="802" t="s">
        <v>127</v>
      </c>
      <c r="L5" s="803"/>
      <c r="M5" s="804"/>
      <c r="N5" s="802" t="s">
        <v>128</v>
      </c>
      <c r="O5" s="803"/>
      <c r="P5" s="804"/>
      <c r="Q5" s="110"/>
    </row>
    <row r="6" spans="2:16" s="111" customFormat="1" ht="48" thickBot="1">
      <c r="B6" s="532" t="s">
        <v>125</v>
      </c>
      <c r="C6" s="823" t="s">
        <v>19</v>
      </c>
      <c r="D6" s="824"/>
      <c r="E6" s="824"/>
      <c r="F6" s="825"/>
      <c r="G6" s="533" t="s">
        <v>20</v>
      </c>
      <c r="H6" s="534" t="s">
        <v>21</v>
      </c>
      <c r="I6" s="532" t="s">
        <v>125</v>
      </c>
      <c r="J6" s="534" t="s">
        <v>22</v>
      </c>
      <c r="K6" s="532" t="s">
        <v>305</v>
      </c>
      <c r="L6" s="533" t="s">
        <v>130</v>
      </c>
      <c r="M6" s="534" t="s">
        <v>131</v>
      </c>
      <c r="N6" s="532" t="s">
        <v>306</v>
      </c>
      <c r="O6" s="533" t="s">
        <v>122</v>
      </c>
      <c r="P6" s="534" t="s">
        <v>123</v>
      </c>
    </row>
    <row r="7" spans="1:17" s="113" customFormat="1" ht="33.75" customHeight="1">
      <c r="A7" s="112"/>
      <c r="B7" s="535" t="s">
        <v>140</v>
      </c>
      <c r="C7" s="536" t="s">
        <v>121</v>
      </c>
      <c r="D7" s="536"/>
      <c r="E7" s="537"/>
      <c r="F7" s="538"/>
      <c r="G7" s="539">
        <v>0</v>
      </c>
      <c r="H7" s="540">
        <v>0.1</v>
      </c>
      <c r="I7" s="535" t="str">
        <f>B7</f>
        <v>VL</v>
      </c>
      <c r="J7" s="541">
        <v>0.005</v>
      </c>
      <c r="K7" s="816"/>
      <c r="L7" s="542">
        <f>K7*0%</f>
        <v>0</v>
      </c>
      <c r="M7" s="543">
        <v>50</v>
      </c>
      <c r="N7" s="813">
        <v>52</v>
      </c>
      <c r="O7" s="544">
        <v>0</v>
      </c>
      <c r="P7" s="545">
        <v>1</v>
      </c>
      <c r="Q7" s="111"/>
    </row>
    <row r="8" spans="1:17" s="115" customFormat="1" ht="28.5" customHeight="1">
      <c r="A8" s="114"/>
      <c r="B8" s="546" t="s">
        <v>23</v>
      </c>
      <c r="C8" s="547" t="s">
        <v>120</v>
      </c>
      <c r="D8" s="547"/>
      <c r="E8" s="548"/>
      <c r="F8" s="549"/>
      <c r="G8" s="550">
        <f>H7+0.01</f>
        <v>0.11</v>
      </c>
      <c r="H8" s="551">
        <v>0.3</v>
      </c>
      <c r="I8" s="546" t="str">
        <f>B8</f>
        <v>L</v>
      </c>
      <c r="J8" s="552">
        <v>0.02</v>
      </c>
      <c r="K8" s="817"/>
      <c r="L8" s="553">
        <f>M7+1</f>
        <v>51</v>
      </c>
      <c r="M8" s="554">
        <v>250</v>
      </c>
      <c r="N8" s="814"/>
      <c r="O8" s="555">
        <f>P7</f>
        <v>1</v>
      </c>
      <c r="P8" s="556">
        <v>4</v>
      </c>
      <c r="Q8" s="111"/>
    </row>
    <row r="9" spans="1:17" s="115" customFormat="1" ht="28.5" customHeight="1">
      <c r="A9" s="114"/>
      <c r="B9" s="546" t="s">
        <v>24</v>
      </c>
      <c r="C9" s="805" t="s">
        <v>309</v>
      </c>
      <c r="D9" s="806"/>
      <c r="E9" s="806"/>
      <c r="F9" s="807"/>
      <c r="G9" s="550">
        <f>H8+0.01</f>
        <v>0.31</v>
      </c>
      <c r="H9" s="551">
        <v>0.5</v>
      </c>
      <c r="I9" s="546" t="str">
        <f>B9</f>
        <v>M</v>
      </c>
      <c r="J9" s="552">
        <v>0.05</v>
      </c>
      <c r="K9" s="817"/>
      <c r="L9" s="553">
        <f>M8+1</f>
        <v>251</v>
      </c>
      <c r="M9" s="554">
        <v>1000</v>
      </c>
      <c r="N9" s="814"/>
      <c r="O9" s="555">
        <f>P8</f>
        <v>4</v>
      </c>
      <c r="P9" s="556">
        <v>12</v>
      </c>
      <c r="Q9" s="111"/>
    </row>
    <row r="10" spans="1:17" s="115" customFormat="1" ht="33.75" customHeight="1">
      <c r="A10" s="114"/>
      <c r="B10" s="546" t="s">
        <v>25</v>
      </c>
      <c r="C10" s="547" t="s">
        <v>119</v>
      </c>
      <c r="D10" s="547"/>
      <c r="E10" s="548"/>
      <c r="F10" s="549"/>
      <c r="G10" s="550">
        <f>H9+0.01</f>
        <v>0.51</v>
      </c>
      <c r="H10" s="551">
        <v>0.7</v>
      </c>
      <c r="I10" s="546" t="str">
        <f>B10</f>
        <v>H</v>
      </c>
      <c r="J10" s="552">
        <v>0.1</v>
      </c>
      <c r="K10" s="817"/>
      <c r="L10" s="553">
        <f>M9+L111</f>
        <v>1000</v>
      </c>
      <c r="M10" s="554">
        <v>5000</v>
      </c>
      <c r="N10" s="814"/>
      <c r="O10" s="555">
        <f>P9</f>
        <v>12</v>
      </c>
      <c r="P10" s="556">
        <v>24</v>
      </c>
      <c r="Q10" s="111"/>
    </row>
    <row r="11" spans="2:16" s="115" customFormat="1" ht="32.25" customHeight="1" thickBot="1">
      <c r="B11" s="557" t="s">
        <v>26</v>
      </c>
      <c r="C11" s="558" t="s">
        <v>231</v>
      </c>
      <c r="D11" s="558"/>
      <c r="E11" s="558"/>
      <c r="F11" s="559"/>
      <c r="G11" s="560">
        <f>H10+0.01</f>
        <v>0.71</v>
      </c>
      <c r="H11" s="551">
        <v>1</v>
      </c>
      <c r="I11" s="546" t="str">
        <f>B11</f>
        <v>VH</v>
      </c>
      <c r="J11" s="561" t="s">
        <v>27</v>
      </c>
      <c r="K11" s="818"/>
      <c r="L11" s="562">
        <v>5000</v>
      </c>
      <c r="M11" s="563" t="s">
        <v>132</v>
      </c>
      <c r="N11" s="815"/>
      <c r="O11" s="564">
        <f>P10</f>
        <v>24</v>
      </c>
      <c r="P11" s="563" t="s">
        <v>132</v>
      </c>
    </row>
    <row r="12" spans="1:17" ht="14.25" customHeight="1">
      <c r="A12" s="116"/>
      <c r="G12" s="117"/>
      <c r="H12" s="118"/>
      <c r="I12" s="117"/>
      <c r="J12" s="117"/>
      <c r="K12" s="117"/>
      <c r="L12" s="119"/>
      <c r="M12" s="119"/>
      <c r="N12" s="119"/>
      <c r="P12" s="117"/>
      <c r="Q12" s="117"/>
    </row>
    <row r="13" spans="1:17" s="125" customFormat="1" ht="21.75" customHeight="1">
      <c r="A13" s="120"/>
      <c r="B13" s="121" t="s">
        <v>129</v>
      </c>
      <c r="C13" s="122"/>
      <c r="D13" s="122"/>
      <c r="E13" s="122"/>
      <c r="F13" s="123"/>
      <c r="G13" s="120"/>
      <c r="H13" s="124"/>
      <c r="I13" s="120"/>
      <c r="J13" s="120"/>
      <c r="K13" s="120"/>
      <c r="L13" s="119"/>
      <c r="M13" s="119"/>
      <c r="N13" s="119"/>
      <c r="P13" s="120"/>
      <c r="Q13" s="120"/>
    </row>
    <row r="14" spans="1:17" s="125" customFormat="1" ht="14.25">
      <c r="A14" s="120"/>
      <c r="B14" s="138" t="s">
        <v>232</v>
      </c>
      <c r="C14" s="122"/>
      <c r="D14" s="122"/>
      <c r="E14" s="122"/>
      <c r="F14" s="123"/>
      <c r="G14" s="120"/>
      <c r="H14" s="124"/>
      <c r="I14" s="120"/>
      <c r="J14" s="120"/>
      <c r="K14" s="120"/>
      <c r="L14" s="119"/>
      <c r="M14" s="119"/>
      <c r="N14" s="119"/>
      <c r="P14" s="120"/>
      <c r="Q14" s="120"/>
    </row>
    <row r="15" spans="1:17" ht="20.25">
      <c r="A15" s="116"/>
      <c r="B15" s="126"/>
      <c r="C15" s="126"/>
      <c r="D15" s="810" t="s">
        <v>28</v>
      </c>
      <c r="E15" s="810"/>
      <c r="F15" s="810"/>
      <c r="G15" s="810"/>
      <c r="L15" s="127"/>
      <c r="M15" s="127"/>
      <c r="N15" s="127"/>
      <c r="O15" s="117"/>
      <c r="P15" s="117"/>
      <c r="Q15" s="117"/>
    </row>
    <row r="16" spans="1:17" ht="33" customHeight="1" thickBot="1">
      <c r="A16" s="116"/>
      <c r="B16" s="128"/>
      <c r="C16" s="128"/>
      <c r="D16" s="129" t="s">
        <v>140</v>
      </c>
      <c r="E16" s="129" t="s">
        <v>23</v>
      </c>
      <c r="F16" s="129" t="s">
        <v>24</v>
      </c>
      <c r="G16" s="129" t="s">
        <v>25</v>
      </c>
      <c r="H16" s="129" t="s">
        <v>26</v>
      </c>
      <c r="L16" s="127"/>
      <c r="M16" s="127"/>
      <c r="N16" s="127"/>
      <c r="O16" s="117"/>
      <c r="P16" s="117"/>
      <c r="Q16" s="117"/>
    </row>
    <row r="17" spans="1:18" ht="33.75" customHeight="1" thickBot="1">
      <c r="A17" s="130"/>
      <c r="B17" s="808" t="s">
        <v>29</v>
      </c>
      <c r="C17" s="129" t="s">
        <v>26</v>
      </c>
      <c r="D17" s="237" t="s">
        <v>25</v>
      </c>
      <c r="E17" s="237" t="s">
        <v>25</v>
      </c>
      <c r="F17" s="237" t="s">
        <v>25</v>
      </c>
      <c r="G17" s="237" t="s">
        <v>25</v>
      </c>
      <c r="H17" s="237" t="s">
        <v>25</v>
      </c>
      <c r="K17" s="131"/>
      <c r="M17" s="127"/>
      <c r="N17" s="127"/>
      <c r="O17" s="127"/>
      <c r="P17" s="117"/>
      <c r="Q17" s="117"/>
      <c r="R17" s="117"/>
    </row>
    <row r="18" spans="2:18" ht="33.75" customHeight="1" thickBot="1">
      <c r="B18" s="809"/>
      <c r="C18" s="129" t="s">
        <v>25</v>
      </c>
      <c r="D18" s="237" t="s">
        <v>24</v>
      </c>
      <c r="E18" s="237" t="s">
        <v>24</v>
      </c>
      <c r="F18" s="237" t="s">
        <v>25</v>
      </c>
      <c r="G18" s="237" t="s">
        <v>25</v>
      </c>
      <c r="H18" s="237" t="s">
        <v>25</v>
      </c>
      <c r="J18" s="132" t="s">
        <v>124</v>
      </c>
      <c r="K18" s="134"/>
      <c r="M18" s="127"/>
      <c r="N18" s="127"/>
      <c r="O18" s="127"/>
      <c r="P18" s="117"/>
      <c r="Q18" s="117"/>
      <c r="R18" s="117"/>
    </row>
    <row r="19" spans="2:18" ht="33.75" customHeight="1" thickBot="1">
      <c r="B19" s="809"/>
      <c r="C19" s="129" t="s">
        <v>24</v>
      </c>
      <c r="D19" s="237" t="s">
        <v>23</v>
      </c>
      <c r="E19" s="237" t="s">
        <v>24</v>
      </c>
      <c r="F19" s="237" t="s">
        <v>24</v>
      </c>
      <c r="G19" s="237" t="s">
        <v>24</v>
      </c>
      <c r="H19" s="237" t="s">
        <v>25</v>
      </c>
      <c r="J19" s="133"/>
      <c r="K19" s="315" t="s">
        <v>233</v>
      </c>
      <c r="M19" s="127"/>
      <c r="N19" s="127"/>
      <c r="O19" s="127"/>
      <c r="P19" s="117"/>
      <c r="Q19" s="117"/>
      <c r="R19" s="117"/>
    </row>
    <row r="20" spans="2:18" ht="33.75" customHeight="1" thickBot="1">
      <c r="B20" s="809"/>
      <c r="C20" s="129" t="s">
        <v>23</v>
      </c>
      <c r="D20" s="237" t="s">
        <v>23</v>
      </c>
      <c r="E20" s="237" t="s">
        <v>23</v>
      </c>
      <c r="F20" s="237" t="s">
        <v>23</v>
      </c>
      <c r="G20" s="237" t="s">
        <v>24</v>
      </c>
      <c r="H20" s="237" t="s">
        <v>24</v>
      </c>
      <c r="J20" s="135"/>
      <c r="K20" s="315" t="s">
        <v>234</v>
      </c>
      <c r="M20" s="127"/>
      <c r="N20" s="127"/>
      <c r="O20" s="127"/>
      <c r="P20" s="117"/>
      <c r="Q20" s="117"/>
      <c r="R20" s="117"/>
    </row>
    <row r="21" spans="2:18" ht="39.75" customHeight="1" thickBot="1">
      <c r="B21" s="809"/>
      <c r="C21" s="129" t="s">
        <v>140</v>
      </c>
      <c r="D21" s="237" t="s">
        <v>23</v>
      </c>
      <c r="E21" s="237" t="s">
        <v>23</v>
      </c>
      <c r="F21" s="237" t="s">
        <v>23</v>
      </c>
      <c r="G21" s="237" t="s">
        <v>23</v>
      </c>
      <c r="H21" s="237" t="s">
        <v>23</v>
      </c>
      <c r="J21" s="136"/>
      <c r="K21" s="315" t="s">
        <v>235</v>
      </c>
      <c r="M21" s="127"/>
      <c r="N21" s="127"/>
      <c r="O21" s="127"/>
      <c r="P21" s="117"/>
      <c r="Q21" s="117"/>
      <c r="R21" s="117"/>
    </row>
    <row r="22" spans="2:17" ht="20.25" customHeight="1" hidden="1">
      <c r="B22" s="116"/>
      <c r="C22" s="131"/>
      <c r="D22" s="131"/>
      <c r="E22" s="131"/>
      <c r="F22" s="131"/>
      <c r="G22" s="116"/>
      <c r="L22" s="117"/>
      <c r="M22" s="117"/>
      <c r="N22" s="117"/>
      <c r="O22" s="117"/>
      <c r="P22" s="117"/>
      <c r="Q22" s="117"/>
    </row>
    <row r="23" spans="2:17" ht="18.75" customHeight="1" hidden="1">
      <c r="B23" s="116"/>
      <c r="C23" s="131"/>
      <c r="F23" s="131"/>
      <c r="G23" s="116"/>
      <c r="L23" s="117"/>
      <c r="M23" s="117"/>
      <c r="N23" s="117"/>
      <c r="O23" s="117"/>
      <c r="P23" s="117"/>
      <c r="Q23" s="117"/>
    </row>
    <row r="24" spans="2:17" ht="18" customHeight="1" hidden="1">
      <c r="B24" s="116"/>
      <c r="C24" s="131"/>
      <c r="F24" s="131"/>
      <c r="G24" s="116"/>
      <c r="L24" s="117"/>
      <c r="M24" s="117"/>
      <c r="N24" s="117"/>
      <c r="O24" s="117"/>
      <c r="P24" s="117"/>
      <c r="Q24" s="117"/>
    </row>
    <row r="25" spans="2:17" ht="14.25" hidden="1">
      <c r="B25" s="116"/>
      <c r="C25" s="131"/>
      <c r="F25" s="131"/>
      <c r="G25" s="116"/>
      <c r="L25" s="117"/>
      <c r="M25" s="117"/>
      <c r="N25" s="117"/>
      <c r="O25" s="117"/>
      <c r="P25" s="117"/>
      <c r="Q25" s="117"/>
    </row>
    <row r="26" spans="2:14" ht="14.25" hidden="1">
      <c r="B26" s="116"/>
      <c r="C26" s="131"/>
      <c r="F26" s="131"/>
      <c r="G26" s="116"/>
      <c r="L26" s="117"/>
      <c r="M26" s="117"/>
      <c r="N26" s="117"/>
    </row>
    <row r="27" spans="5:14" ht="14.25" hidden="1">
      <c r="E27" s="108"/>
      <c r="F27" s="117"/>
      <c r="G27" s="117"/>
      <c r="H27" s="117"/>
      <c r="I27" s="117"/>
      <c r="J27" s="117"/>
      <c r="K27" s="117"/>
      <c r="L27" s="117"/>
      <c r="M27" s="117"/>
      <c r="N27" s="117"/>
    </row>
    <row r="28" spans="5:14" ht="12" customHeight="1" hidden="1">
      <c r="E28" s="108"/>
      <c r="F28" s="117"/>
      <c r="G28" s="117"/>
      <c r="H28" s="117"/>
      <c r="I28" s="117"/>
      <c r="J28" s="117"/>
      <c r="K28" s="117"/>
      <c r="L28" s="117"/>
      <c r="M28" s="117"/>
      <c r="N28" s="117"/>
    </row>
    <row r="29" spans="7:14" ht="14.25" hidden="1">
      <c r="G29" s="117"/>
      <c r="H29" s="117"/>
      <c r="I29" s="117"/>
      <c r="J29" s="117"/>
      <c r="K29" s="117"/>
      <c r="L29" s="117"/>
      <c r="M29" s="117"/>
      <c r="N29" s="117"/>
    </row>
    <row r="30" spans="7:14" ht="14.25" hidden="1">
      <c r="G30" s="117"/>
      <c r="H30" s="117"/>
      <c r="I30" s="117"/>
      <c r="J30" s="117"/>
      <c r="K30" s="117"/>
      <c r="L30" s="117"/>
      <c r="M30" s="117"/>
      <c r="N30" s="117"/>
    </row>
    <row r="31" ht="14.25" hidden="1"/>
    <row r="32" ht="14.25" hidden="1"/>
    <row r="33" ht="14.25" hidden="1"/>
    <row r="34" ht="14.25" hidden="1">
      <c r="F34" s="137"/>
    </row>
    <row r="35" ht="14.25" hidden="1">
      <c r="F35" s="137"/>
    </row>
  </sheetData>
  <sheetProtection selectLockedCells="1"/>
  <mergeCells count="11">
    <mergeCell ref="B2:P2"/>
    <mergeCell ref="N7:N11"/>
    <mergeCell ref="K7:K11"/>
    <mergeCell ref="B4:H4"/>
    <mergeCell ref="C6:F6"/>
    <mergeCell ref="I4:P4"/>
    <mergeCell ref="K5:M5"/>
    <mergeCell ref="N5:P5"/>
    <mergeCell ref="C9:F9"/>
    <mergeCell ref="B17:B21"/>
    <mergeCell ref="D15:G15"/>
  </mergeCells>
  <conditionalFormatting sqref="D17:H21">
    <cfRule type="cellIs" priority="1" dxfId="20" operator="equal" stopIfTrue="1">
      <formula>"L"</formula>
    </cfRule>
    <cfRule type="cellIs" priority="2" dxfId="335" operator="equal" stopIfTrue="1">
      <formula>"M"</formula>
    </cfRule>
    <cfRule type="cellIs" priority="3" dxfId="0" operator="equal" stopIfTrue="1">
      <formula>"H"</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79"/>
  <headerFooter alignWithMargins="0">
    <oddHeader>&amp;C&amp;"Univers (W1),Bold"&amp;9Environment Agency Management System document: Uncontrolled when printed &amp;D</oddHeader>
    <oddFooter>&amp;C&amp;9Risk Register - prioritisation</oddFooter>
  </headerFooter>
  <legacyDrawing r:id="rId2"/>
</worksheet>
</file>

<file path=xl/worksheets/sheet4.xml><?xml version="1.0" encoding="utf-8"?>
<worksheet xmlns="http://schemas.openxmlformats.org/spreadsheetml/2006/main" xmlns:r="http://schemas.openxmlformats.org/officeDocument/2006/relationships">
  <sheetPr codeName="Sheet3">
    <outlinePr summaryBelow="0" summaryRight="0"/>
    <pageSetUpPr fitToPage="1"/>
  </sheetPr>
  <dimension ref="A1:IV178"/>
  <sheetViews>
    <sheetView tabSelected="1" zoomScale="50" zoomScaleNormal="50" zoomScalePageLayoutView="0" workbookViewId="0" topLeftCell="A6">
      <pane xSplit="5" ySplit="12" topLeftCell="F18" activePane="bottomRight" state="frozen"/>
      <selection pane="topLeft" activeCell="A6" sqref="A6"/>
      <selection pane="topRight" activeCell="F6" sqref="F6"/>
      <selection pane="bottomLeft" activeCell="A18" sqref="A18"/>
      <selection pane="bottomRight" activeCell="U73" sqref="U73"/>
    </sheetView>
  </sheetViews>
  <sheetFormatPr defaultColWidth="9.140625" defaultRowHeight="12.75" outlineLevelRow="1" outlineLevelCol="1"/>
  <cols>
    <col min="1" max="1" width="7.28125" style="160" customWidth="1"/>
    <col min="2" max="2" width="7.28125" style="159" customWidth="1"/>
    <col min="3" max="3" width="7.8515625" style="159" customWidth="1"/>
    <col min="4" max="4" width="41.7109375" style="159" customWidth="1"/>
    <col min="5" max="5" width="46.28125" style="159" customWidth="1"/>
    <col min="6" max="6" width="10.57421875" style="159" customWidth="1"/>
    <col min="7" max="7" width="19.421875" style="159" customWidth="1"/>
    <col min="8" max="8" width="13.140625" style="160" customWidth="1"/>
    <col min="9" max="9" width="32.7109375" style="160" customWidth="1" collapsed="1"/>
    <col min="10" max="10" width="16.8515625" style="159" hidden="1" customWidth="1" outlineLevel="1"/>
    <col min="11" max="11" width="26.00390625" style="159" hidden="1" customWidth="1" outlineLevel="1"/>
    <col min="12" max="12" width="16.8515625" style="159" hidden="1" customWidth="1" outlineLevel="1"/>
    <col min="13" max="13" width="13.00390625" style="304" hidden="1" customWidth="1" outlineLevel="1"/>
    <col min="14" max="14" width="10.7109375" style="160" hidden="1" customWidth="1" outlineLevel="1"/>
    <col min="15" max="15" width="28.28125" style="160" hidden="1" customWidth="1" outlineLevel="1"/>
    <col min="16" max="16" width="48.7109375" style="159" customWidth="1"/>
    <col min="17" max="17" width="54.28125" style="159" customWidth="1"/>
    <col min="18" max="18" width="12.8515625" style="162" hidden="1" customWidth="1"/>
    <col min="19" max="19" width="11.28125" style="160" hidden="1" customWidth="1"/>
    <col min="20" max="20" width="13.57421875" style="159" hidden="1" customWidth="1"/>
    <col min="21" max="21" width="12.7109375" style="305" customWidth="1"/>
    <col min="22" max="23" width="16.421875" style="159" customWidth="1"/>
    <col min="24" max="24" width="16.28125" style="159" customWidth="1"/>
    <col min="25" max="25" width="12.57421875" style="304" customWidth="1"/>
    <col min="26" max="26" width="11.7109375" style="160" customWidth="1"/>
    <col min="27" max="27" width="19.7109375" style="163" bestFit="1" customWidth="1"/>
    <col min="28" max="28" width="22.57421875" style="163" bestFit="1" customWidth="1"/>
    <col min="29" max="29" width="17.57421875" style="163" bestFit="1" customWidth="1"/>
    <col min="30" max="30" width="15.8515625" style="163" customWidth="1"/>
    <col min="31" max="31" width="14.00390625" style="159" customWidth="1"/>
    <col min="32" max="33" width="11.140625" style="164" customWidth="1"/>
    <col min="34" max="34" width="55.140625" style="27" customWidth="1"/>
    <col min="35" max="35" width="8.421875" style="159" customWidth="1"/>
    <col min="36" max="36" width="14.421875" style="159" customWidth="1"/>
    <col min="37" max="38" width="15.00390625" style="159" customWidth="1"/>
    <col min="39" max="41" width="12.28125" style="159" customWidth="1"/>
    <col min="42" max="42" width="21.28125" style="159" customWidth="1"/>
    <col min="43" max="43" width="2.8515625" style="159" customWidth="1"/>
    <col min="44" max="44" width="9.57421875" style="159" customWidth="1"/>
    <col min="45" max="45" width="9.421875" style="159" customWidth="1"/>
    <col min="46" max="46" width="13.00390625" style="159" customWidth="1"/>
    <col min="47" max="49" width="10.28125" style="159" customWidth="1"/>
    <col min="50" max="50" width="12.8515625" style="159" customWidth="1"/>
    <col min="51" max="51" width="10.28125" style="159" customWidth="1"/>
    <col min="52" max="52" width="13.421875" style="159" customWidth="1"/>
    <col min="53" max="53" width="10.28125" style="159" customWidth="1"/>
    <col min="54" max="54" width="14.00390625" style="287" bestFit="1" customWidth="1"/>
    <col min="55" max="55" width="13.140625" style="287" customWidth="1"/>
    <col min="56" max="56" width="13.421875" style="287" customWidth="1"/>
    <col min="57" max="58" width="12.140625" style="287" customWidth="1"/>
    <col min="59" max="59" width="12.00390625" style="287" customWidth="1"/>
    <col min="60" max="60" width="11.140625" style="287" customWidth="1"/>
    <col min="61" max="16384" width="9.140625" style="159" customWidth="1"/>
  </cols>
  <sheetData>
    <row r="1" ht="15.75" thickBot="1">
      <c r="D1" s="305" t="s">
        <v>320</v>
      </c>
    </row>
    <row r="2" spans="4:24" ht="16.5" thickTop="1">
      <c r="D2" s="328" t="s">
        <v>236</v>
      </c>
      <c r="E2" s="335" t="s">
        <v>334</v>
      </c>
      <c r="F2" s="328" t="s">
        <v>240</v>
      </c>
      <c r="G2" s="329"/>
      <c r="H2" s="831" t="s">
        <v>335</v>
      </c>
      <c r="I2" s="832"/>
      <c r="J2" s="827" t="s">
        <v>321</v>
      </c>
      <c r="K2" s="828"/>
      <c r="L2" s="828"/>
      <c r="U2" s="829" t="s">
        <v>321</v>
      </c>
      <c r="V2" s="830"/>
      <c r="W2" s="830"/>
      <c r="X2" s="830"/>
    </row>
    <row r="3" spans="4:24" ht="15.75" outlineLevel="1">
      <c r="D3" s="330" t="s">
        <v>237</v>
      </c>
      <c r="E3" s="336" t="s">
        <v>563</v>
      </c>
      <c r="F3" s="330" t="s">
        <v>243</v>
      </c>
      <c r="G3" s="331"/>
      <c r="H3" s="833" t="s">
        <v>336</v>
      </c>
      <c r="I3" s="834"/>
      <c r="J3" s="828"/>
      <c r="K3" s="828"/>
      <c r="L3" s="828"/>
      <c r="U3" s="830"/>
      <c r="V3" s="830"/>
      <c r="W3" s="830"/>
      <c r="X3" s="830"/>
    </row>
    <row r="4" spans="4:24" ht="15.75" outlineLevel="1">
      <c r="D4" s="330" t="s">
        <v>238</v>
      </c>
      <c r="E4" s="336"/>
      <c r="F4" s="330" t="s">
        <v>244</v>
      </c>
      <c r="G4" s="331"/>
      <c r="H4" s="833" t="s">
        <v>337</v>
      </c>
      <c r="I4" s="834"/>
      <c r="J4" s="828"/>
      <c r="K4" s="828"/>
      <c r="L4" s="828"/>
      <c r="U4" s="830"/>
      <c r="V4" s="830"/>
      <c r="W4" s="830"/>
      <c r="X4" s="830"/>
    </row>
    <row r="5" spans="4:24" ht="15.75" outlineLevel="1">
      <c r="D5" s="332" t="s">
        <v>239</v>
      </c>
      <c r="E5" s="336"/>
      <c r="F5" s="330" t="s">
        <v>245</v>
      </c>
      <c r="G5" s="331"/>
      <c r="H5" s="833" t="s">
        <v>338</v>
      </c>
      <c r="I5" s="834"/>
      <c r="J5" s="828"/>
      <c r="K5" s="828"/>
      <c r="L5" s="828"/>
      <c r="U5" s="830"/>
      <c r="V5" s="830"/>
      <c r="W5" s="830"/>
      <c r="X5" s="830"/>
    </row>
    <row r="6" spans="4:24" ht="15.75" outlineLevel="1">
      <c r="D6" s="332" t="s">
        <v>241</v>
      </c>
      <c r="E6" s="436">
        <v>42559</v>
      </c>
      <c r="F6" s="330" t="s">
        <v>246</v>
      </c>
      <c r="G6" s="331"/>
      <c r="H6" s="833" t="s">
        <v>339</v>
      </c>
      <c r="I6" s="834"/>
      <c r="J6" s="828"/>
      <c r="K6" s="828"/>
      <c r="L6" s="828"/>
      <c r="U6" s="830"/>
      <c r="V6" s="830"/>
      <c r="W6" s="830"/>
      <c r="X6" s="830"/>
    </row>
    <row r="7" spans="4:60" ht="16.5" customHeight="1" outlineLevel="1" thickBot="1">
      <c r="D7" s="333" t="s">
        <v>242</v>
      </c>
      <c r="E7" s="391" t="s">
        <v>690</v>
      </c>
      <c r="F7" s="333" t="s">
        <v>247</v>
      </c>
      <c r="G7" s="334"/>
      <c r="H7" s="835" t="s">
        <v>565</v>
      </c>
      <c r="I7" s="836"/>
      <c r="J7" s="828"/>
      <c r="K7" s="828"/>
      <c r="L7" s="828"/>
      <c r="M7" s="160"/>
      <c r="N7" s="161"/>
      <c r="O7" s="161"/>
      <c r="U7" s="830"/>
      <c r="V7" s="830"/>
      <c r="W7" s="830"/>
      <c r="X7" s="830"/>
      <c r="Y7" s="159"/>
      <c r="Z7" s="161"/>
      <c r="BB7" s="282"/>
      <c r="BC7" s="282"/>
      <c r="BD7" s="282"/>
      <c r="BE7" s="282"/>
      <c r="BF7" s="282"/>
      <c r="BG7" s="282"/>
      <c r="BH7" s="282"/>
    </row>
    <row r="8" spans="6:60" ht="6" customHeight="1" thickBot="1" thickTop="1">
      <c r="F8" s="100"/>
      <c r="G8" s="100"/>
      <c r="H8" s="439"/>
      <c r="I8" s="337"/>
      <c r="J8" s="828"/>
      <c r="K8" s="828"/>
      <c r="L8" s="828"/>
      <c r="M8" s="10"/>
      <c r="N8" s="165"/>
      <c r="O8" s="165"/>
      <c r="P8" s="27"/>
      <c r="Q8" s="166"/>
      <c r="R8" s="167"/>
      <c r="S8" s="165"/>
      <c r="T8" s="11"/>
      <c r="U8" s="830"/>
      <c r="V8" s="830"/>
      <c r="W8" s="830"/>
      <c r="X8" s="830"/>
      <c r="Y8" s="159"/>
      <c r="Z8" s="168"/>
      <c r="AA8" s="166"/>
      <c r="AB8" s="27"/>
      <c r="AC8" s="169"/>
      <c r="AD8" s="169"/>
      <c r="AE8" s="169"/>
      <c r="AF8" s="27"/>
      <c r="AG8" s="27"/>
      <c r="AH8" s="159"/>
      <c r="AQ8" s="69"/>
      <c r="BB8" s="282"/>
      <c r="BC8" s="282"/>
      <c r="BD8" s="282"/>
      <c r="BE8" s="282"/>
      <c r="BF8" s="282"/>
      <c r="BG8" s="282"/>
      <c r="BH8" s="282"/>
    </row>
    <row r="9" spans="4:60" ht="15.75" hidden="1">
      <c r="D9" s="11" t="s">
        <v>0</v>
      </c>
      <c r="F9" s="100"/>
      <c r="G9" s="100"/>
      <c r="H9" s="688"/>
      <c r="I9" s="316"/>
      <c r="J9" s="317" t="s">
        <v>28</v>
      </c>
      <c r="K9" s="317" t="s">
        <v>127</v>
      </c>
      <c r="L9" s="317" t="s">
        <v>128</v>
      </c>
      <c r="M9" s="170"/>
      <c r="N9" s="90"/>
      <c r="O9" s="441"/>
      <c r="P9" s="11"/>
      <c r="Q9" s="12"/>
      <c r="R9" s="144"/>
      <c r="S9" s="90"/>
      <c r="T9" s="11"/>
      <c r="U9" s="316"/>
      <c r="V9" s="317" t="s">
        <v>28</v>
      </c>
      <c r="W9" s="317" t="s">
        <v>127</v>
      </c>
      <c r="X9" s="317" t="s">
        <v>128</v>
      </c>
      <c r="Y9" s="159"/>
      <c r="Z9" s="139"/>
      <c r="AA9" s="12"/>
      <c r="AB9" s="11"/>
      <c r="AC9" s="13"/>
      <c r="AD9" s="13"/>
      <c r="AE9" s="13"/>
      <c r="AF9" s="11"/>
      <c r="AG9" s="27"/>
      <c r="AH9" s="159"/>
      <c r="AQ9" s="68"/>
      <c r="BB9" s="282"/>
      <c r="BC9" s="282"/>
      <c r="BD9" s="282"/>
      <c r="BE9" s="282"/>
      <c r="BF9" s="282"/>
      <c r="BG9" s="282"/>
      <c r="BH9" s="282"/>
    </row>
    <row r="10" spans="6:60" ht="16.5" customHeight="1" hidden="1" thickBot="1">
      <c r="F10" s="100"/>
      <c r="G10" s="100"/>
      <c r="H10" s="689"/>
      <c r="I10" s="318" t="s">
        <v>140</v>
      </c>
      <c r="J10" s="319" t="str">
        <f>'3 - Prioritisation'!$G7*100&amp;" to "&amp;'3 - Prioritisation'!$H7*100&amp;"%"</f>
        <v>0 to 10%</v>
      </c>
      <c r="K10" s="319" t="str">
        <f>"£"&amp;'3 - Prioritisation'!$L7&amp;"k to £"&amp;'3 - Prioritisation'!$M7&amp;"k"</f>
        <v>£0k to £50k</v>
      </c>
      <c r="L10" s="319" t="str">
        <f>'3 - Prioritisation'!$O7&amp;" to "&amp;'3 - Prioritisation'!$P7&amp;" wks"</f>
        <v>0 to 1 wks</v>
      </c>
      <c r="M10" s="170"/>
      <c r="N10" s="16"/>
      <c r="O10" s="16"/>
      <c r="P10" s="171"/>
      <c r="Q10" s="172"/>
      <c r="R10" s="173"/>
      <c r="S10" s="16"/>
      <c r="T10" s="14"/>
      <c r="U10" s="318" t="s">
        <v>140</v>
      </c>
      <c r="V10" s="319" t="str">
        <f>'3 - Prioritisation'!$G7*100&amp;" to "&amp;'3 - Prioritisation'!$H7*100&amp;"%"</f>
        <v>0 to 10%</v>
      </c>
      <c r="W10" s="319" t="str">
        <f>"£"&amp;'3 - Prioritisation'!$L7&amp;"k to £"&amp;'3 - Prioritisation'!$M7&amp;"k"</f>
        <v>£0k to £50k</v>
      </c>
      <c r="X10" s="319" t="str">
        <f>'3 - Prioritisation'!$O7&amp;" to "&amp;'3 - Prioritisation'!$P7&amp;" wks"</f>
        <v>0 to 1 wks</v>
      </c>
      <c r="Y10" s="159"/>
      <c r="Z10" s="174"/>
      <c r="AA10" s="172"/>
      <c r="AB10" s="171"/>
      <c r="AC10" s="175"/>
      <c r="AD10" s="175"/>
      <c r="AE10" s="175"/>
      <c r="AF10" s="171"/>
      <c r="AG10" s="27"/>
      <c r="AH10" s="159"/>
      <c r="AQ10" s="68"/>
      <c r="BB10" s="282"/>
      <c r="BC10" s="282"/>
      <c r="BD10" s="282"/>
      <c r="BE10" s="282"/>
      <c r="BF10" s="282"/>
      <c r="BG10" s="282"/>
      <c r="BH10" s="282"/>
    </row>
    <row r="11" spans="6:60" ht="16.5" customHeight="1" hidden="1" thickBot="1">
      <c r="F11" s="100"/>
      <c r="G11" s="100"/>
      <c r="H11" s="689"/>
      <c r="I11" s="318" t="s">
        <v>23</v>
      </c>
      <c r="J11" s="319" t="str">
        <f>'3 - Prioritisation'!$G8*100&amp;" to "&amp;'3 - Prioritisation'!$H8*100&amp;"%"</f>
        <v>11 to 30%</v>
      </c>
      <c r="K11" s="319" t="str">
        <f>"£"&amp;'3 - Prioritisation'!$L8&amp;"k to £"&amp;'3 - Prioritisation'!$M8&amp;"k"</f>
        <v>£51k to £250k</v>
      </c>
      <c r="L11" s="319" t="str">
        <f>'3 - Prioritisation'!$O8&amp;" to "&amp;'3 - Prioritisation'!$P8&amp;" wks"</f>
        <v>1 to 4 wks</v>
      </c>
      <c r="M11" s="170"/>
      <c r="N11" s="16"/>
      <c r="O11" s="16"/>
      <c r="P11" s="171"/>
      <c r="Q11" s="172"/>
      <c r="R11" s="173"/>
      <c r="S11" s="16"/>
      <c r="T11" s="14"/>
      <c r="U11" s="318" t="s">
        <v>23</v>
      </c>
      <c r="V11" s="319" t="str">
        <f>'3 - Prioritisation'!$G8*100&amp;" to "&amp;'3 - Prioritisation'!$H8*100&amp;"%"</f>
        <v>11 to 30%</v>
      </c>
      <c r="W11" s="319" t="str">
        <f>"£"&amp;'3 - Prioritisation'!$L8&amp;"k to £"&amp;'3 - Prioritisation'!$M8&amp;"k"</f>
        <v>£51k to £250k</v>
      </c>
      <c r="X11" s="319" t="str">
        <f>'3 - Prioritisation'!$O8&amp;" to "&amp;'3 - Prioritisation'!$P8&amp;" wks"</f>
        <v>1 to 4 wks</v>
      </c>
      <c r="Y11" s="159"/>
      <c r="Z11" s="174"/>
      <c r="AA11" s="172"/>
      <c r="AB11" s="171"/>
      <c r="AC11" s="175"/>
      <c r="AD11" s="175"/>
      <c r="AE11" s="175"/>
      <c r="AF11" s="171"/>
      <c r="AG11" s="27"/>
      <c r="AH11" s="159"/>
      <c r="AQ11" s="68"/>
      <c r="BB11" s="282"/>
      <c r="BC11" s="282"/>
      <c r="BD11" s="282"/>
      <c r="BE11" s="282"/>
      <c r="BF11" s="282"/>
      <c r="BG11" s="282"/>
      <c r="BH11" s="282"/>
    </row>
    <row r="12" spans="6:60" ht="16.5" customHeight="1" hidden="1" thickBot="1">
      <c r="F12" s="101"/>
      <c r="G12" s="101"/>
      <c r="H12" s="689"/>
      <c r="I12" s="318" t="s">
        <v>24</v>
      </c>
      <c r="J12" s="319" t="str">
        <f>'3 - Prioritisation'!$G9*100&amp;" to "&amp;'3 - Prioritisation'!$H9*100&amp;"%"</f>
        <v>31 to 50%</v>
      </c>
      <c r="K12" s="319" t="str">
        <f>"£"&amp;'3 - Prioritisation'!$L9&amp;"k to £"&amp;'3 - Prioritisation'!$M9&amp;"k"</f>
        <v>£251k to £1000k</v>
      </c>
      <c r="L12" s="319" t="str">
        <f>'3 - Prioritisation'!$O9&amp;" to "&amp;'3 - Prioritisation'!$P9&amp;" wks"</f>
        <v>4 to 12 wks</v>
      </c>
      <c r="M12" s="170"/>
      <c r="N12" s="16"/>
      <c r="O12" s="16"/>
      <c r="P12" s="171"/>
      <c r="Q12" s="172"/>
      <c r="R12" s="173"/>
      <c r="S12" s="16"/>
      <c r="T12" s="14"/>
      <c r="U12" s="318" t="s">
        <v>24</v>
      </c>
      <c r="V12" s="319" t="str">
        <f>'3 - Prioritisation'!$G9*100&amp;" to "&amp;'3 - Prioritisation'!$H9*100&amp;"%"</f>
        <v>31 to 50%</v>
      </c>
      <c r="W12" s="319" t="str">
        <f>"£"&amp;'3 - Prioritisation'!$L9&amp;"k to £"&amp;'3 - Prioritisation'!$M9&amp;"k"</f>
        <v>£251k to £1000k</v>
      </c>
      <c r="X12" s="319" t="str">
        <f>'3 - Prioritisation'!$O9&amp;" to "&amp;'3 - Prioritisation'!$P9&amp;" wks"</f>
        <v>4 to 12 wks</v>
      </c>
      <c r="Y12" s="159"/>
      <c r="Z12" s="174"/>
      <c r="AA12" s="172"/>
      <c r="AB12" s="171"/>
      <c r="AC12" s="175"/>
      <c r="AD12" s="175"/>
      <c r="AE12" s="175"/>
      <c r="AF12" s="171"/>
      <c r="AG12" s="27"/>
      <c r="AH12" s="159"/>
      <c r="AQ12" s="68"/>
      <c r="BB12" s="282"/>
      <c r="BC12" s="282"/>
      <c r="BD12" s="282"/>
      <c r="BE12" s="282"/>
      <c r="BF12" s="282"/>
      <c r="BG12" s="282"/>
      <c r="BH12" s="282"/>
    </row>
    <row r="13" spans="5:60" ht="16.5" customHeight="1" hidden="1" thickBot="1">
      <c r="E13" s="15"/>
      <c r="F13" s="15"/>
      <c r="G13" s="15"/>
      <c r="H13" s="689"/>
      <c r="I13" s="318" t="s">
        <v>25</v>
      </c>
      <c r="J13" s="319" t="str">
        <f>'3 - Prioritisation'!$G10*100&amp;" to "&amp;'3 - Prioritisation'!$H10*100&amp;"%"</f>
        <v>51 to 70%</v>
      </c>
      <c r="K13" s="319" t="str">
        <f>"£"&amp;'3 - Prioritisation'!$L10&amp;"k to £"&amp;'3 - Prioritisation'!$M10&amp;"k"</f>
        <v>£1000k to £5000k</v>
      </c>
      <c r="L13" s="319" t="str">
        <f>'3 - Prioritisation'!$O10&amp;" to "&amp;'3 - Prioritisation'!$P10&amp;" wks"</f>
        <v>12 to 24 wks</v>
      </c>
      <c r="M13" s="160"/>
      <c r="N13" s="16"/>
      <c r="O13" s="16"/>
      <c r="P13" s="171"/>
      <c r="Q13" s="171"/>
      <c r="R13" s="173"/>
      <c r="S13" s="16"/>
      <c r="T13" s="171"/>
      <c r="U13" s="318" t="s">
        <v>25</v>
      </c>
      <c r="V13" s="319" t="str">
        <f>'3 - Prioritisation'!$G10*100&amp;" to "&amp;'3 - Prioritisation'!$H10*100&amp;"%"</f>
        <v>51 to 70%</v>
      </c>
      <c r="W13" s="319" t="str">
        <f>"£"&amp;'3 - Prioritisation'!$L10&amp;"k to £"&amp;'3 - Prioritisation'!$M10&amp;"k"</f>
        <v>£1000k to £5000k</v>
      </c>
      <c r="X13" s="319" t="str">
        <f>'3 - Prioritisation'!$O10&amp;" to "&amp;'3 - Prioritisation'!$P10&amp;" wks"</f>
        <v>12 to 24 wks</v>
      </c>
      <c r="Y13" s="159"/>
      <c r="Z13" s="16"/>
      <c r="AA13" s="172"/>
      <c r="AB13" s="172"/>
      <c r="AC13" s="171"/>
      <c r="AD13" s="171"/>
      <c r="AE13" s="175"/>
      <c r="AF13" s="175"/>
      <c r="AG13" s="171"/>
      <c r="AR13" s="176"/>
      <c r="AS13" s="176"/>
      <c r="AT13" s="176"/>
      <c r="AU13" s="176"/>
      <c r="AV13" s="176"/>
      <c r="AW13" s="176"/>
      <c r="AX13" s="176"/>
      <c r="AY13" s="176"/>
      <c r="AZ13" s="176"/>
      <c r="BA13" s="176"/>
      <c r="BB13" s="282"/>
      <c r="BC13" s="282"/>
      <c r="BD13" s="282"/>
      <c r="BE13" s="282"/>
      <c r="BF13" s="282"/>
      <c r="BG13" s="282"/>
      <c r="BH13" s="282"/>
    </row>
    <row r="14" spans="5:60" ht="16.5" customHeight="1" hidden="1" thickBot="1">
      <c r="E14" s="15"/>
      <c r="F14" s="15"/>
      <c r="G14" s="15"/>
      <c r="H14" s="689"/>
      <c r="I14" s="318" t="s">
        <v>26</v>
      </c>
      <c r="J14" s="319" t="str">
        <f>'3 - Prioritisation'!$G11*100&amp;" to "&amp;'3 - Prioritisation'!$H11*100&amp;"%"</f>
        <v>71 to 100%</v>
      </c>
      <c r="K14" s="319" t="str">
        <f>"£"&amp;'3 - Prioritisation'!$L11&amp;"k to £"&amp;'3 - Prioritisation'!$M11&amp;"k"</f>
        <v>£5000k to £~k</v>
      </c>
      <c r="L14" s="319" t="str">
        <f>'3 - Prioritisation'!$O11&amp;" to "&amp;'3 - Prioritisation'!$P11&amp;" wks"</f>
        <v>24 to ~ wks</v>
      </c>
      <c r="M14" s="160"/>
      <c r="N14" s="16"/>
      <c r="O14" s="16"/>
      <c r="P14" s="171"/>
      <c r="Q14" s="171"/>
      <c r="R14" s="173"/>
      <c r="S14" s="16"/>
      <c r="T14" s="171"/>
      <c r="U14" s="318" t="s">
        <v>26</v>
      </c>
      <c r="V14" s="319" t="str">
        <f>'3 - Prioritisation'!$G11*100&amp;" to "&amp;'3 - Prioritisation'!$H11*100&amp;"%"</f>
        <v>71 to 100%</v>
      </c>
      <c r="W14" s="319" t="str">
        <f>"£"&amp;'3 - Prioritisation'!$L11&amp;"k to £"&amp;'3 - Prioritisation'!$M11&amp;"k"</f>
        <v>£5000k to £~k</v>
      </c>
      <c r="X14" s="319" t="str">
        <f>'3 - Prioritisation'!$O11&amp;" to "&amp;'3 - Prioritisation'!$P11&amp;" wks"</f>
        <v>24 to ~ wks</v>
      </c>
      <c r="Y14" s="159"/>
      <c r="Z14" s="16"/>
      <c r="AA14" s="172"/>
      <c r="AB14" s="172"/>
      <c r="AC14" s="171"/>
      <c r="AD14" s="171"/>
      <c r="AE14" s="175"/>
      <c r="AF14" s="175"/>
      <c r="AG14" s="171"/>
      <c r="AR14" s="176"/>
      <c r="AS14" s="176"/>
      <c r="AT14" s="176"/>
      <c r="AU14" s="176"/>
      <c r="AV14" s="176"/>
      <c r="AW14" s="176"/>
      <c r="AX14" s="176"/>
      <c r="AY14" s="176"/>
      <c r="AZ14" s="176"/>
      <c r="BA14" s="176"/>
      <c r="BB14" s="282"/>
      <c r="BC14" s="282"/>
      <c r="BD14" s="282"/>
      <c r="BE14" s="282"/>
      <c r="BF14" s="282"/>
      <c r="BG14" s="282"/>
      <c r="BH14" s="282"/>
    </row>
    <row r="15" spans="1:60" s="176" customFormat="1" ht="57" customHeight="1" thickBot="1" thickTop="1">
      <c r="A15" s="826" t="s">
        <v>691</v>
      </c>
      <c r="B15" s="865" t="s">
        <v>8</v>
      </c>
      <c r="C15" s="876" t="s">
        <v>139</v>
      </c>
      <c r="D15" s="872" t="s">
        <v>248</v>
      </c>
      <c r="E15" s="873"/>
      <c r="F15" s="874" t="s">
        <v>251</v>
      </c>
      <c r="G15" s="438" t="s">
        <v>141</v>
      </c>
      <c r="H15" s="870" t="s">
        <v>514</v>
      </c>
      <c r="I15" s="440"/>
      <c r="J15" s="867" t="s">
        <v>253</v>
      </c>
      <c r="K15" s="868"/>
      <c r="L15" s="868"/>
      <c r="M15" s="868"/>
      <c r="N15" s="869"/>
      <c r="O15" s="102"/>
      <c r="P15" s="862" t="s">
        <v>110</v>
      </c>
      <c r="Q15" s="863"/>
      <c r="R15" s="863"/>
      <c r="S15" s="863"/>
      <c r="T15" s="864"/>
      <c r="U15" s="846" t="s">
        <v>143</v>
      </c>
      <c r="V15" s="847"/>
      <c r="W15" s="847"/>
      <c r="X15" s="847"/>
      <c r="Y15" s="847"/>
      <c r="Z15" s="848"/>
      <c r="AA15" s="849" t="s">
        <v>9</v>
      </c>
      <c r="AB15" s="850"/>
      <c r="AC15" s="850"/>
      <c r="AD15" s="850"/>
      <c r="AE15" s="850"/>
      <c r="AF15" s="850"/>
      <c r="AG15" s="851"/>
      <c r="AH15" s="860" t="s">
        <v>576</v>
      </c>
      <c r="AJ15" s="857" t="s">
        <v>10</v>
      </c>
      <c r="AK15" s="858"/>
      <c r="AL15" s="858"/>
      <c r="AM15" s="858"/>
      <c r="AN15" s="858"/>
      <c r="AO15" s="858"/>
      <c r="AP15" s="859"/>
      <c r="AR15" s="852" t="s">
        <v>109</v>
      </c>
      <c r="AS15" s="853"/>
      <c r="AT15" s="854"/>
      <c r="AU15" s="854"/>
      <c r="AV15" s="854"/>
      <c r="AW15" s="854"/>
      <c r="AX15" s="855"/>
      <c r="AY15" s="855"/>
      <c r="AZ15" s="856"/>
      <c r="BA15" s="177"/>
      <c r="BB15" s="837" t="s">
        <v>184</v>
      </c>
      <c r="BC15" s="838"/>
      <c r="BD15" s="838"/>
      <c r="BE15" s="838"/>
      <c r="BF15" s="838"/>
      <c r="BG15" s="838"/>
      <c r="BH15" s="839"/>
    </row>
    <row r="16" spans="1:60" s="177" customFormat="1" ht="63.75" thickBot="1">
      <c r="A16" s="826"/>
      <c r="B16" s="866"/>
      <c r="C16" s="877"/>
      <c r="D16" s="87" t="s">
        <v>249</v>
      </c>
      <c r="E16" s="140" t="s">
        <v>250</v>
      </c>
      <c r="F16" s="875"/>
      <c r="G16" s="320" t="s">
        <v>142</v>
      </c>
      <c r="H16" s="871"/>
      <c r="I16" s="240" t="s">
        <v>252</v>
      </c>
      <c r="J16" s="151" t="s">
        <v>254</v>
      </c>
      <c r="K16" s="18" t="s">
        <v>255</v>
      </c>
      <c r="L16" s="18" t="s">
        <v>256</v>
      </c>
      <c r="M16" s="18" t="s">
        <v>257</v>
      </c>
      <c r="N16" s="19" t="s">
        <v>258</v>
      </c>
      <c r="O16" s="103" t="s">
        <v>259</v>
      </c>
      <c r="P16" s="17" t="s">
        <v>260</v>
      </c>
      <c r="Q16" s="18" t="s">
        <v>11</v>
      </c>
      <c r="R16" s="145" t="s">
        <v>280</v>
      </c>
      <c r="S16" s="18" t="s">
        <v>261</v>
      </c>
      <c r="T16" s="19" t="s">
        <v>262</v>
      </c>
      <c r="U16" s="17" t="s">
        <v>279</v>
      </c>
      <c r="V16" s="151" t="s">
        <v>263</v>
      </c>
      <c r="W16" s="18" t="s">
        <v>264</v>
      </c>
      <c r="X16" s="18" t="s">
        <v>256</v>
      </c>
      <c r="Y16" s="18" t="s">
        <v>257</v>
      </c>
      <c r="Z16" s="19" t="s">
        <v>12</v>
      </c>
      <c r="AA16" s="20" t="s">
        <v>278</v>
      </c>
      <c r="AB16" s="21" t="s">
        <v>277</v>
      </c>
      <c r="AC16" s="21" t="s">
        <v>276</v>
      </c>
      <c r="AD16" s="21" t="s">
        <v>275</v>
      </c>
      <c r="AE16" s="18" t="s">
        <v>274</v>
      </c>
      <c r="AF16" s="104" t="s">
        <v>112</v>
      </c>
      <c r="AG16" s="105" t="s">
        <v>273</v>
      </c>
      <c r="AH16" s="861"/>
      <c r="AJ16" s="22" t="s">
        <v>190</v>
      </c>
      <c r="AK16" s="23" t="s">
        <v>13</v>
      </c>
      <c r="AL16" s="23" t="s">
        <v>14</v>
      </c>
      <c r="AM16" s="23" t="s">
        <v>69</v>
      </c>
      <c r="AN16" s="23" t="s">
        <v>68</v>
      </c>
      <c r="AO16" s="24" t="s">
        <v>67</v>
      </c>
      <c r="AP16" s="25" t="s">
        <v>265</v>
      </c>
      <c r="AR16" s="224" t="s">
        <v>134</v>
      </c>
      <c r="AS16" s="225" t="s">
        <v>266</v>
      </c>
      <c r="AT16" s="156" t="s">
        <v>267</v>
      </c>
      <c r="AU16" s="157" t="s">
        <v>272</v>
      </c>
      <c r="AV16" s="158" t="s">
        <v>271</v>
      </c>
      <c r="AW16" s="223" t="s">
        <v>270</v>
      </c>
      <c r="AX16" s="226" t="s">
        <v>269</v>
      </c>
      <c r="AY16" s="227" t="s">
        <v>112</v>
      </c>
      <c r="AZ16" s="228" t="s">
        <v>268</v>
      </c>
      <c r="BA16" s="27"/>
      <c r="BB16" s="339" t="str">
        <f aca="true" t="shared" si="0" ref="BB16:BG16">AJ16</f>
        <v>Customer</v>
      </c>
      <c r="BC16" s="340" t="str">
        <f t="shared" si="0"/>
        <v>Consultant</v>
      </c>
      <c r="BD16" s="340" t="str">
        <f t="shared" si="0"/>
        <v>Contractor</v>
      </c>
      <c r="BE16" s="340" t="str">
        <f t="shared" si="0"/>
        <v>Others</v>
      </c>
      <c r="BF16" s="340" t="str">
        <f t="shared" si="0"/>
        <v>Others 1</v>
      </c>
      <c r="BG16" s="341" t="str">
        <f t="shared" si="0"/>
        <v>Others 2</v>
      </c>
      <c r="BH16" s="25" t="s">
        <v>265</v>
      </c>
    </row>
    <row r="17" spans="1:60" s="177" customFormat="1" ht="32.25" customHeight="1" thickBot="1" thickTop="1">
      <c r="A17" s="181"/>
      <c r="B17" s="493"/>
      <c r="C17" s="494"/>
      <c r="D17" s="495" t="s">
        <v>302</v>
      </c>
      <c r="E17" s="494"/>
      <c r="F17" s="494"/>
      <c r="G17" s="494"/>
      <c r="H17" s="663"/>
      <c r="I17" s="494"/>
      <c r="J17" s="494"/>
      <c r="K17" s="494"/>
      <c r="L17" s="494"/>
      <c r="M17" s="494"/>
      <c r="N17" s="494"/>
      <c r="O17" s="494"/>
      <c r="P17" s="494"/>
      <c r="Q17" s="494"/>
      <c r="R17" s="494"/>
      <c r="S17" s="494"/>
      <c r="T17" s="494"/>
      <c r="U17" s="494"/>
      <c r="V17" s="494"/>
      <c r="W17" s="494"/>
      <c r="X17" s="494"/>
      <c r="Y17" s="494"/>
      <c r="Z17" s="494"/>
      <c r="AA17" s="663"/>
      <c r="AB17" s="494"/>
      <c r="AC17" s="663"/>
      <c r="AD17" s="663"/>
      <c r="AE17" s="663"/>
      <c r="AF17" s="663"/>
      <c r="AG17" s="663"/>
      <c r="AH17" s="622" t="s">
        <v>579</v>
      </c>
      <c r="AJ17" s="392"/>
      <c r="AK17" s="393"/>
      <c r="AL17" s="393"/>
      <c r="AM17" s="393"/>
      <c r="AN17" s="393"/>
      <c r="AO17" s="394"/>
      <c r="AP17" s="395"/>
      <c r="AR17" s="398"/>
      <c r="AS17" s="399"/>
      <c r="AT17" s="400"/>
      <c r="AU17" s="401"/>
      <c r="AV17" s="402"/>
      <c r="AW17" s="403"/>
      <c r="AX17" s="404"/>
      <c r="AY17" s="405"/>
      <c r="AZ17" s="406"/>
      <c r="BA17" s="27"/>
      <c r="BB17" s="411"/>
      <c r="BC17" s="412"/>
      <c r="BD17" s="412"/>
      <c r="BE17" s="412"/>
      <c r="BF17" s="412"/>
      <c r="BG17" s="413"/>
      <c r="BH17" s="395"/>
    </row>
    <row r="18" spans="1:60" s="27" customFormat="1" ht="108.75" customHeight="1" thickBot="1">
      <c r="A18" s="754">
        <v>1</v>
      </c>
      <c r="B18" s="671">
        <v>1</v>
      </c>
      <c r="C18" s="672"/>
      <c r="D18" s="673" t="s">
        <v>618</v>
      </c>
      <c r="E18" s="674" t="s">
        <v>358</v>
      </c>
      <c r="F18" s="686" t="s">
        <v>322</v>
      </c>
      <c r="G18" s="666"/>
      <c r="H18" s="686" t="s">
        <v>190</v>
      </c>
      <c r="I18" s="690" t="s">
        <v>359</v>
      </c>
      <c r="J18" s="691" t="s">
        <v>23</v>
      </c>
      <c r="K18" s="691" t="s">
        <v>24</v>
      </c>
      <c r="L18" s="691" t="s">
        <v>24</v>
      </c>
      <c r="M18" s="500" t="str">
        <f aca="true" t="shared" si="1" ref="M18:M32">IF(OR(K18="",L18="",J18=""),"Data missing",IF(OR(K18="VH",L18="VH"),"VH",IF(OR(K18="H",L18="H"),"H",IF(OR(K18="M",L18="M"),"M",IF(OR(K18="L",L18="L"),"L",IF(OR(K18="VL",L18="VL"),"VL"))))))</f>
        <v>M</v>
      </c>
      <c r="N18" s="692" t="str">
        <f>IF(M18="Data missing","Data missing",IF(M18="VH","H",(IF(M18="H",HLOOKUP(J18,'3 - Prioritisation'!$D$16:$H$21,3,FALSE),IF(M18="M",HLOOKUP(J18,'3 - Prioritisation'!$D$16:$H$21,4,FALSE),IF(M18="L",HLOOKUP(J18,'3 - Prioritisation'!$D$16:$H$21,5,FALSE),IF(M18="VL",HLOOKUP(J18,'3 - Prioritisation'!$D$16:$H$21,6,FALSE))))))))</f>
        <v>M</v>
      </c>
      <c r="O18" s="692"/>
      <c r="P18" s="693" t="s">
        <v>651</v>
      </c>
      <c r="Q18" s="693" t="s">
        <v>516</v>
      </c>
      <c r="R18" s="694"/>
      <c r="S18" s="695"/>
      <c r="T18" s="696"/>
      <c r="U18" s="697">
        <v>0.6</v>
      </c>
      <c r="V18" s="691" t="s">
        <v>25</v>
      </c>
      <c r="W18" s="691" t="s">
        <v>24</v>
      </c>
      <c r="X18" s="691" t="s">
        <v>24</v>
      </c>
      <c r="Y18" s="736" t="str">
        <f>IF(OR(W18="",X18="",V18=""),"Data missing",IF(OR(W18="VH",X18="VH"),"VH",IF(OR(W18="H",X18="H"),"H",IF(OR(W18="M",X18="M"),"M",IF(OR(W18="L",X18="L"),"L",IF(OR(W18="VL",X18="VL"),"VL"))))))</f>
        <v>M</v>
      </c>
      <c r="Z18" s="737" t="str">
        <f>IF(Y18="Data missing","Data missing",IF(Y18="VH","H",(IF(Y18="H",HLOOKUP(V18,'3 - Prioritisation'!$D$16:$H$21,3,FALSE),IF(Y18="M",HLOOKUP(V18,'3 - Prioritisation'!$D$16:$H$21,4,FALSE),IF(Y18="L",HLOOKUP(V18,'3 - Prioritisation'!$D$16:$H$21,5,FALSE),IF(Y18="VL",HLOOKUP(V18,'3 - Prioritisation'!$D$16:$H$21,6,FALSE))))))))</f>
        <v>M</v>
      </c>
      <c r="AA18" s="738">
        <f>(2.5%*300000*30)+50000</f>
        <v>275000</v>
      </c>
      <c r="AB18" s="739">
        <f>(5%*300000*30)+100000</f>
        <v>550000</v>
      </c>
      <c r="AC18" s="739">
        <f>(10%*300000*30)+150000</f>
        <v>1050000</v>
      </c>
      <c r="AD18" s="747">
        <f>U18*AB18</f>
        <v>330000</v>
      </c>
      <c r="AE18" s="748" t="e">
        <f>IF(AF18="Data missing","Data missing",IF(OR(U18="",AA18="",AB18="",AC18=""),"",_XLL.RISKBINOMIAL(1,U18)))</f>
        <v>#NAME?</v>
      </c>
      <c r="AF18" s="749" t="e">
        <f>IF(OR(U18="",AA18="",AB18="",AC18=""),"Data missing",_XLL.RISKPERT(AA18,AB18,AC18,_XLL.RISKNAME("Risk ID"&amp;B18),_XLL.RISKCOLLECT()))</f>
        <v>#NAME?</v>
      </c>
      <c r="AG18" s="750" t="e">
        <f>IF(AF18="Data missing","Data missing",IF(OR(U18="",AA18="",AB18="",AC18=""),"",AE18*AF18))</f>
        <v>#NAME?</v>
      </c>
      <c r="AH18" s="751" t="s">
        <v>662</v>
      </c>
      <c r="AI18" s="26"/>
      <c r="AJ18" s="386" t="e">
        <f aca="true" t="shared" si="2" ref="AJ18:AO34">IF($H18="","Identify Risk Owner",IF($H18=AJ$16,$AG18,0))</f>
        <v>#NAME?</v>
      </c>
      <c r="AK18" s="387">
        <f t="shared" si="2"/>
        <v>0</v>
      </c>
      <c r="AL18" s="387">
        <f t="shared" si="2"/>
        <v>0</v>
      </c>
      <c r="AM18" s="387">
        <f t="shared" si="2"/>
        <v>0</v>
      </c>
      <c r="AN18" s="387">
        <f t="shared" si="2"/>
        <v>0</v>
      </c>
      <c r="AO18" s="388">
        <f t="shared" si="2"/>
        <v>0</v>
      </c>
      <c r="AP18" s="389" t="e">
        <f>SUM(AJ18:AO18)</f>
        <v>#NAME?</v>
      </c>
      <c r="AR18" s="385"/>
      <c r="AS18" s="363"/>
      <c r="AT18" s="288">
        <f aca="true" t="shared" si="3" ref="AT18:AT23">IF(AS18="Yes",U18,0)</f>
        <v>0</v>
      </c>
      <c r="AU18" s="382">
        <v>2</v>
      </c>
      <c r="AV18" s="383">
        <v>4</v>
      </c>
      <c r="AW18" s="384">
        <v>8</v>
      </c>
      <c r="AX18" s="364" t="e">
        <f>IF(AY18="Data missing","Data missing",IF(OR(AT18="",AU18="",AV18="",AW18=""),"",_XLL.RISKBINOMIAL(1,AT18)))</f>
        <v>#NAME?</v>
      </c>
      <c r="AY18" s="396" t="e">
        <f>IF(OR(AT18="",AU18="",AV18="",AW18=""),"Data missing",_XLL.RISKPERT(AU18,AV18,AW18))</f>
        <v>#NAME?</v>
      </c>
      <c r="AZ18" s="397" t="e">
        <f aca="true" t="shared" si="4" ref="AZ18:AZ23">IF(AY18="Data missing","Data missing",IF(OR(AT18="",AU18="",AV18="",AW18=""),"",AX18*AY18))</f>
        <v>#NAME?</v>
      </c>
      <c r="BB18" s="407" t="e">
        <f aca="true" t="shared" si="5" ref="BB18:BD32">IF($H18="","Identify Risk Owner",IF($H18=BB$16,$AZ18,0))</f>
        <v>#NAME?</v>
      </c>
      <c r="BC18" s="338">
        <f t="shared" si="5"/>
        <v>0</v>
      </c>
      <c r="BD18" s="338">
        <f t="shared" si="5"/>
        <v>0</v>
      </c>
      <c r="BE18" s="408">
        <f aca="true" t="shared" si="6" ref="BE18:BG32">IF($H18="","Identify risk owner",IF($H18=BE$16,$AZ18,0))</f>
        <v>0</v>
      </c>
      <c r="BF18" s="408">
        <f t="shared" si="6"/>
        <v>0</v>
      </c>
      <c r="BG18" s="409">
        <f t="shared" si="6"/>
        <v>0</v>
      </c>
      <c r="BH18" s="410" t="e">
        <f aca="true" t="shared" si="7" ref="BH18:BH23">SUM(BB18:BG18)</f>
        <v>#NAME?</v>
      </c>
    </row>
    <row r="19" spans="1:60" s="27" customFormat="1" ht="108.75" customHeight="1">
      <c r="A19" s="754" t="s">
        <v>614</v>
      </c>
      <c r="B19" s="675">
        <v>2</v>
      </c>
      <c r="C19" s="676"/>
      <c r="D19" s="677" t="s">
        <v>619</v>
      </c>
      <c r="E19" s="678" t="s">
        <v>607</v>
      </c>
      <c r="F19" s="687" t="s">
        <v>322</v>
      </c>
      <c r="G19" s="670"/>
      <c r="H19" s="687" t="s">
        <v>14</v>
      </c>
      <c r="I19" s="698"/>
      <c r="J19" s="699"/>
      <c r="K19" s="699"/>
      <c r="L19" s="699"/>
      <c r="M19" s="500" t="str">
        <f t="shared" si="1"/>
        <v>Data missing</v>
      </c>
      <c r="N19" s="692" t="str">
        <f>IF(M19="Data missing","Data missing",IF(M19="VH","H",(IF(M19="H",HLOOKUP(J19,'3 - Prioritisation'!$D$16:$H$21,3,FALSE),IF(M19="M",HLOOKUP(J19,'3 - Prioritisation'!$D$16:$H$21,4,FALSE),IF(M19="L",HLOOKUP(J19,'3 - Prioritisation'!$D$16:$H$21,5,FALSE),IF(M19="VL",HLOOKUP(J19,'3 - Prioritisation'!$D$16:$H$21,6,FALSE))))))))</f>
        <v>Data missing</v>
      </c>
      <c r="O19" s="700"/>
      <c r="P19" s="701" t="s">
        <v>609</v>
      </c>
      <c r="Q19" s="701" t="s">
        <v>610</v>
      </c>
      <c r="R19" s="702"/>
      <c r="S19" s="703"/>
      <c r="T19" s="704"/>
      <c r="U19" s="705">
        <v>0.25</v>
      </c>
      <c r="V19" s="699" t="s">
        <v>23</v>
      </c>
      <c r="W19" s="699" t="s">
        <v>24</v>
      </c>
      <c r="X19" s="699" t="s">
        <v>24</v>
      </c>
      <c r="Y19" s="740" t="str">
        <f aca="true" t="shared" si="8" ref="Y19:Y32">IF(OR(W19="",X19="",V19=""),"Data missing",IF(OR(W19="VH",X19="VH"),"VH",IF(OR(W19="H",X19="H"),"H",IF(OR(W19="M",X19="M"),"M",IF(OR(W19="L",X19="L"),"L",IF(OR(W19="VL",X19="VL"),"VL"))))))</f>
        <v>M</v>
      </c>
      <c r="Z19" s="731" t="str">
        <f>IF(Y19="Data missing","Data missing",IF(Y19="VH","H",(IF(Y19="H",HLOOKUP(V19,'3 - Prioritisation'!$D$16:$H$21,3,FALSE),IF(Y19="M",HLOOKUP(V19,'3 - Prioritisation'!$D$16:$H$21,4,FALSE),IF(Y19="L",HLOOKUP(V19,'3 - Prioritisation'!$D$16:$H$21,5,FALSE),IF(Y19="VL",HLOOKUP(V19,'3 - Prioritisation'!$D$16:$H$21,6,FALSE))))))))</f>
        <v>M</v>
      </c>
      <c r="AA19" s="738">
        <f>AB19/2</f>
        <v>190000</v>
      </c>
      <c r="AB19" s="738">
        <f>100000+(2*(115000+25000))</f>
        <v>380000</v>
      </c>
      <c r="AC19" s="738">
        <f>AB19*2</f>
        <v>760000</v>
      </c>
      <c r="AD19" s="508">
        <f aca="true" t="shared" si="9" ref="AD19:AD32">U19*AB19</f>
        <v>95000</v>
      </c>
      <c r="AE19" s="509" t="e">
        <f>IF(AF19="Data missing","Data missing",IF(OR(U19="",AA19="",AB19="",AC19=""),"",_XLL.RISKBINOMIAL(1,U19)))</f>
        <v>#NAME?</v>
      </c>
      <c r="AF19" s="510" t="e">
        <f>IF(OR(U19="",AA19="",AB19="",AC19=""),"Data missing",_XLL.RISKPERT(AA19,AB19,AC19,_XLL.RISKNAME("Risk ID"&amp;B19),_XLL.RISKCOLLECT()))</f>
        <v>#NAME?</v>
      </c>
      <c r="AG19" s="511" t="e">
        <f aca="true" t="shared" si="10" ref="AG19:AG32">IF(AF19="Data missing","Data missing",IF(OR(U19="",AA19="",AB19="",AC19=""),"",AE19*AF19))</f>
        <v>#NAME?</v>
      </c>
      <c r="AH19" s="752" t="s">
        <v>663</v>
      </c>
      <c r="AI19" s="26"/>
      <c r="AJ19" s="386">
        <f t="shared" si="2"/>
        <v>0</v>
      </c>
      <c r="AK19" s="387">
        <f t="shared" si="2"/>
        <v>0</v>
      </c>
      <c r="AL19" s="387" t="e">
        <f t="shared" si="2"/>
        <v>#NAME?</v>
      </c>
      <c r="AM19" s="387">
        <f t="shared" si="2"/>
        <v>0</v>
      </c>
      <c r="AN19" s="387">
        <f t="shared" si="2"/>
        <v>0</v>
      </c>
      <c r="AO19" s="388">
        <f t="shared" si="2"/>
        <v>0</v>
      </c>
      <c r="AP19" s="389" t="e">
        <f aca="true" t="shared" si="11" ref="AP19:AP32">SUM(AJ19:AO19)</f>
        <v>#NAME?</v>
      </c>
      <c r="AR19" s="385"/>
      <c r="AS19" s="363"/>
      <c r="AT19" s="288">
        <f>IF(AS19="Yes",U19,0)</f>
        <v>0</v>
      </c>
      <c r="AU19" s="382">
        <v>2</v>
      </c>
      <c r="AV19" s="383">
        <v>4</v>
      </c>
      <c r="AW19" s="384">
        <v>8</v>
      </c>
      <c r="AX19" s="364" t="e">
        <f>IF(AY19="Data missing","Data missing",IF(OR(AT19="",AU19="",AV19="",AW19=""),"",_XLL.RISKBINOMIAL(1,AT19)))</f>
        <v>#NAME?</v>
      </c>
      <c r="AY19" s="396" t="e">
        <f>IF(OR(AT19="",AU19="",AV19="",AW19=""),"Data missing",_XLL.RISKPERT(AU19,AV19,AW19))</f>
        <v>#NAME?</v>
      </c>
      <c r="AZ19" s="397" t="e">
        <f>IF(AY19="Data missing","Data missing",IF(OR(AT19="",AU19="",AV19="",AW19=""),"",AX19*AY19))</f>
        <v>#NAME?</v>
      </c>
      <c r="BB19" s="407">
        <f t="shared" si="5"/>
        <v>0</v>
      </c>
      <c r="BC19" s="338">
        <f t="shared" si="5"/>
        <v>0</v>
      </c>
      <c r="BD19" s="338" t="e">
        <f t="shared" si="5"/>
        <v>#NAME?</v>
      </c>
      <c r="BE19" s="408">
        <f t="shared" si="6"/>
        <v>0</v>
      </c>
      <c r="BF19" s="408">
        <f t="shared" si="6"/>
        <v>0</v>
      </c>
      <c r="BG19" s="409">
        <f t="shared" si="6"/>
        <v>0</v>
      </c>
      <c r="BH19" s="410" t="e">
        <f>SUM(BB19:BG19)</f>
        <v>#NAME?</v>
      </c>
    </row>
    <row r="20" spans="1:60" s="27" customFormat="1" ht="43.5" customHeight="1">
      <c r="A20" s="754" t="s">
        <v>620</v>
      </c>
      <c r="B20" s="675">
        <v>3</v>
      </c>
      <c r="C20" s="676"/>
      <c r="D20" s="677" t="s">
        <v>621</v>
      </c>
      <c r="E20" s="678" t="s">
        <v>622</v>
      </c>
      <c r="F20" s="498" t="s">
        <v>322</v>
      </c>
      <c r="G20" s="498"/>
      <c r="H20" s="498" t="s">
        <v>190</v>
      </c>
      <c r="I20" s="698" t="s">
        <v>359</v>
      </c>
      <c r="J20" s="699" t="s">
        <v>23</v>
      </c>
      <c r="K20" s="699" t="s">
        <v>24</v>
      </c>
      <c r="L20" s="699" t="s">
        <v>24</v>
      </c>
      <c r="M20" s="500" t="str">
        <f t="shared" si="1"/>
        <v>M</v>
      </c>
      <c r="N20" s="700" t="str">
        <f>IF(M20="Data missing","Data missing",IF(M20="VH","H",(IF(M20="H",HLOOKUP(J20,'3 - Prioritisation'!$D$16:$H$21,3,FALSE),IF(M20="M",HLOOKUP(J20,'3 - Prioritisation'!$D$16:$H$21,4,FALSE),IF(M20="L",HLOOKUP(J20,'3 - Prioritisation'!$D$16:$H$21,5,FALSE),IF(M20="VL",HLOOKUP(J20,'3 - Prioritisation'!$D$16:$H$21,6,FALSE))))))))</f>
        <v>M</v>
      </c>
      <c r="O20" s="700"/>
      <c r="P20" s="701" t="s">
        <v>515</v>
      </c>
      <c r="Q20" s="701" t="s">
        <v>516</v>
      </c>
      <c r="R20" s="702"/>
      <c r="S20" s="703"/>
      <c r="T20" s="704"/>
      <c r="U20" s="705">
        <v>0.6</v>
      </c>
      <c r="V20" s="699" t="s">
        <v>25</v>
      </c>
      <c r="W20" s="699" t="s">
        <v>24</v>
      </c>
      <c r="X20" s="699" t="s">
        <v>24</v>
      </c>
      <c r="Y20" s="740" t="str">
        <f>IF(OR(W20="",X20="",V20=""),"Data missing",IF(OR(W20="VH",X20="VH"),"VH",IF(OR(W20="H",X20="H"),"H",IF(OR(W20="M",X20="M"),"M",IF(OR(W20="L",X20="L"),"L",IF(OR(W20="VL",X20="VL"),"VL"))))))</f>
        <v>M</v>
      </c>
      <c r="Z20" s="731" t="str">
        <f>IF(Y20="Data missing","Data missing",IF(Y20="VH","H",(IF(Y20="H",HLOOKUP(V20,'3 - Prioritisation'!$D$16:$H$21,3,FALSE),IF(Y20="M",HLOOKUP(V20,'3 - Prioritisation'!$D$16:$H$21,4,FALSE),IF(Y20="L",HLOOKUP(V20,'3 - Prioritisation'!$D$16:$H$21,5,FALSE),IF(Y20="VL",HLOOKUP(V20,'3 - Prioritisation'!$D$16:$H$21,6,FALSE))))))))</f>
        <v>M</v>
      </c>
      <c r="AA20" s="738">
        <f>(10%*25000*110)+50000</f>
        <v>325000</v>
      </c>
      <c r="AB20" s="738">
        <f>(20%*25000*110)+100000</f>
        <v>650000</v>
      </c>
      <c r="AC20" s="738">
        <f>(30%*25000*110)+200000</f>
        <v>1025000</v>
      </c>
      <c r="AD20" s="508">
        <f t="shared" si="9"/>
        <v>390000</v>
      </c>
      <c r="AE20" s="509" t="e">
        <f>IF(AF20="Data missing","Data missing",IF(OR(U20="",AA20="",AB20="",AC20=""),"",_XLL.RISKBINOMIAL(1,U20)))</f>
        <v>#NAME?</v>
      </c>
      <c r="AF20" s="510" t="e">
        <f>IF(OR(U20="",AA20="",AB20="",AC20=""),"Data missing",_XLL.RISKPERT(AA20,AB20,AC20,_XLL.RISKNAME("Risk ID"&amp;B20),_XLL.RISKCOLLECT()))</f>
        <v>#NAME?</v>
      </c>
      <c r="AG20" s="511" t="e">
        <f t="shared" si="10"/>
        <v>#NAME?</v>
      </c>
      <c r="AH20" s="522" t="s">
        <v>664</v>
      </c>
      <c r="AI20" s="26"/>
      <c r="AJ20" s="386" t="e">
        <f t="shared" si="2"/>
        <v>#NAME?</v>
      </c>
      <c r="AK20" s="387">
        <f t="shared" si="2"/>
        <v>0</v>
      </c>
      <c r="AL20" s="387">
        <f t="shared" si="2"/>
        <v>0</v>
      </c>
      <c r="AM20" s="387">
        <f t="shared" si="2"/>
        <v>0</v>
      </c>
      <c r="AN20" s="387">
        <f t="shared" si="2"/>
        <v>0</v>
      </c>
      <c r="AO20" s="388">
        <f t="shared" si="2"/>
        <v>0</v>
      </c>
      <c r="AP20" s="389" t="e">
        <f t="shared" si="11"/>
        <v>#NAME?</v>
      </c>
      <c r="AR20" s="385"/>
      <c r="AS20" s="363"/>
      <c r="AT20" s="288">
        <f>IF(AS20="Yes",U20,0)</f>
        <v>0</v>
      </c>
      <c r="AU20" s="382">
        <v>2</v>
      </c>
      <c r="AV20" s="383">
        <v>4</v>
      </c>
      <c r="AW20" s="384">
        <v>8</v>
      </c>
      <c r="AX20" s="364" t="e">
        <f>IF(AY20="Data missing","Data missing",IF(OR(AT20="",AU20="",AV20="",AW20=""),"",_XLL.RISKBINOMIAL(1,AT20)))</f>
        <v>#NAME?</v>
      </c>
      <c r="AY20" s="396" t="e">
        <f>IF(OR(AT20="",AU20="",AV20="",AW20=""),"Data missing",_XLL.RISKPERT(AU20,AV20,AW20))</f>
        <v>#NAME?</v>
      </c>
      <c r="AZ20" s="397" t="e">
        <f>IF(AY20="Data missing","Data missing",IF(OR(AT20="",AU20="",AV20="",AW20=""),"",AX20*AY20))</f>
        <v>#NAME?</v>
      </c>
      <c r="BB20" s="407" t="e">
        <f t="shared" si="5"/>
        <v>#NAME?</v>
      </c>
      <c r="BC20" s="338">
        <f t="shared" si="5"/>
        <v>0</v>
      </c>
      <c r="BD20" s="338">
        <f t="shared" si="5"/>
        <v>0</v>
      </c>
      <c r="BE20" s="408">
        <f t="shared" si="6"/>
        <v>0</v>
      </c>
      <c r="BF20" s="408">
        <f t="shared" si="6"/>
        <v>0</v>
      </c>
      <c r="BG20" s="409">
        <f t="shared" si="6"/>
        <v>0</v>
      </c>
      <c r="BH20" s="410" t="e">
        <f>SUM(BB20:BG20)</f>
        <v>#NAME?</v>
      </c>
    </row>
    <row r="21" spans="1:60" s="27" customFormat="1" ht="75" customHeight="1">
      <c r="A21" s="165">
        <v>2</v>
      </c>
      <c r="B21" s="521">
        <v>4</v>
      </c>
      <c r="C21" s="496"/>
      <c r="D21" s="497" t="s">
        <v>346</v>
      </c>
      <c r="E21" s="496" t="s">
        <v>360</v>
      </c>
      <c r="F21" s="498" t="s">
        <v>322</v>
      </c>
      <c r="G21" s="498"/>
      <c r="H21" s="498" t="s">
        <v>13</v>
      </c>
      <c r="I21" s="498" t="s">
        <v>517</v>
      </c>
      <c r="J21" s="499" t="s">
        <v>23</v>
      </c>
      <c r="K21" s="499" t="s">
        <v>23</v>
      </c>
      <c r="L21" s="499" t="s">
        <v>25</v>
      </c>
      <c r="M21" s="500" t="str">
        <f t="shared" si="1"/>
        <v>H</v>
      </c>
      <c r="N21" s="501" t="str">
        <f>IF(M21="Data missing","Data missing",IF(M21="VH","H",(IF(M21="H",HLOOKUP(J21,'3 - Prioritisation'!$D$16:$H$21,3,FALSE),IF(M21="M",HLOOKUP(J21,'3 - Prioritisation'!$D$16:$H$21,4,FALSE),IF(M21="L",HLOOKUP(J21,'3 - Prioritisation'!$D$16:$H$21,5,FALSE),IF(M21="VL",HLOOKUP(J21,'3 - Prioritisation'!$D$16:$H$21,6,FALSE))))))))</f>
        <v>M</v>
      </c>
      <c r="O21" s="502"/>
      <c r="P21" s="503" t="s">
        <v>518</v>
      </c>
      <c r="Q21" s="503" t="s">
        <v>519</v>
      </c>
      <c r="R21" s="504"/>
      <c r="S21" s="499"/>
      <c r="T21" s="505"/>
      <c r="U21" s="506">
        <v>0.1</v>
      </c>
      <c r="V21" s="499" t="s">
        <v>23</v>
      </c>
      <c r="W21" s="499" t="s">
        <v>23</v>
      </c>
      <c r="X21" s="499" t="s">
        <v>23</v>
      </c>
      <c r="Y21" s="500" t="str">
        <f t="shared" si="8"/>
        <v>L</v>
      </c>
      <c r="Z21" s="731" t="str">
        <f>IF(Y21="Data missing","Data missing",IF(Y21="VH","H",(IF(Y21="H",HLOOKUP(V21,'3 - Prioritisation'!$D$16:$H$21,3,FALSE),IF(Y21="M",HLOOKUP(V21,'3 - Prioritisation'!$D$16:$H$21,4,FALSE),IF(Y21="L",HLOOKUP(V21,'3 - Prioritisation'!$D$16:$H$21,5,FALSE),IF(Y21="VL",HLOOKUP(V21,'3 - Prioritisation'!$D$16:$H$21,6,FALSE))))))))</f>
        <v>L</v>
      </c>
      <c r="AA21" s="507">
        <v>25000</v>
      </c>
      <c r="AB21" s="507">
        <v>50000</v>
      </c>
      <c r="AC21" s="507">
        <v>75000</v>
      </c>
      <c r="AD21" s="508">
        <f t="shared" si="9"/>
        <v>5000</v>
      </c>
      <c r="AE21" s="509" t="e">
        <f>IF(AF21="Data missing","Data missing",IF(OR(U21="",AA21="",AB21="",AC21=""),"",_XLL.RISKBINOMIAL(1,U21)))</f>
        <v>#NAME?</v>
      </c>
      <c r="AF21" s="510" t="e">
        <f>IF(OR(U21="",AA21="",AB21="",AC21=""),"Data missing",_XLL.RISKPERT(AA21,AB21,AC21,_XLL.RISKNAME("Risk ID"&amp;B21),_XLL.RISKCOLLECT()))</f>
        <v>#NAME?</v>
      </c>
      <c r="AG21" s="511" t="e">
        <f t="shared" si="10"/>
        <v>#NAME?</v>
      </c>
      <c r="AH21" s="522" t="s">
        <v>580</v>
      </c>
      <c r="AI21" s="26"/>
      <c r="AJ21" s="34">
        <f t="shared" si="2"/>
        <v>0</v>
      </c>
      <c r="AK21" s="35" t="e">
        <f t="shared" si="2"/>
        <v>#NAME?</v>
      </c>
      <c r="AL21" s="35">
        <f t="shared" si="2"/>
        <v>0</v>
      </c>
      <c r="AM21" s="35">
        <f t="shared" si="2"/>
        <v>0</v>
      </c>
      <c r="AN21" s="35">
        <f t="shared" si="2"/>
        <v>0</v>
      </c>
      <c r="AO21" s="36">
        <f t="shared" si="2"/>
        <v>0</v>
      </c>
      <c r="AP21" s="37" t="e">
        <f t="shared" si="11"/>
        <v>#NAME?</v>
      </c>
      <c r="AR21" s="229"/>
      <c r="AS21" s="88"/>
      <c r="AT21" s="288">
        <f t="shared" si="3"/>
        <v>0</v>
      </c>
      <c r="AU21" s="191">
        <v>1</v>
      </c>
      <c r="AV21" s="192">
        <v>2</v>
      </c>
      <c r="AW21" s="193">
        <v>4</v>
      </c>
      <c r="AX21" s="71" t="e">
        <f>IF(AY21="Data missing","Data missing",IF(OR(AT21="",AU21="",AV21="",AW21=""),"",_XLL.RISKBINOMIAL(1,AT21)))</f>
        <v>#NAME?</v>
      </c>
      <c r="AY21" s="95" t="e">
        <f>IF(OR(AT21="",AU21="",AV21="",AW21=""),"Data missing",_XLL.RISKPERT(AU21,AV21,AW21))</f>
        <v>#NAME?</v>
      </c>
      <c r="AZ21" s="96" t="e">
        <f t="shared" si="4"/>
        <v>#NAME?</v>
      </c>
      <c r="BB21" s="283">
        <f t="shared" si="5"/>
        <v>0</v>
      </c>
      <c r="BC21" s="289" t="e">
        <f t="shared" si="5"/>
        <v>#NAME?</v>
      </c>
      <c r="BD21" s="289">
        <f t="shared" si="5"/>
        <v>0</v>
      </c>
      <c r="BE21" s="284">
        <f t="shared" si="6"/>
        <v>0</v>
      </c>
      <c r="BF21" s="284">
        <f t="shared" si="6"/>
        <v>0</v>
      </c>
      <c r="BG21" s="285">
        <f t="shared" si="6"/>
        <v>0</v>
      </c>
      <c r="BH21" s="286" t="e">
        <f t="shared" si="7"/>
        <v>#NAME?</v>
      </c>
    </row>
    <row r="22" spans="1:60" s="27" customFormat="1" ht="90">
      <c r="A22" s="165">
        <v>3</v>
      </c>
      <c r="B22" s="521">
        <v>5</v>
      </c>
      <c r="C22" s="496"/>
      <c r="D22" s="497" t="s">
        <v>421</v>
      </c>
      <c r="E22" s="496" t="s">
        <v>420</v>
      </c>
      <c r="F22" s="498" t="s">
        <v>322</v>
      </c>
      <c r="G22" s="498"/>
      <c r="H22" s="498" t="s">
        <v>190</v>
      </c>
      <c r="I22" s="498" t="s">
        <v>520</v>
      </c>
      <c r="J22" s="499" t="s">
        <v>26</v>
      </c>
      <c r="K22" s="499" t="s">
        <v>23</v>
      </c>
      <c r="L22" s="499" t="s">
        <v>26</v>
      </c>
      <c r="M22" s="500" t="str">
        <f t="shared" si="1"/>
        <v>VH</v>
      </c>
      <c r="N22" s="501" t="str">
        <f>IF(M22="Data missing","Data missing",IF(M22="VH","H",(IF(M22="H",HLOOKUP(J22,'3 - Prioritisation'!$D$16:$H$21,3,FALSE),IF(M22="M",HLOOKUP(J22,'3 - Prioritisation'!$D$16:$H$21,4,FALSE),IF(M22="L",HLOOKUP(J22,'3 - Prioritisation'!$D$16:$H$21,5,FALSE),IF(M22="VL",HLOOKUP(J22,'3 - Prioritisation'!$D$16:$H$21,6,FALSE))))))))</f>
        <v>H</v>
      </c>
      <c r="O22" s="502"/>
      <c r="P22" s="503" t="s">
        <v>593</v>
      </c>
      <c r="Q22" s="503" t="s">
        <v>561</v>
      </c>
      <c r="R22" s="504"/>
      <c r="S22" s="499"/>
      <c r="T22" s="505"/>
      <c r="U22" s="506">
        <v>0.1</v>
      </c>
      <c r="V22" s="499" t="s">
        <v>140</v>
      </c>
      <c r="W22" s="708" t="s">
        <v>25</v>
      </c>
      <c r="X22" s="499" t="s">
        <v>26</v>
      </c>
      <c r="Y22" s="500" t="str">
        <f t="shared" si="8"/>
        <v>VH</v>
      </c>
      <c r="Z22" s="731" t="str">
        <f>IF(Y22="Data missing","Data missing",IF(Y22="VH","H",(IF(Y22="H",HLOOKUP(V22,'3 - Prioritisation'!$D$16:$H$21,3,FALSE),IF(Y22="M",HLOOKUP(V22,'3 - Prioritisation'!$D$16:$H$21,4,FALSE),IF(Y22="L",HLOOKUP(V22,'3 - Prioritisation'!$D$16:$H$21,5,FALSE),IF(Y22="VL",HLOOKUP(V22,'3 - Prioritisation'!$D$16:$H$21,6,FALSE))))))))</f>
        <v>H</v>
      </c>
      <c r="AA22" s="507">
        <f>4*140000</f>
        <v>560000</v>
      </c>
      <c r="AB22" s="507">
        <f>12*140000</f>
        <v>1680000</v>
      </c>
      <c r="AC22" s="507">
        <f>16*114000</f>
        <v>1824000</v>
      </c>
      <c r="AD22" s="508">
        <f t="shared" si="9"/>
        <v>168000</v>
      </c>
      <c r="AE22" s="509" t="e">
        <f>IF(AF22="Data missing","Data missing",IF(OR(U22="",AA22="",AB22="",AC22=""),"",_XLL.RISKBINOMIAL(1,U22)))</f>
        <v>#NAME?</v>
      </c>
      <c r="AF22" s="510" t="e">
        <f>IF(OR(U22="",AA22="",AB22="",AC22=""),"Data missing",_XLL.RISKPERT(AA22,AB22,AC22,_XLL.RISKNAME("Risk ID"&amp;B22),_XLL.RISKCOLLECT()))</f>
        <v>#NAME?</v>
      </c>
      <c r="AG22" s="511" t="e">
        <f t="shared" si="10"/>
        <v>#NAME?</v>
      </c>
      <c r="AH22" s="522" t="s">
        <v>665</v>
      </c>
      <c r="AI22" s="26"/>
      <c r="AJ22" s="34" t="e">
        <f t="shared" si="2"/>
        <v>#NAME?</v>
      </c>
      <c r="AK22" s="35">
        <f t="shared" si="2"/>
        <v>0</v>
      </c>
      <c r="AL22" s="35">
        <f t="shared" si="2"/>
        <v>0</v>
      </c>
      <c r="AM22" s="35">
        <f t="shared" si="2"/>
        <v>0</v>
      </c>
      <c r="AN22" s="35">
        <f t="shared" si="2"/>
        <v>0</v>
      </c>
      <c r="AO22" s="36">
        <f t="shared" si="2"/>
        <v>0</v>
      </c>
      <c r="AP22" s="37" t="e">
        <f t="shared" si="11"/>
        <v>#NAME?</v>
      </c>
      <c r="AR22" s="229"/>
      <c r="AS22" s="88"/>
      <c r="AT22" s="288">
        <f t="shared" si="3"/>
        <v>0</v>
      </c>
      <c r="AU22" s="191">
        <v>1</v>
      </c>
      <c r="AV22" s="192">
        <v>4</v>
      </c>
      <c r="AW22" s="193">
        <v>6</v>
      </c>
      <c r="AX22" s="71" t="e">
        <f>IF(AY22="Data missing","Data missing",IF(OR(AT22="",AU22="",AV22="",AW22=""),"",_XLL.RISKBINOMIAL(1,AT22)))</f>
        <v>#NAME?</v>
      </c>
      <c r="AY22" s="95" t="e">
        <f>IF(OR(AT22="",AU22="",AV22="",AW22=""),"Data missing",_XLL.RISKPERT(AU22,AV22,AW22))</f>
        <v>#NAME?</v>
      </c>
      <c r="AZ22" s="96" t="e">
        <f t="shared" si="4"/>
        <v>#NAME?</v>
      </c>
      <c r="BB22" s="283" t="e">
        <f t="shared" si="5"/>
        <v>#NAME?</v>
      </c>
      <c r="BC22" s="289">
        <f t="shared" si="5"/>
        <v>0</v>
      </c>
      <c r="BD22" s="289">
        <f t="shared" si="5"/>
        <v>0</v>
      </c>
      <c r="BE22" s="284">
        <f t="shared" si="6"/>
        <v>0</v>
      </c>
      <c r="BF22" s="284">
        <f t="shared" si="6"/>
        <v>0</v>
      </c>
      <c r="BG22" s="285">
        <f t="shared" si="6"/>
        <v>0</v>
      </c>
      <c r="BH22" s="286" t="e">
        <f t="shared" si="7"/>
        <v>#NAME?</v>
      </c>
    </row>
    <row r="23" spans="1:60" s="27" customFormat="1" ht="78" customHeight="1">
      <c r="A23" s="165">
        <v>4</v>
      </c>
      <c r="B23" s="521">
        <v>6</v>
      </c>
      <c r="C23" s="496"/>
      <c r="D23" s="497" t="s">
        <v>422</v>
      </c>
      <c r="E23" s="496" t="s">
        <v>392</v>
      </c>
      <c r="F23" s="498" t="s">
        <v>322</v>
      </c>
      <c r="G23" s="498"/>
      <c r="H23" s="498" t="s">
        <v>13</v>
      </c>
      <c r="I23" s="498" t="s">
        <v>547</v>
      </c>
      <c r="J23" s="499" t="s">
        <v>24</v>
      </c>
      <c r="K23" s="499" t="s">
        <v>23</v>
      </c>
      <c r="L23" s="499" t="s">
        <v>26</v>
      </c>
      <c r="M23" s="500" t="str">
        <f t="shared" si="1"/>
        <v>VH</v>
      </c>
      <c r="N23" s="501" t="str">
        <f>IF(M23="Data missing","Data missing",IF(M23="VH","H",(IF(M23="H",HLOOKUP(J23,'3 - Prioritisation'!$D$16:$H$21,3,FALSE),IF(M23="M",HLOOKUP(J23,'3 - Prioritisation'!$D$16:$H$21,4,FALSE),IF(M23="L",HLOOKUP(J23,'3 - Prioritisation'!$D$16:$H$21,5,FALSE),IF(M23="VL",HLOOKUP(J23,'3 - Prioritisation'!$D$16:$H$21,6,FALSE))))))))</f>
        <v>H</v>
      </c>
      <c r="O23" s="502"/>
      <c r="P23" s="503" t="s">
        <v>521</v>
      </c>
      <c r="Q23" s="503" t="s">
        <v>423</v>
      </c>
      <c r="R23" s="504"/>
      <c r="S23" s="499"/>
      <c r="T23" s="505"/>
      <c r="U23" s="506">
        <v>0.5</v>
      </c>
      <c r="V23" s="499" t="s">
        <v>24</v>
      </c>
      <c r="W23" s="499" t="s">
        <v>23</v>
      </c>
      <c r="X23" s="499" t="s">
        <v>23</v>
      </c>
      <c r="Y23" s="500" t="str">
        <f t="shared" si="8"/>
        <v>L</v>
      </c>
      <c r="Z23" s="731" t="str">
        <f>IF(Y23="Data missing","Data missing",IF(Y23="VH","H",(IF(Y23="H",HLOOKUP(V23,'3 - Prioritisation'!$D$16:$H$21,3,FALSE),IF(Y23="M",HLOOKUP(V23,'3 - Prioritisation'!$D$16:$H$21,4,FALSE),IF(Y23="L",HLOOKUP(V23,'3 - Prioritisation'!$D$16:$H$21,5,FALSE),IF(Y23="VL",HLOOKUP(V23,'3 - Prioritisation'!$D$16:$H$21,6,FALSE))))))))</f>
        <v>L</v>
      </c>
      <c r="AA23" s="507">
        <v>25000</v>
      </c>
      <c r="AB23" s="507">
        <v>50000</v>
      </c>
      <c r="AC23" s="507">
        <v>75000</v>
      </c>
      <c r="AD23" s="508">
        <f t="shared" si="9"/>
        <v>25000</v>
      </c>
      <c r="AE23" s="509" t="e">
        <f>IF(AF23="Data missing","Data missing",IF(OR(U23="",AA23="",AB23="",AC23=""),"",_XLL.RISKBINOMIAL(1,U23)))</f>
        <v>#NAME?</v>
      </c>
      <c r="AF23" s="510" t="e">
        <f>IF(OR(U23="",AA23="",AB23="",AC23=""),"Data missing",_XLL.RISKPERT(AA23,AB23,AC23,_XLL.RISKNAME("Risk ID"&amp;B23),_XLL.RISKCOLLECT()))</f>
        <v>#NAME?</v>
      </c>
      <c r="AG23" s="511" t="e">
        <f t="shared" si="10"/>
        <v>#NAME?</v>
      </c>
      <c r="AH23" s="522" t="s">
        <v>696</v>
      </c>
      <c r="AI23" s="26"/>
      <c r="AJ23" s="34">
        <f t="shared" si="2"/>
        <v>0</v>
      </c>
      <c r="AK23" s="35" t="e">
        <f t="shared" si="2"/>
        <v>#NAME?</v>
      </c>
      <c r="AL23" s="35">
        <f t="shared" si="2"/>
        <v>0</v>
      </c>
      <c r="AM23" s="35">
        <f t="shared" si="2"/>
        <v>0</v>
      </c>
      <c r="AN23" s="35">
        <f t="shared" si="2"/>
        <v>0</v>
      </c>
      <c r="AO23" s="36">
        <f t="shared" si="2"/>
        <v>0</v>
      </c>
      <c r="AP23" s="37" t="e">
        <f t="shared" si="11"/>
        <v>#NAME?</v>
      </c>
      <c r="AR23" s="229"/>
      <c r="AS23" s="88"/>
      <c r="AT23" s="288">
        <f t="shared" si="3"/>
        <v>0</v>
      </c>
      <c r="AU23" s="191">
        <v>1</v>
      </c>
      <c r="AV23" s="192">
        <v>3</v>
      </c>
      <c r="AW23" s="193">
        <v>5</v>
      </c>
      <c r="AX23" s="71" t="e">
        <f>IF(AY23="Data missing","Data missing",IF(OR(AT23="",AU23="",AV23="",AW23=""),"",_XLL.RISKBINOMIAL(1,AT23)))</f>
        <v>#NAME?</v>
      </c>
      <c r="AY23" s="95" t="e">
        <f>IF(OR(AT23="",AU23="",AV23="",AW23=""),"Data missing",_XLL.RISKPERT(AU23,AV23,AW23))</f>
        <v>#NAME?</v>
      </c>
      <c r="AZ23" s="96" t="e">
        <f t="shared" si="4"/>
        <v>#NAME?</v>
      </c>
      <c r="BB23" s="283">
        <f t="shared" si="5"/>
        <v>0</v>
      </c>
      <c r="BC23" s="289" t="e">
        <f t="shared" si="5"/>
        <v>#NAME?</v>
      </c>
      <c r="BD23" s="289">
        <f t="shared" si="5"/>
        <v>0</v>
      </c>
      <c r="BE23" s="284">
        <f t="shared" si="6"/>
        <v>0</v>
      </c>
      <c r="BF23" s="284">
        <f t="shared" si="6"/>
        <v>0</v>
      </c>
      <c r="BG23" s="285">
        <f t="shared" si="6"/>
        <v>0</v>
      </c>
      <c r="BH23" s="286" t="e">
        <f t="shared" si="7"/>
        <v>#NAME?</v>
      </c>
    </row>
    <row r="24" spans="1:60" s="27" customFormat="1" ht="72" customHeight="1">
      <c r="A24" s="165">
        <v>5</v>
      </c>
      <c r="B24" s="521">
        <v>7</v>
      </c>
      <c r="C24" s="496"/>
      <c r="D24" s="497" t="s">
        <v>623</v>
      </c>
      <c r="E24" s="496" t="s">
        <v>393</v>
      </c>
      <c r="F24" s="498" t="s">
        <v>322</v>
      </c>
      <c r="G24" s="498"/>
      <c r="H24" s="498" t="s">
        <v>190</v>
      </c>
      <c r="I24" s="498" t="s">
        <v>548</v>
      </c>
      <c r="J24" s="499" t="s">
        <v>26</v>
      </c>
      <c r="K24" s="499" t="s">
        <v>25</v>
      </c>
      <c r="L24" s="499" t="s">
        <v>24</v>
      </c>
      <c r="M24" s="500" t="str">
        <f t="shared" si="1"/>
        <v>H</v>
      </c>
      <c r="N24" s="501" t="str">
        <f>IF(M24="Data missing","Data missing",IF(M24="VH","H",(IF(M24="H",HLOOKUP(J24,'3 - Prioritisation'!$D$16:$H$21,3,FALSE),IF(M24="M",HLOOKUP(J24,'3 - Prioritisation'!$D$16:$H$21,4,FALSE),IF(M24="L",HLOOKUP(J24,'3 - Prioritisation'!$D$16:$H$21,5,FALSE),IF(M24="VL",HLOOKUP(J24,'3 - Prioritisation'!$D$16:$H$21,6,FALSE))))))))</f>
        <v>H</v>
      </c>
      <c r="O24" s="502"/>
      <c r="P24" s="503" t="s">
        <v>652</v>
      </c>
      <c r="Q24" s="503" t="s">
        <v>697</v>
      </c>
      <c r="R24" s="504"/>
      <c r="S24" s="499"/>
      <c r="T24" s="505"/>
      <c r="U24" s="706">
        <v>0.5</v>
      </c>
      <c r="V24" s="708" t="s">
        <v>24</v>
      </c>
      <c r="W24" s="708" t="s">
        <v>24</v>
      </c>
      <c r="X24" s="708" t="s">
        <v>24</v>
      </c>
      <c r="Y24" s="500" t="str">
        <f t="shared" si="8"/>
        <v>M</v>
      </c>
      <c r="Z24" s="731" t="str">
        <f>IF(Y24="Data missing","Data missing",IF(Y24="VH","H",(IF(Y24="H",HLOOKUP(V24,'3 - Prioritisation'!$D$16:$H$21,3,FALSE),IF(Y24="M",HLOOKUP(V24,'3 - Prioritisation'!$D$16:$H$21,4,FALSE),IF(Y24="L",HLOOKUP(V24,'3 - Prioritisation'!$D$16:$H$21,5,FALSE),IF(Y24="VL",HLOOKUP(V24,'3 - Prioritisation'!$D$16:$H$21,6,FALSE))))))))</f>
        <v>M</v>
      </c>
      <c r="AA24" s="507">
        <f>1*140000</f>
        <v>140000</v>
      </c>
      <c r="AB24" s="507">
        <f>4*140000</f>
        <v>560000</v>
      </c>
      <c r="AC24" s="507">
        <f>8*140000</f>
        <v>1120000</v>
      </c>
      <c r="AD24" s="508">
        <f t="shared" si="9"/>
        <v>280000</v>
      </c>
      <c r="AE24" s="509" t="e">
        <f>IF(AF24="Data missing","Data missing",IF(OR(U24="",AA24="",AB24="",AC24=""),"",_XLL.RISKBINOMIAL(1,U24)))</f>
        <v>#NAME?</v>
      </c>
      <c r="AF24" s="510" t="e">
        <f>IF(OR(U24="",AA24="",AB24="",AC24=""),"Data missing",_XLL.RISKPERT(AA24,AB24,AC24,_XLL.RISKNAME("Risk ID"&amp;B24),_XLL.RISKCOLLECT()))</f>
        <v>#NAME?</v>
      </c>
      <c r="AG24" s="511" t="e">
        <f t="shared" si="10"/>
        <v>#NAME?</v>
      </c>
      <c r="AH24" s="522" t="s">
        <v>584</v>
      </c>
      <c r="AI24" s="26"/>
      <c r="AJ24" s="386" t="e">
        <f t="shared" si="2"/>
        <v>#NAME?</v>
      </c>
      <c r="AK24" s="387">
        <f t="shared" si="2"/>
        <v>0</v>
      </c>
      <c r="AL24" s="387">
        <f t="shared" si="2"/>
        <v>0</v>
      </c>
      <c r="AM24" s="387">
        <f t="shared" si="2"/>
        <v>0</v>
      </c>
      <c r="AN24" s="387">
        <f t="shared" si="2"/>
        <v>0</v>
      </c>
      <c r="AO24" s="388">
        <f t="shared" si="2"/>
        <v>0</v>
      </c>
      <c r="AP24" s="389" t="e">
        <f t="shared" si="11"/>
        <v>#NAME?</v>
      </c>
      <c r="AR24" s="385"/>
      <c r="AS24" s="363"/>
      <c r="AT24" s="288">
        <f>IF(AS24="Yes",U24,0)</f>
        <v>0</v>
      </c>
      <c r="AU24" s="382">
        <v>2</v>
      </c>
      <c r="AV24" s="383">
        <v>4</v>
      </c>
      <c r="AW24" s="384">
        <v>8</v>
      </c>
      <c r="AX24" s="364" t="e">
        <f>IF(AY24="Data missing","Data missing",IF(OR(AT24="",AU24="",AV24="",AW24=""),"",_XLL.RISKBINOMIAL(1,AT24)))</f>
        <v>#NAME?</v>
      </c>
      <c r="AY24" s="396" t="e">
        <f>IF(OR(AT24="",AU24="",AV24="",AW24=""),"Data missing",_XLL.RISKPERT(AU24,AV24,AW24))</f>
        <v>#NAME?</v>
      </c>
      <c r="AZ24" s="397" t="e">
        <f>IF(AY24="Data missing","Data missing",IF(OR(AT24="",AU24="",AV24="",AW24=""),"",AX24*AY24))</f>
        <v>#NAME?</v>
      </c>
      <c r="BB24" s="407" t="e">
        <f t="shared" si="5"/>
        <v>#NAME?</v>
      </c>
      <c r="BC24" s="338">
        <f t="shared" si="5"/>
        <v>0</v>
      </c>
      <c r="BD24" s="338">
        <f t="shared" si="5"/>
        <v>0</v>
      </c>
      <c r="BE24" s="408">
        <f t="shared" si="6"/>
        <v>0</v>
      </c>
      <c r="BF24" s="408">
        <f t="shared" si="6"/>
        <v>0</v>
      </c>
      <c r="BG24" s="409">
        <f t="shared" si="6"/>
        <v>0</v>
      </c>
      <c r="BH24" s="410" t="e">
        <f>SUM(BB24:BG24)</f>
        <v>#NAME?</v>
      </c>
    </row>
    <row r="25" spans="1:60" s="27" customFormat="1" ht="64.5" customHeight="1">
      <c r="A25" s="165" t="s">
        <v>624</v>
      </c>
      <c r="B25" s="521">
        <v>8</v>
      </c>
      <c r="C25" s="496"/>
      <c r="D25" s="679" t="s">
        <v>625</v>
      </c>
      <c r="E25" s="680" t="s">
        <v>394</v>
      </c>
      <c r="F25" s="498" t="s">
        <v>322</v>
      </c>
      <c r="G25" s="498"/>
      <c r="H25" s="498" t="s">
        <v>190</v>
      </c>
      <c r="I25" s="707" t="s">
        <v>653</v>
      </c>
      <c r="J25" s="708"/>
      <c r="K25" s="708"/>
      <c r="L25" s="708"/>
      <c r="M25" s="500" t="str">
        <f t="shared" si="1"/>
        <v>Data missing</v>
      </c>
      <c r="N25" s="501" t="str">
        <f>IF(M25="Data missing","Data missing",IF(M25="VH","H",(IF(M25="H",HLOOKUP(J25,'3 - Prioritisation'!$D$16:$H$21,3,FALSE),IF(M25="M",HLOOKUP(J25,'3 - Prioritisation'!$D$16:$H$21,4,FALSE),IF(M25="L",HLOOKUP(J25,'3 - Prioritisation'!$D$16:$H$21,5,FALSE),IF(M25="VL",HLOOKUP(J25,'3 - Prioritisation'!$D$16:$H$21,6,FALSE))))))))</f>
        <v>Data missing</v>
      </c>
      <c r="O25" s="710"/>
      <c r="P25" s="711" t="s">
        <v>654</v>
      </c>
      <c r="Q25" s="711" t="s">
        <v>655</v>
      </c>
      <c r="R25" s="667"/>
      <c r="S25" s="565"/>
      <c r="T25" s="668"/>
      <c r="U25" s="706">
        <v>0.5</v>
      </c>
      <c r="V25" s="708" t="s">
        <v>24</v>
      </c>
      <c r="W25" s="708" t="s">
        <v>24</v>
      </c>
      <c r="X25" s="708" t="s">
        <v>23</v>
      </c>
      <c r="Y25" s="500" t="str">
        <f t="shared" si="8"/>
        <v>M</v>
      </c>
      <c r="Z25" s="731" t="str">
        <f>IF(Y25="Data missing","Data missing",IF(Y25="VH","H",(IF(Y25="H",HLOOKUP(V25,'3 - Prioritisation'!$D$16:$H$21,3,FALSE),IF(Y25="M",HLOOKUP(V25,'3 - Prioritisation'!$D$16:$H$21,4,FALSE),IF(Y25="L",HLOOKUP(V25,'3 - Prioritisation'!$D$16:$H$21,5,FALSE),IF(Y25="VL",HLOOKUP(V25,'3 - Prioritisation'!$D$16:$H$21,6,FALSE))))))))</f>
        <v>M</v>
      </c>
      <c r="AA25" s="741">
        <v>100000</v>
      </c>
      <c r="AB25" s="741">
        <v>500000</v>
      </c>
      <c r="AC25" s="741">
        <v>1000000</v>
      </c>
      <c r="AD25" s="508">
        <f t="shared" si="9"/>
        <v>250000</v>
      </c>
      <c r="AE25" s="509" t="e">
        <f>IF(AF25="Data missing","Data missing",IF(OR(U25="",AA25="",AB25="",AC25=""),"",_XLL.RISKBINOMIAL(1,U25)))</f>
        <v>#NAME?</v>
      </c>
      <c r="AF25" s="510" t="e">
        <f>IF(OR(U25="",AA25="",AB25="",AC25=""),"Data missing",_XLL.RISKPERT(AA25,AB25,AC25,_XLL.RISKNAME("Risk ID"&amp;B25),_XLL.RISKCOLLECT()))</f>
        <v>#NAME?</v>
      </c>
      <c r="AG25" s="511" t="e">
        <f t="shared" si="10"/>
        <v>#NAME?</v>
      </c>
      <c r="AH25" s="522" t="s">
        <v>666</v>
      </c>
      <c r="AI25" s="26"/>
      <c r="AJ25" s="34" t="e">
        <f t="shared" si="2"/>
        <v>#NAME?</v>
      </c>
      <c r="AK25" s="35">
        <f t="shared" si="2"/>
        <v>0</v>
      </c>
      <c r="AL25" s="35">
        <f t="shared" si="2"/>
        <v>0</v>
      </c>
      <c r="AM25" s="35">
        <f t="shared" si="2"/>
        <v>0</v>
      </c>
      <c r="AN25" s="35">
        <f t="shared" si="2"/>
        <v>0</v>
      </c>
      <c r="AO25" s="36">
        <f t="shared" si="2"/>
        <v>0</v>
      </c>
      <c r="AP25" s="37" t="e">
        <f t="shared" si="11"/>
        <v>#NAME?</v>
      </c>
      <c r="AR25" s="229"/>
      <c r="AS25" s="88"/>
      <c r="AT25" s="288">
        <f>IF(AS25="Yes",U25,0)</f>
        <v>0</v>
      </c>
      <c r="AU25" s="191">
        <v>2</v>
      </c>
      <c r="AV25" s="192">
        <v>5</v>
      </c>
      <c r="AW25" s="193">
        <v>8</v>
      </c>
      <c r="AX25" s="71" t="e">
        <f>IF(AY25="Data missing","Data missing",IF(OR(AT25="",AU25="",AV25="",AW25=""),"",_XLL.RISKBINOMIAL(1,AT25)))</f>
        <v>#NAME?</v>
      </c>
      <c r="AY25" s="95" t="e">
        <f>IF(OR(AT25="",AU25="",AV25="",AW25=""),"Data missing",_XLL.RISKPERT(AU25,AV25,AW25))</f>
        <v>#NAME?</v>
      </c>
      <c r="AZ25" s="96" t="e">
        <f>IF(AY25="Data missing","Data missing",IF(OR(AT25="",AU25="",AV25="",AW25=""),"",AX25*AY25))</f>
        <v>#NAME?</v>
      </c>
      <c r="BB25" s="283" t="e">
        <f t="shared" si="5"/>
        <v>#NAME?</v>
      </c>
      <c r="BC25" s="289">
        <f t="shared" si="5"/>
        <v>0</v>
      </c>
      <c r="BD25" s="289">
        <f t="shared" si="5"/>
        <v>0</v>
      </c>
      <c r="BE25" s="284">
        <f t="shared" si="6"/>
        <v>0</v>
      </c>
      <c r="BF25" s="284">
        <f t="shared" si="6"/>
        <v>0</v>
      </c>
      <c r="BG25" s="285">
        <f t="shared" si="6"/>
        <v>0</v>
      </c>
      <c r="BH25" s="286" t="e">
        <f>SUM(BB25:BG25)</f>
        <v>#NAME?</v>
      </c>
    </row>
    <row r="26" spans="1:60" s="27" customFormat="1" ht="64.5" customHeight="1">
      <c r="A26" s="165">
        <v>6</v>
      </c>
      <c r="B26" s="521">
        <v>9</v>
      </c>
      <c r="C26" s="496"/>
      <c r="D26" s="497" t="s">
        <v>603</v>
      </c>
      <c r="E26" s="496" t="s">
        <v>393</v>
      </c>
      <c r="F26" s="498" t="s">
        <v>322</v>
      </c>
      <c r="G26" s="567"/>
      <c r="H26" s="498" t="s">
        <v>190</v>
      </c>
      <c r="I26" s="498"/>
      <c r="J26" s="499"/>
      <c r="K26" s="499"/>
      <c r="L26" s="499"/>
      <c r="M26" s="500" t="str">
        <f t="shared" si="1"/>
        <v>Data missing</v>
      </c>
      <c r="N26" s="501" t="str">
        <f>IF(M26="Data missing","Data missing",IF(M26="VH","H",(IF(M26="H",HLOOKUP(J26,'3 - Prioritisation'!$D$16:$H$21,3,FALSE),IF(M26="M",HLOOKUP(J26,'3 - Prioritisation'!$D$16:$H$21,4,FALSE),IF(M26="L",HLOOKUP(J26,'3 - Prioritisation'!$D$16:$H$21,5,FALSE),IF(M26="VL",HLOOKUP(J26,'3 - Prioritisation'!$D$16:$H$21,6,FALSE))))))))</f>
        <v>Data missing</v>
      </c>
      <c r="O26" s="502"/>
      <c r="P26" s="503" t="s">
        <v>396</v>
      </c>
      <c r="Q26" s="503" t="s">
        <v>424</v>
      </c>
      <c r="R26" s="504"/>
      <c r="S26" s="499"/>
      <c r="T26" s="505"/>
      <c r="U26" s="506">
        <v>0.8</v>
      </c>
      <c r="V26" s="499" t="s">
        <v>26</v>
      </c>
      <c r="W26" s="499" t="s">
        <v>23</v>
      </c>
      <c r="X26" s="499" t="s">
        <v>24</v>
      </c>
      <c r="Y26" s="500" t="str">
        <f t="shared" si="8"/>
        <v>M</v>
      </c>
      <c r="Z26" s="731" t="str">
        <f>IF(Y26="Data missing","Data missing",IF(Y26="VH","H",(IF(Y26="H",HLOOKUP(V26,'3 - Prioritisation'!$D$16:$H$21,3,FALSE),IF(Y26="M",HLOOKUP(V26,'3 - Prioritisation'!$D$16:$H$21,4,FALSE),IF(Y26="L",HLOOKUP(V26,'3 - Prioritisation'!$D$16:$H$21,5,FALSE),IF(Y26="VL",HLOOKUP(V26,'3 - Prioritisation'!$D$16:$H$21,6,FALSE))))))))</f>
        <v>H</v>
      </c>
      <c r="AA26" s="507">
        <f>4*7500</f>
        <v>30000</v>
      </c>
      <c r="AB26" s="507">
        <f>8*7500</f>
        <v>60000</v>
      </c>
      <c r="AC26" s="507">
        <f>16*7500</f>
        <v>120000</v>
      </c>
      <c r="AD26" s="508">
        <f t="shared" si="9"/>
        <v>48000</v>
      </c>
      <c r="AE26" s="509" t="e">
        <f>IF(AF26="Data missing","Data missing",IF(OR(U26="",AA26="",AB26="",AC26=""),"",_XLL.RISKBINOMIAL(1,U26)))</f>
        <v>#NAME?</v>
      </c>
      <c r="AF26" s="510" t="e">
        <f>IF(OR(U26="",AA26="",AB26="",AC26=""),"Data missing",_XLL.RISKPERT(AA26,AB26,AC26,_XLL.RISKNAME("Risk ID"&amp;B26),_XLL.RISKCOLLECT()))</f>
        <v>#NAME?</v>
      </c>
      <c r="AG26" s="511" t="e">
        <f t="shared" si="10"/>
        <v>#NAME?</v>
      </c>
      <c r="AH26" s="522" t="s">
        <v>585</v>
      </c>
      <c r="AI26" s="26"/>
      <c r="AJ26" s="386" t="e">
        <f t="shared" si="2"/>
        <v>#NAME?</v>
      </c>
      <c r="AK26" s="387">
        <f t="shared" si="2"/>
        <v>0</v>
      </c>
      <c r="AL26" s="387">
        <f t="shared" si="2"/>
        <v>0</v>
      </c>
      <c r="AM26" s="387">
        <f t="shared" si="2"/>
        <v>0</v>
      </c>
      <c r="AN26" s="387">
        <f t="shared" si="2"/>
        <v>0</v>
      </c>
      <c r="AO26" s="388">
        <f t="shared" si="2"/>
        <v>0</v>
      </c>
      <c r="AP26" s="389" t="e">
        <f t="shared" si="11"/>
        <v>#NAME?</v>
      </c>
      <c r="AR26" s="385"/>
      <c r="AS26" s="363"/>
      <c r="AT26" s="288">
        <f aca="true" t="shared" si="12" ref="AT26:AT32">IF(AS26="Yes",U26,0)</f>
        <v>0</v>
      </c>
      <c r="AU26" s="382">
        <v>2</v>
      </c>
      <c r="AV26" s="383">
        <v>4</v>
      </c>
      <c r="AW26" s="384">
        <v>8</v>
      </c>
      <c r="AX26" s="364" t="e">
        <f>IF(AY26="Data missing","Data missing",IF(OR(AT26="",AU26="",AV26="",AW26=""),"",_XLL.RISKBINOMIAL(1,AT26)))</f>
        <v>#NAME?</v>
      </c>
      <c r="AY26" s="396" t="e">
        <f>IF(OR(AT26="",AU26="",AV26="",AW26=""),"Data missing",_XLL.RISKPERT(AU26,AV26,AW26))</f>
        <v>#NAME?</v>
      </c>
      <c r="AZ26" s="397" t="e">
        <f aca="true" t="shared" si="13" ref="AZ26:AZ32">IF(AY26="Data missing","Data missing",IF(OR(AT26="",AU26="",AV26="",AW26=""),"",AX26*AY26))</f>
        <v>#NAME?</v>
      </c>
      <c r="BB26" s="407" t="e">
        <f t="shared" si="5"/>
        <v>#NAME?</v>
      </c>
      <c r="BC26" s="338">
        <f t="shared" si="5"/>
        <v>0</v>
      </c>
      <c r="BD26" s="338">
        <f t="shared" si="5"/>
        <v>0</v>
      </c>
      <c r="BE26" s="408">
        <f t="shared" si="6"/>
        <v>0</v>
      </c>
      <c r="BF26" s="408">
        <f t="shared" si="6"/>
        <v>0</v>
      </c>
      <c r="BG26" s="409">
        <f t="shared" si="6"/>
        <v>0</v>
      </c>
      <c r="BH26" s="410" t="e">
        <f aca="true" t="shared" si="14" ref="BH26:BH32">SUM(BB26:BG26)</f>
        <v>#NAME?</v>
      </c>
    </row>
    <row r="27" spans="1:60" s="27" customFormat="1" ht="64.5" customHeight="1">
      <c r="A27" s="165">
        <v>7</v>
      </c>
      <c r="B27" s="521">
        <v>10</v>
      </c>
      <c r="C27" s="496"/>
      <c r="D27" s="679" t="s">
        <v>626</v>
      </c>
      <c r="E27" s="496" t="s">
        <v>394</v>
      </c>
      <c r="F27" s="498" t="s">
        <v>608</v>
      </c>
      <c r="G27" s="567"/>
      <c r="H27" s="498" t="s">
        <v>190</v>
      </c>
      <c r="I27" s="498"/>
      <c r="J27" s="499" t="s">
        <v>24</v>
      </c>
      <c r="K27" s="499" t="s">
        <v>24</v>
      </c>
      <c r="L27" s="499" t="s">
        <v>24</v>
      </c>
      <c r="M27" s="500" t="str">
        <f t="shared" si="1"/>
        <v>M</v>
      </c>
      <c r="N27" s="501" t="str">
        <f>IF(M27="Data missing","Data missing",IF(M27="VH","H",(IF(M27="H",HLOOKUP(J27,'3 - Prioritisation'!$D$16:$H$21,3,FALSE),IF(M27="M",HLOOKUP(J27,'3 - Prioritisation'!$D$16:$H$21,4,FALSE),IF(M27="L",HLOOKUP(J27,'3 - Prioritisation'!$D$16:$H$21,5,FALSE),IF(M27="VL",HLOOKUP(J27,'3 - Prioritisation'!$D$16:$H$21,6,FALSE))))))))</f>
        <v>M</v>
      </c>
      <c r="O27" s="502"/>
      <c r="P27" s="503" t="s">
        <v>395</v>
      </c>
      <c r="Q27" s="503" t="s">
        <v>425</v>
      </c>
      <c r="R27" s="504"/>
      <c r="S27" s="499"/>
      <c r="T27" s="505"/>
      <c r="U27" s="506">
        <v>0</v>
      </c>
      <c r="V27" s="499" t="s">
        <v>25</v>
      </c>
      <c r="W27" s="499" t="s">
        <v>23</v>
      </c>
      <c r="X27" s="499" t="s">
        <v>24</v>
      </c>
      <c r="Y27" s="500" t="str">
        <f t="shared" si="8"/>
        <v>M</v>
      </c>
      <c r="Z27" s="731" t="str">
        <f>IF(Y27="Data missing","Data missing",IF(Y27="VH","H",(IF(Y27="H",HLOOKUP(V27,'3 - Prioritisation'!$D$16:$H$21,3,FALSE),IF(Y27="M",HLOOKUP(V27,'3 - Prioritisation'!$D$16:$H$21,4,FALSE),IF(Y27="L",HLOOKUP(V27,'3 - Prioritisation'!$D$16:$H$21,5,FALSE),IF(Y27="VL",HLOOKUP(V27,'3 - Prioritisation'!$D$16:$H$21,6,FALSE))))))))</f>
        <v>M</v>
      </c>
      <c r="AA27" s="507">
        <v>25000</v>
      </c>
      <c r="AB27" s="507">
        <v>50000</v>
      </c>
      <c r="AC27" s="507">
        <v>75000</v>
      </c>
      <c r="AD27" s="508"/>
      <c r="AE27" s="508"/>
      <c r="AF27" s="508"/>
      <c r="AG27" s="508"/>
      <c r="AH27" s="522" t="s">
        <v>568</v>
      </c>
      <c r="AI27" s="26"/>
      <c r="AJ27" s="386"/>
      <c r="AK27" s="387"/>
      <c r="AL27" s="387"/>
      <c r="AM27" s="387"/>
      <c r="AN27" s="387"/>
      <c r="AO27" s="388"/>
      <c r="AP27" s="389"/>
      <c r="AR27" s="385"/>
      <c r="AS27" s="363"/>
      <c r="AT27" s="288">
        <f t="shared" si="12"/>
        <v>0</v>
      </c>
      <c r="AU27" s="382">
        <v>2</v>
      </c>
      <c r="AV27" s="383">
        <v>4</v>
      </c>
      <c r="AW27" s="384">
        <v>8</v>
      </c>
      <c r="AX27" s="364" t="e">
        <f>IF(AY27="Data missing","Data missing",IF(OR(AT27="",AU27="",AV27="",AW27=""),"",_XLL.RISKBINOMIAL(1,AT27)))</f>
        <v>#NAME?</v>
      </c>
      <c r="AY27" s="396" t="e">
        <f>IF(OR(AT27="",AU27="",AV27="",AW27=""),"Data missing",_XLL.RISKPERT(AU27,AV27,AW27))</f>
        <v>#NAME?</v>
      </c>
      <c r="AZ27" s="397" t="e">
        <f t="shared" si="13"/>
        <v>#NAME?</v>
      </c>
      <c r="BB27" s="407" t="e">
        <f t="shared" si="5"/>
        <v>#NAME?</v>
      </c>
      <c r="BC27" s="338">
        <f t="shared" si="5"/>
        <v>0</v>
      </c>
      <c r="BD27" s="338">
        <f t="shared" si="5"/>
        <v>0</v>
      </c>
      <c r="BE27" s="408">
        <f t="shared" si="6"/>
        <v>0</v>
      </c>
      <c r="BF27" s="408">
        <f t="shared" si="6"/>
        <v>0</v>
      </c>
      <c r="BG27" s="409">
        <f t="shared" si="6"/>
        <v>0</v>
      </c>
      <c r="BH27" s="410" t="e">
        <f t="shared" si="14"/>
        <v>#NAME?</v>
      </c>
    </row>
    <row r="28" spans="1:60" s="27" customFormat="1" ht="68.25" customHeight="1">
      <c r="A28" s="165" t="s">
        <v>615</v>
      </c>
      <c r="B28" s="521">
        <v>11</v>
      </c>
      <c r="C28" s="496"/>
      <c r="D28" s="679" t="s">
        <v>627</v>
      </c>
      <c r="E28" s="680" t="s">
        <v>394</v>
      </c>
      <c r="F28" s="498" t="s">
        <v>322</v>
      </c>
      <c r="G28" s="498"/>
      <c r="H28" s="498" t="s">
        <v>190</v>
      </c>
      <c r="I28" s="707"/>
      <c r="J28" s="708"/>
      <c r="K28" s="708"/>
      <c r="L28" s="708"/>
      <c r="M28" s="500" t="str">
        <f t="shared" si="1"/>
        <v>Data missing</v>
      </c>
      <c r="N28" s="501" t="str">
        <f>IF(M28="Data missing","Data missing",IF(M28="VH","H",(IF(M28="H",HLOOKUP(J28,'3 - Prioritisation'!$D$16:$H$21,3,FALSE),IF(M28="M",HLOOKUP(J28,'3 - Prioritisation'!$D$16:$H$21,4,FALSE),IF(M28="L",HLOOKUP(J28,'3 - Prioritisation'!$D$16:$H$21,5,FALSE),IF(M28="VL",HLOOKUP(J28,'3 - Prioritisation'!$D$16:$H$21,6,FALSE))))))))</f>
        <v>Data missing</v>
      </c>
      <c r="O28" s="710"/>
      <c r="P28" s="711" t="s">
        <v>605</v>
      </c>
      <c r="Q28" s="711" t="s">
        <v>606</v>
      </c>
      <c r="R28" s="712"/>
      <c r="S28" s="708"/>
      <c r="T28" s="713"/>
      <c r="U28" s="706">
        <v>0.4</v>
      </c>
      <c r="V28" s="708" t="s">
        <v>24</v>
      </c>
      <c r="W28" s="708" t="s">
        <v>23</v>
      </c>
      <c r="X28" s="708" t="s">
        <v>24</v>
      </c>
      <c r="Y28" s="709" t="str">
        <f t="shared" si="8"/>
        <v>M</v>
      </c>
      <c r="Z28" s="731" t="str">
        <f>IF(Y28="Data missing","Data missing",IF(Y28="VH","H",(IF(Y28="H",HLOOKUP(V28,'3 - Prioritisation'!$D$16:$H$21,3,FALSE),IF(Y28="M",HLOOKUP(V28,'3 - Prioritisation'!$D$16:$H$21,4,FALSE),IF(Y28="L",HLOOKUP(V28,'3 - Prioritisation'!$D$16:$H$21,5,FALSE),IF(Y28="VL",HLOOKUP(V28,'3 - Prioritisation'!$D$16:$H$21,6,FALSE))))))))</f>
        <v>M</v>
      </c>
      <c r="AA28" s="741">
        <v>100000</v>
      </c>
      <c r="AB28" s="741">
        <v>250000</v>
      </c>
      <c r="AC28" s="741">
        <v>500000</v>
      </c>
      <c r="AD28" s="508">
        <f t="shared" si="9"/>
        <v>100000</v>
      </c>
      <c r="AE28" s="509" t="e">
        <f>IF(AF28="Data missing","Data missing",IF(OR(U28="",AA28="",AB28="",AC28=""),"",_XLL.RISKBINOMIAL(1,U28)))</f>
        <v>#NAME?</v>
      </c>
      <c r="AF28" s="510" t="e">
        <f>IF(OR(U28="",AA28="",AB28="",AC28=""),"Data missing",_XLL.RISKPERT(AA28,AB28,AC28,_XLL.RISKNAME("Risk ID"&amp;B28),_XLL.RISKCOLLECT()))</f>
        <v>#NAME?</v>
      </c>
      <c r="AG28" s="511" t="e">
        <f t="shared" si="10"/>
        <v>#NAME?</v>
      </c>
      <c r="AH28" s="522" t="s">
        <v>667</v>
      </c>
      <c r="AI28" s="26"/>
      <c r="AJ28" s="386" t="e">
        <f t="shared" si="2"/>
        <v>#NAME?</v>
      </c>
      <c r="AK28" s="387">
        <f t="shared" si="2"/>
        <v>0</v>
      </c>
      <c r="AL28" s="387">
        <f t="shared" si="2"/>
        <v>0</v>
      </c>
      <c r="AM28" s="387">
        <f t="shared" si="2"/>
        <v>0</v>
      </c>
      <c r="AN28" s="387">
        <f t="shared" si="2"/>
        <v>0</v>
      </c>
      <c r="AO28" s="388">
        <f t="shared" si="2"/>
        <v>0</v>
      </c>
      <c r="AP28" s="389" t="e">
        <f t="shared" si="11"/>
        <v>#NAME?</v>
      </c>
      <c r="AR28" s="385"/>
      <c r="AS28" s="363"/>
      <c r="AT28" s="288">
        <f t="shared" si="12"/>
        <v>0</v>
      </c>
      <c r="AU28" s="382">
        <v>2</v>
      </c>
      <c r="AV28" s="383">
        <v>4</v>
      </c>
      <c r="AW28" s="384">
        <v>8</v>
      </c>
      <c r="AX28" s="364" t="e">
        <f>IF(AY28="Data missing","Data missing",IF(OR(AT28="",AU28="",AV28="",AW28=""),"",_XLL.RISKBINOMIAL(1,AT28)))</f>
        <v>#NAME?</v>
      </c>
      <c r="AY28" s="396" t="e">
        <f>IF(OR(AT28="",AU28="",AV28="",AW28=""),"Data missing",_XLL.RISKPERT(AU28,AV28,AW28))</f>
        <v>#NAME?</v>
      </c>
      <c r="AZ28" s="397" t="e">
        <f t="shared" si="13"/>
        <v>#NAME?</v>
      </c>
      <c r="BB28" s="407" t="e">
        <f t="shared" si="5"/>
        <v>#NAME?</v>
      </c>
      <c r="BC28" s="338">
        <f t="shared" si="5"/>
        <v>0</v>
      </c>
      <c r="BD28" s="338">
        <f t="shared" si="5"/>
        <v>0</v>
      </c>
      <c r="BE28" s="408">
        <f t="shared" si="6"/>
        <v>0</v>
      </c>
      <c r="BF28" s="408">
        <f t="shared" si="6"/>
        <v>0</v>
      </c>
      <c r="BG28" s="409">
        <f t="shared" si="6"/>
        <v>0</v>
      </c>
      <c r="BH28" s="410" t="e">
        <f t="shared" si="14"/>
        <v>#NAME?</v>
      </c>
    </row>
    <row r="29" spans="1:60" s="27" customFormat="1" ht="119.25" customHeight="1">
      <c r="A29" s="165" t="s">
        <v>616</v>
      </c>
      <c r="B29" s="521">
        <v>12</v>
      </c>
      <c r="C29" s="676"/>
      <c r="D29" s="679" t="s">
        <v>628</v>
      </c>
      <c r="E29" s="680" t="s">
        <v>629</v>
      </c>
      <c r="F29" s="498" t="s">
        <v>322</v>
      </c>
      <c r="G29" s="498"/>
      <c r="H29" s="498" t="s">
        <v>190</v>
      </c>
      <c r="I29" s="707"/>
      <c r="J29" s="708"/>
      <c r="K29" s="708"/>
      <c r="L29" s="708"/>
      <c r="M29" s="500" t="str">
        <f t="shared" si="1"/>
        <v>Data missing</v>
      </c>
      <c r="N29" s="501" t="str">
        <f>IF(M29="Data missing","Data missing",IF(M29="VH","H",(IF(M29="H",HLOOKUP(J29,'3 - Prioritisation'!$D$16:$H$21,3,FALSE),IF(M29="M",HLOOKUP(J29,'3 - Prioritisation'!$D$16:$H$21,4,FALSE),IF(M29="L",HLOOKUP(J29,'3 - Prioritisation'!$D$16:$H$21,5,FALSE),IF(M29="VL",HLOOKUP(J29,'3 - Prioritisation'!$D$16:$H$21,6,FALSE))))))))</f>
        <v>Data missing</v>
      </c>
      <c r="O29" s="710"/>
      <c r="P29" s="711" t="s">
        <v>611</v>
      </c>
      <c r="Q29" s="711" t="s">
        <v>612</v>
      </c>
      <c r="R29" s="667"/>
      <c r="S29" s="565"/>
      <c r="T29" s="668"/>
      <c r="U29" s="706">
        <v>0.2</v>
      </c>
      <c r="V29" s="708" t="s">
        <v>23</v>
      </c>
      <c r="W29" s="708" t="s">
        <v>140</v>
      </c>
      <c r="X29" s="708" t="s">
        <v>23</v>
      </c>
      <c r="Y29" s="709" t="str">
        <f t="shared" si="8"/>
        <v>L</v>
      </c>
      <c r="Z29" s="731" t="str">
        <f>IF(Y29="Data missing","Data missing",IF(Y29="VH","H",(IF(Y29="H",HLOOKUP(V29,'3 - Prioritisation'!$D$16:$H$21,3,FALSE),IF(Y29="M",HLOOKUP(V29,'3 - Prioritisation'!$D$16:$H$21,4,FALSE),IF(Y29="L",HLOOKUP(V29,'3 - Prioritisation'!$D$16:$H$21,5,FALSE),IF(Y29="VL",HLOOKUP(V29,'3 - Prioritisation'!$D$16:$H$21,6,FALSE))))))))</f>
        <v>L</v>
      </c>
      <c r="AA29" s="741">
        <v>25000</v>
      </c>
      <c r="AB29" s="741">
        <v>50000</v>
      </c>
      <c r="AC29" s="741">
        <v>75000</v>
      </c>
      <c r="AD29" s="508">
        <f t="shared" si="9"/>
        <v>10000</v>
      </c>
      <c r="AE29" s="509" t="e">
        <f>IF(AF29="Data missing","Data missing",IF(OR(U29="",AA29="",AB29="",AC29=""),"",_XLL.RISKBINOMIAL(1,U29)))</f>
        <v>#NAME?</v>
      </c>
      <c r="AF29" s="510" t="e">
        <f>IF(OR(U29="",AA29="",AB29="",AC29=""),"Data missing",_XLL.RISKPERT(AA29,AB29,AC29,_XLL.RISKNAME("Risk ID"&amp;B29),_XLL.RISKCOLLECT()))</f>
        <v>#NAME?</v>
      </c>
      <c r="AG29" s="511" t="e">
        <f t="shared" si="10"/>
        <v>#NAME?</v>
      </c>
      <c r="AH29" s="522" t="s">
        <v>668</v>
      </c>
      <c r="AI29" s="26"/>
      <c r="AJ29" s="386" t="e">
        <f t="shared" si="2"/>
        <v>#NAME?</v>
      </c>
      <c r="AK29" s="387">
        <f t="shared" si="2"/>
        <v>0</v>
      </c>
      <c r="AL29" s="387">
        <f t="shared" si="2"/>
        <v>0</v>
      </c>
      <c r="AM29" s="387">
        <f t="shared" si="2"/>
        <v>0</v>
      </c>
      <c r="AN29" s="387">
        <f t="shared" si="2"/>
        <v>0</v>
      </c>
      <c r="AO29" s="388">
        <f t="shared" si="2"/>
        <v>0</v>
      </c>
      <c r="AP29" s="389" t="e">
        <f t="shared" si="11"/>
        <v>#NAME?</v>
      </c>
      <c r="AR29" s="385"/>
      <c r="AS29" s="363"/>
      <c r="AT29" s="288">
        <f t="shared" si="12"/>
        <v>0</v>
      </c>
      <c r="AU29" s="382">
        <v>2</v>
      </c>
      <c r="AV29" s="383">
        <v>4</v>
      </c>
      <c r="AW29" s="384">
        <v>8</v>
      </c>
      <c r="AX29" s="364" t="e">
        <f>IF(AY29="Data missing","Data missing",IF(OR(AT29="",AU29="",AV29="",AW29=""),"",_XLL.RISKBINOMIAL(1,AT29)))</f>
        <v>#NAME?</v>
      </c>
      <c r="AY29" s="396" t="e">
        <f>IF(OR(AT29="",AU29="",AV29="",AW29=""),"Data missing",_XLL.RISKPERT(AU29,AV29,AW29))</f>
        <v>#NAME?</v>
      </c>
      <c r="AZ29" s="397" t="e">
        <f t="shared" si="13"/>
        <v>#NAME?</v>
      </c>
      <c r="BB29" s="407" t="e">
        <f t="shared" si="5"/>
        <v>#NAME?</v>
      </c>
      <c r="BC29" s="338">
        <f t="shared" si="5"/>
        <v>0</v>
      </c>
      <c r="BD29" s="338">
        <f t="shared" si="5"/>
        <v>0</v>
      </c>
      <c r="BE29" s="408">
        <f t="shared" si="6"/>
        <v>0</v>
      </c>
      <c r="BF29" s="408">
        <f t="shared" si="6"/>
        <v>0</v>
      </c>
      <c r="BG29" s="409">
        <f t="shared" si="6"/>
        <v>0</v>
      </c>
      <c r="BH29" s="410" t="e">
        <f t="shared" si="14"/>
        <v>#NAME?</v>
      </c>
    </row>
    <row r="30" spans="1:60" s="27" customFormat="1" ht="120">
      <c r="A30" s="165">
        <v>8</v>
      </c>
      <c r="B30" s="521">
        <v>13</v>
      </c>
      <c r="C30" s="496"/>
      <c r="D30" s="677" t="s">
        <v>630</v>
      </c>
      <c r="E30" s="678" t="s">
        <v>631</v>
      </c>
      <c r="F30" s="498" t="s">
        <v>322</v>
      </c>
      <c r="G30" s="498"/>
      <c r="H30" s="498" t="s">
        <v>190</v>
      </c>
      <c r="I30" s="698"/>
      <c r="J30" s="699"/>
      <c r="K30" s="699"/>
      <c r="L30" s="699"/>
      <c r="M30" s="500" t="str">
        <f t="shared" si="1"/>
        <v>Data missing</v>
      </c>
      <c r="N30" s="501" t="str">
        <f>IF(M30="Data missing","Data missing",IF(M30="VH","H",(IF(M30="H",HLOOKUP(J30,'3 - Prioritisation'!$D$16:$H$21,3,FALSE),IF(M30="M",HLOOKUP(J30,'3 - Prioritisation'!$D$16:$H$21,4,FALSE),IF(M30="L",HLOOKUP(J30,'3 - Prioritisation'!$D$16:$H$21,5,FALSE),IF(M30="VL",HLOOKUP(J30,'3 - Prioritisation'!$D$16:$H$21,6,FALSE))))))))</f>
        <v>Data missing</v>
      </c>
      <c r="O30" s="700"/>
      <c r="P30" s="701" t="s">
        <v>656</v>
      </c>
      <c r="Q30" s="701" t="s">
        <v>606</v>
      </c>
      <c r="R30" s="714"/>
      <c r="S30" s="699"/>
      <c r="T30" s="715"/>
      <c r="U30" s="705">
        <v>0.25</v>
      </c>
      <c r="V30" s="699" t="s">
        <v>23</v>
      </c>
      <c r="W30" s="699" t="s">
        <v>140</v>
      </c>
      <c r="X30" s="699" t="s">
        <v>23</v>
      </c>
      <c r="Y30" s="742" t="str">
        <f t="shared" si="8"/>
        <v>L</v>
      </c>
      <c r="Z30" s="731" t="str">
        <f>IF(Y30="Data missing","Data missing",IF(Y30="VH","H",(IF(Y30="H",HLOOKUP(V30,'3 - Prioritisation'!$D$16:$H$21,3,FALSE),IF(Y30="M",HLOOKUP(V30,'3 - Prioritisation'!$D$16:$H$21,4,FALSE),IF(Y30="L",HLOOKUP(V30,'3 - Prioritisation'!$D$16:$H$21,5,FALSE),IF(Y30="VL",HLOOKUP(V30,'3 - Prioritisation'!$D$16:$H$21,6,FALSE))))))))</f>
        <v>L</v>
      </c>
      <c r="AA30" s="738">
        <v>25000</v>
      </c>
      <c r="AB30" s="738">
        <v>50000</v>
      </c>
      <c r="AC30" s="738">
        <v>75000</v>
      </c>
      <c r="AD30" s="508">
        <f t="shared" si="9"/>
        <v>12500</v>
      </c>
      <c r="AE30" s="509" t="e">
        <f>IF(AF30="Data missing","Data missing",IF(OR(U30="",AA30="",AB30="",AC30=""),"",_XLL.RISKBINOMIAL(1,U30)))</f>
        <v>#NAME?</v>
      </c>
      <c r="AF30" s="510" t="e">
        <f>IF(OR(U30="",AA30="",AB30="",AC30=""),"Data missing",_XLL.RISKPERT(AA30,AB30,AC30,_XLL.RISKNAME("Risk ID"&amp;B30),_XLL.RISKCOLLECT()))</f>
        <v>#NAME?</v>
      </c>
      <c r="AG30" s="511" t="e">
        <f t="shared" si="10"/>
        <v>#NAME?</v>
      </c>
      <c r="AH30" s="522" t="s">
        <v>669</v>
      </c>
      <c r="AI30" s="26"/>
      <c r="AJ30" s="386" t="e">
        <f t="shared" si="2"/>
        <v>#NAME?</v>
      </c>
      <c r="AK30" s="387">
        <f t="shared" si="2"/>
        <v>0</v>
      </c>
      <c r="AL30" s="387">
        <f t="shared" si="2"/>
        <v>0</v>
      </c>
      <c r="AM30" s="387">
        <f t="shared" si="2"/>
        <v>0</v>
      </c>
      <c r="AN30" s="387">
        <f t="shared" si="2"/>
        <v>0</v>
      </c>
      <c r="AO30" s="388">
        <f t="shared" si="2"/>
        <v>0</v>
      </c>
      <c r="AP30" s="389" t="e">
        <f t="shared" si="11"/>
        <v>#NAME?</v>
      </c>
      <c r="AR30" s="385"/>
      <c r="AS30" s="363"/>
      <c r="AT30" s="288">
        <f t="shared" si="12"/>
        <v>0</v>
      </c>
      <c r="AU30" s="382">
        <v>2</v>
      </c>
      <c r="AV30" s="383">
        <v>4</v>
      </c>
      <c r="AW30" s="384">
        <v>8</v>
      </c>
      <c r="AX30" s="364" t="e">
        <f>IF(AY30="Data missing","Data missing",IF(OR(AT30="",AU30="",AV30="",AW30=""),"",_XLL.RISKBINOMIAL(1,AT30)))</f>
        <v>#NAME?</v>
      </c>
      <c r="AY30" s="396" t="e">
        <f>IF(OR(AT30="",AU30="",AV30="",AW30=""),"Data missing",_XLL.RISKPERT(AU30,AV30,AW30))</f>
        <v>#NAME?</v>
      </c>
      <c r="AZ30" s="397" t="e">
        <f t="shared" si="13"/>
        <v>#NAME?</v>
      </c>
      <c r="BB30" s="407" t="e">
        <f t="shared" si="5"/>
        <v>#NAME?</v>
      </c>
      <c r="BC30" s="338">
        <f t="shared" si="5"/>
        <v>0</v>
      </c>
      <c r="BD30" s="338">
        <f t="shared" si="5"/>
        <v>0</v>
      </c>
      <c r="BE30" s="408">
        <f t="shared" si="6"/>
        <v>0</v>
      </c>
      <c r="BF30" s="408">
        <f t="shared" si="6"/>
        <v>0</v>
      </c>
      <c r="BG30" s="409">
        <f t="shared" si="6"/>
        <v>0</v>
      </c>
      <c r="BH30" s="410" t="e">
        <f t="shared" si="14"/>
        <v>#NAME?</v>
      </c>
    </row>
    <row r="31" spans="1:60" s="27" customFormat="1" ht="45">
      <c r="A31" s="165">
        <v>9</v>
      </c>
      <c r="B31" s="521">
        <v>14</v>
      </c>
      <c r="C31" s="496"/>
      <c r="D31" s="681" t="s">
        <v>632</v>
      </c>
      <c r="E31" s="682" t="s">
        <v>368</v>
      </c>
      <c r="F31" s="498" t="s">
        <v>322</v>
      </c>
      <c r="G31" s="498"/>
      <c r="H31" s="498" t="s">
        <v>190</v>
      </c>
      <c r="I31" s="716"/>
      <c r="J31" s="669" t="s">
        <v>23</v>
      </c>
      <c r="K31" s="669" t="s">
        <v>23</v>
      </c>
      <c r="L31" s="669" t="s">
        <v>23</v>
      </c>
      <c r="M31" s="500" t="str">
        <f t="shared" si="1"/>
        <v>L</v>
      </c>
      <c r="N31" s="718" t="str">
        <f>IF(M31="Data missing","Data missing",IF(M31="VH","H",(IF(M31="H",HLOOKUP(J31,'3 - Prioritisation'!$D$16:$H$21,3,FALSE),IF(M31="M",HLOOKUP(J31,'3 - Prioritisation'!$D$16:$H$21,4,FALSE),IF(M31="L",HLOOKUP(J31,'3 - Prioritisation'!$D$16:$H$21,5,FALSE),IF(M31="VL",HLOOKUP(J31,'3 - Prioritisation'!$D$16:$H$21,6,FALSE))))))))</f>
        <v>L</v>
      </c>
      <c r="O31" s="719"/>
      <c r="P31" s="720" t="s">
        <v>369</v>
      </c>
      <c r="Q31" s="720" t="s">
        <v>370</v>
      </c>
      <c r="R31" s="721"/>
      <c r="S31" s="669"/>
      <c r="T31" s="722"/>
      <c r="U31" s="723">
        <v>0.25</v>
      </c>
      <c r="V31" s="669" t="s">
        <v>23</v>
      </c>
      <c r="W31" s="669" t="s">
        <v>24</v>
      </c>
      <c r="X31" s="669" t="s">
        <v>24</v>
      </c>
      <c r="Y31" s="717" t="str">
        <f t="shared" si="8"/>
        <v>M</v>
      </c>
      <c r="Z31" s="731" t="str">
        <f>IF(Y31="Data missing","Data missing",IF(Y31="VH","H",(IF(Y31="H",HLOOKUP(V31,'3 - Prioritisation'!$D$16:$H$21,3,FALSE),IF(Y31="M",HLOOKUP(V31,'3 - Prioritisation'!$D$16:$H$21,4,FALSE),IF(Y31="L",HLOOKUP(V31,'3 - Prioritisation'!$D$16:$H$21,5,FALSE),IF(Y31="VL",HLOOKUP(V31,'3 - Prioritisation'!$D$16:$H$21,6,FALSE))))))))</f>
        <v>M</v>
      </c>
      <c r="AA31" s="743">
        <v>250000</v>
      </c>
      <c r="AB31" s="743">
        <v>450000</v>
      </c>
      <c r="AC31" s="743">
        <v>750000</v>
      </c>
      <c r="AD31" s="508">
        <f t="shared" si="9"/>
        <v>112500</v>
      </c>
      <c r="AE31" s="509" t="e">
        <f>IF(AF31="Data missing","Data missing",IF(OR(U31="",AA31="",AB31="",AC31=""),"",_XLL.RISKBINOMIAL(1,U31)))</f>
        <v>#NAME?</v>
      </c>
      <c r="AF31" s="510" t="e">
        <f>IF(OR(U31="",AA31="",AB31="",AC31=""),"Data missing",_XLL.RISKPERT(AA31,AB31,AC31,_XLL.RISKNAME("Risk ID"&amp;B31),_XLL.RISKCOLLECT()))</f>
        <v>#NAME?</v>
      </c>
      <c r="AG31" s="511" t="e">
        <f t="shared" si="10"/>
        <v>#NAME?</v>
      </c>
      <c r="AH31" s="522" t="s">
        <v>670</v>
      </c>
      <c r="AI31" s="26"/>
      <c r="AJ31" s="386" t="e">
        <f t="shared" si="2"/>
        <v>#NAME?</v>
      </c>
      <c r="AK31" s="387">
        <f t="shared" si="2"/>
        <v>0</v>
      </c>
      <c r="AL31" s="387">
        <f t="shared" si="2"/>
        <v>0</v>
      </c>
      <c r="AM31" s="387">
        <f t="shared" si="2"/>
        <v>0</v>
      </c>
      <c r="AN31" s="387">
        <f t="shared" si="2"/>
        <v>0</v>
      </c>
      <c r="AO31" s="388">
        <f t="shared" si="2"/>
        <v>0</v>
      </c>
      <c r="AP31" s="389" t="e">
        <f t="shared" si="11"/>
        <v>#NAME?</v>
      </c>
      <c r="AR31" s="385"/>
      <c r="AS31" s="363"/>
      <c r="AT31" s="288">
        <f t="shared" si="12"/>
        <v>0</v>
      </c>
      <c r="AU31" s="382">
        <v>2</v>
      </c>
      <c r="AV31" s="383">
        <v>4</v>
      </c>
      <c r="AW31" s="384">
        <v>8</v>
      </c>
      <c r="AX31" s="364" t="e">
        <f>IF(AY31="Data missing","Data missing",IF(OR(AT31="",AU31="",AV31="",AW31=""),"",_XLL.RISKBINOMIAL(1,AT31)))</f>
        <v>#NAME?</v>
      </c>
      <c r="AY31" s="396" t="e">
        <f>IF(OR(AT31="",AU31="",AV31="",AW31=""),"Data missing",_XLL.RISKPERT(AU31,AV31,AW31))</f>
        <v>#NAME?</v>
      </c>
      <c r="AZ31" s="397" t="e">
        <f t="shared" si="13"/>
        <v>#NAME?</v>
      </c>
      <c r="BB31" s="407" t="e">
        <f t="shared" si="5"/>
        <v>#NAME?</v>
      </c>
      <c r="BC31" s="338">
        <f t="shared" si="5"/>
        <v>0</v>
      </c>
      <c r="BD31" s="338">
        <f t="shared" si="5"/>
        <v>0</v>
      </c>
      <c r="BE31" s="408">
        <f t="shared" si="6"/>
        <v>0</v>
      </c>
      <c r="BF31" s="408">
        <f t="shared" si="6"/>
        <v>0</v>
      </c>
      <c r="BG31" s="409">
        <f t="shared" si="6"/>
        <v>0</v>
      </c>
      <c r="BH31" s="410" t="e">
        <f t="shared" si="14"/>
        <v>#NAME?</v>
      </c>
    </row>
    <row r="32" spans="1:60" s="27" customFormat="1" ht="60">
      <c r="A32" s="165">
        <v>10</v>
      </c>
      <c r="B32" s="521">
        <v>15</v>
      </c>
      <c r="C32" s="496"/>
      <c r="D32" s="497" t="s">
        <v>569</v>
      </c>
      <c r="E32" s="496" t="s">
        <v>377</v>
      </c>
      <c r="F32" s="498" t="s">
        <v>322</v>
      </c>
      <c r="G32" s="498"/>
      <c r="H32" s="498" t="s">
        <v>190</v>
      </c>
      <c r="I32" s="498"/>
      <c r="J32" s="499" t="s">
        <v>23</v>
      </c>
      <c r="K32" s="499" t="s">
        <v>24</v>
      </c>
      <c r="L32" s="499" t="s">
        <v>24</v>
      </c>
      <c r="M32" s="500" t="str">
        <f t="shared" si="1"/>
        <v>M</v>
      </c>
      <c r="N32" s="501" t="str">
        <f>IF(M32="Data missing","Data missing",IF(M32="VH","H",(IF(M32="H",HLOOKUP(J32,'3 - Prioritisation'!$D$16:$H$21,3,FALSE),IF(M32="M",HLOOKUP(J32,'3 - Prioritisation'!$D$16:$H$21,4,FALSE),IF(M32="L",HLOOKUP(J32,'3 - Prioritisation'!$D$16:$H$21,5,FALSE),IF(M32="VL",HLOOKUP(J32,'3 - Prioritisation'!$D$16:$H$21,6,FALSE))))))))</f>
        <v>M</v>
      </c>
      <c r="O32" s="502"/>
      <c r="P32" s="503" t="s">
        <v>378</v>
      </c>
      <c r="Q32" s="503" t="s">
        <v>379</v>
      </c>
      <c r="R32" s="504"/>
      <c r="S32" s="499"/>
      <c r="T32" s="505"/>
      <c r="U32" s="506">
        <v>0.2</v>
      </c>
      <c r="V32" s="708" t="s">
        <v>23</v>
      </c>
      <c r="W32" s="708" t="s">
        <v>23</v>
      </c>
      <c r="X32" s="708" t="s">
        <v>140</v>
      </c>
      <c r="Y32" s="500" t="str">
        <f t="shared" si="8"/>
        <v>L</v>
      </c>
      <c r="Z32" s="731" t="str">
        <f>IF(Y32="Data missing","Data missing",IF(Y32="VH","H",(IF(Y32="H",HLOOKUP(V32,'3 - Prioritisation'!$D$16:$H$21,3,FALSE),IF(Y32="M",HLOOKUP(V32,'3 - Prioritisation'!$D$16:$H$21,4,FALSE),IF(Y32="L",HLOOKUP(V32,'3 - Prioritisation'!$D$16:$H$21,5,FALSE),IF(Y32="VL",HLOOKUP(V32,'3 - Prioritisation'!$D$16:$H$21,6,FALSE))))))))</f>
        <v>L</v>
      </c>
      <c r="AA32" s="507">
        <v>25000</v>
      </c>
      <c r="AB32" s="507">
        <f>0.4*140000+100*300</f>
        <v>86000</v>
      </c>
      <c r="AC32" s="507">
        <v>100000</v>
      </c>
      <c r="AD32" s="508">
        <f t="shared" si="9"/>
        <v>17200</v>
      </c>
      <c r="AE32" s="509" t="e">
        <f>IF(AF32="Data missing","Data missing",IF(OR(U32="",AA32="",AB32="",AC32=""),"",_XLL.RISKBINOMIAL(1,U32)))</f>
        <v>#NAME?</v>
      </c>
      <c r="AF32" s="510" t="e">
        <f>IF(OR(U32="",AA32="",AB32="",AC32=""),"Data missing",_XLL.RISKPERT(AA32,AB32,AC32,_XLL.RISKNAME("Risk ID"&amp;B32),_XLL.RISKCOLLECT()))</f>
        <v>#NAME?</v>
      </c>
      <c r="AG32" s="511" t="e">
        <f t="shared" si="10"/>
        <v>#NAME?</v>
      </c>
      <c r="AH32" s="522" t="s">
        <v>671</v>
      </c>
      <c r="AI32" s="26"/>
      <c r="AJ32" s="386" t="e">
        <f t="shared" si="2"/>
        <v>#NAME?</v>
      </c>
      <c r="AK32" s="387">
        <f t="shared" si="2"/>
        <v>0</v>
      </c>
      <c r="AL32" s="387">
        <f t="shared" si="2"/>
        <v>0</v>
      </c>
      <c r="AM32" s="387">
        <f t="shared" si="2"/>
        <v>0</v>
      </c>
      <c r="AN32" s="387">
        <f t="shared" si="2"/>
        <v>0</v>
      </c>
      <c r="AO32" s="388">
        <f t="shared" si="2"/>
        <v>0</v>
      </c>
      <c r="AP32" s="389" t="e">
        <f t="shared" si="11"/>
        <v>#NAME?</v>
      </c>
      <c r="AR32" s="385"/>
      <c r="AS32" s="363"/>
      <c r="AT32" s="288">
        <f t="shared" si="12"/>
        <v>0</v>
      </c>
      <c r="AU32" s="382">
        <v>2</v>
      </c>
      <c r="AV32" s="383">
        <v>4</v>
      </c>
      <c r="AW32" s="384">
        <v>8</v>
      </c>
      <c r="AX32" s="364" t="e">
        <f>IF(AY32="Data missing","Data missing",IF(OR(AT32="",AU32="",AV32="",AW32=""),"",_XLL.RISKBINOMIAL(1,AT32)))</f>
        <v>#NAME?</v>
      </c>
      <c r="AY32" s="396" t="e">
        <f>IF(OR(AT32="",AU32="",AV32="",AW32=""),"Data missing",_XLL.RISKPERT(AU32,AV32,AW32))</f>
        <v>#NAME?</v>
      </c>
      <c r="AZ32" s="397" t="e">
        <f t="shared" si="13"/>
        <v>#NAME?</v>
      </c>
      <c r="BB32" s="407" t="e">
        <f t="shared" si="5"/>
        <v>#NAME?</v>
      </c>
      <c r="BC32" s="338">
        <f t="shared" si="5"/>
        <v>0</v>
      </c>
      <c r="BD32" s="338">
        <f t="shared" si="5"/>
        <v>0</v>
      </c>
      <c r="BE32" s="408">
        <f t="shared" si="6"/>
        <v>0</v>
      </c>
      <c r="BF32" s="408">
        <f t="shared" si="6"/>
        <v>0</v>
      </c>
      <c r="BG32" s="409">
        <f t="shared" si="6"/>
        <v>0</v>
      </c>
      <c r="BH32" s="410" t="e">
        <f t="shared" si="14"/>
        <v>#NAME?</v>
      </c>
    </row>
    <row r="33" spans="1:60" s="27" customFormat="1" ht="32.25" customHeight="1">
      <c r="A33" s="165"/>
      <c r="B33" s="521"/>
      <c r="C33" s="512"/>
      <c r="D33" s="513" t="s">
        <v>419</v>
      </c>
      <c r="E33" s="512"/>
      <c r="F33" s="512"/>
      <c r="G33" s="512"/>
      <c r="H33" s="664"/>
      <c r="I33" s="512"/>
      <c r="J33" s="512"/>
      <c r="K33" s="512"/>
      <c r="L33" s="512"/>
      <c r="M33" s="512"/>
      <c r="N33" s="512"/>
      <c r="O33" s="512"/>
      <c r="P33" s="512"/>
      <c r="Q33" s="512"/>
      <c r="R33" s="512"/>
      <c r="S33" s="512"/>
      <c r="T33" s="512"/>
      <c r="U33" s="512"/>
      <c r="V33" s="512"/>
      <c r="W33" s="512"/>
      <c r="X33" s="512"/>
      <c r="Y33" s="512"/>
      <c r="Z33" s="512"/>
      <c r="AA33" s="664"/>
      <c r="AB33" s="512"/>
      <c r="AC33" s="664"/>
      <c r="AD33" s="664"/>
      <c r="AE33" s="664"/>
      <c r="AF33" s="664"/>
      <c r="AG33" s="664"/>
      <c r="AH33" s="753"/>
      <c r="AI33" s="26"/>
      <c r="AJ33" s="365"/>
      <c r="AK33" s="40"/>
      <c r="AL33" s="40"/>
      <c r="AM33" s="40"/>
      <c r="AN33" s="40"/>
      <c r="AO33" s="41"/>
      <c r="AP33" s="280"/>
      <c r="AR33" s="366"/>
      <c r="AS33" s="323"/>
      <c r="AT33" s="367"/>
      <c r="AU33" s="368"/>
      <c r="AV33" s="369"/>
      <c r="AW33" s="370"/>
      <c r="AX33" s="371"/>
      <c r="AY33" s="372"/>
      <c r="AZ33" s="373"/>
      <c r="BB33" s="294"/>
      <c r="BC33" s="295"/>
      <c r="BD33" s="295"/>
      <c r="BE33" s="296"/>
      <c r="BF33" s="296"/>
      <c r="BG33" s="297"/>
      <c r="BH33" s="298"/>
    </row>
    <row r="34" spans="1:256" s="437" customFormat="1" ht="71.25" customHeight="1">
      <c r="A34" s="165">
        <v>11</v>
      </c>
      <c r="B34" s="521">
        <v>16</v>
      </c>
      <c r="C34" s="496"/>
      <c r="D34" s="681" t="s">
        <v>633</v>
      </c>
      <c r="E34" s="681" t="s">
        <v>428</v>
      </c>
      <c r="F34" s="497" t="s">
        <v>322</v>
      </c>
      <c r="G34" s="497"/>
      <c r="H34" s="497" t="s">
        <v>190</v>
      </c>
      <c r="I34" s="681"/>
      <c r="J34" s="724" t="s">
        <v>24</v>
      </c>
      <c r="K34" s="724" t="s">
        <v>23</v>
      </c>
      <c r="L34" s="724" t="s">
        <v>25</v>
      </c>
      <c r="M34" s="500" t="str">
        <f>IF(OR(K34="",L34="",J34=""),"Data missing",IF(OR(K34="VH",L34="VH"),"VH",IF(OR(K34="H",L34="H"),"H",IF(OR(K34="M",L34="M"),"M",IF(OR(K34="L",L34="L"),"L",IF(OR(K34="VL",L34="VL"),"VL"))))))</f>
        <v>H</v>
      </c>
      <c r="N34" s="726" t="str">
        <f>IF(M34="Data missing","Data missing",IF(M34="VH","H",(IF(M34="H",HLOOKUP(J34,'3 - Prioritisation'!$D$16:$H$21,3,FALSE),IF(M34="M",HLOOKUP(J34,'3 - Prioritisation'!$D$16:$H$21,4,FALSE),IF(M34="L",HLOOKUP(J34,'3 - Prioritisation'!$D$16:$H$21,5,FALSE),IF(M34="VL",HLOOKUP(J34,'3 - Prioritisation'!$D$16:$H$21,6,FALSE))))))))</f>
        <v>H</v>
      </c>
      <c r="O34" s="719"/>
      <c r="P34" s="719" t="s">
        <v>426</v>
      </c>
      <c r="Q34" s="719" t="s">
        <v>427</v>
      </c>
      <c r="R34" s="727"/>
      <c r="S34" s="725"/>
      <c r="T34" s="728"/>
      <c r="U34" s="723">
        <v>0.2</v>
      </c>
      <c r="V34" s="669" t="s">
        <v>23</v>
      </c>
      <c r="W34" s="669" t="s">
        <v>23</v>
      </c>
      <c r="X34" s="669" t="s">
        <v>24</v>
      </c>
      <c r="Y34" s="725" t="str">
        <f>IF(OR(W34="",X34="",V34=""),"Data missing",IF(OR(W34="VH",X34="VH"),"VH",IF(OR(W34="H",X34="H"),"H",IF(OR(W34="M",X34="M"),"M",IF(OR(W34="L",X34="L"),"L",IF(OR(W34="VL",X34="VL"),"VL"))))))</f>
        <v>M</v>
      </c>
      <c r="Z34" s="726" t="str">
        <f>IF(Y34="Data missing","Data missing",IF(Y34="VH","H",(IF(Y34="H",HLOOKUP(V34,'3 - Prioritisation'!$D$16:$H$21,3,FALSE),IF(Y34="M",HLOOKUP(V34,'3 - Prioritisation'!$D$16:$H$21,4,FALSE),IF(Y34="L",HLOOKUP(V34,'3 - Prioritisation'!$D$16:$H$21,5,FALSE),IF(Y34="VL",HLOOKUP(V34,'3 - Prioritisation'!$D$16:$H$21,6,FALSE))))))))</f>
        <v>M</v>
      </c>
      <c r="AA34" s="743">
        <f>2*30000</f>
        <v>60000</v>
      </c>
      <c r="AB34" s="743">
        <f>30000*6</f>
        <v>180000</v>
      </c>
      <c r="AC34" s="743">
        <f>8*30000</f>
        <v>240000</v>
      </c>
      <c r="AD34" s="508">
        <f>U34*AB34</f>
        <v>36000</v>
      </c>
      <c r="AE34" s="508" t="e">
        <f>IF(AF34="Data missing","Data missing",IF(OR(U34="",AA34="",AB34="",AC34=""),"",_XLL.RISKBINOMIAL(1,U34)))</f>
        <v>#NAME?</v>
      </c>
      <c r="AF34" s="508" t="e">
        <f>IF(OR(U34="",AA34="",AB34="",AC34=""),"Data missing",_XLL.RISKPERT(AA34,AB34,AC34,_XLL.RISKNAME("Risk ID"&amp;B34),_XLL.RISKCOLLECT()))</f>
        <v>#NAME?</v>
      </c>
      <c r="AG34" s="508" t="e">
        <f>IF(AF34="Data missing","Data missing",IF(OR(U34="",AA34="",AB34="",AC34=""),"",AE34*AF34))</f>
        <v>#NAME?</v>
      </c>
      <c r="AH34" s="522" t="s">
        <v>577</v>
      </c>
      <c r="AI34" s="26"/>
      <c r="AJ34" s="386" t="e">
        <f t="shared" si="2"/>
        <v>#NAME?</v>
      </c>
      <c r="AK34" s="387">
        <f t="shared" si="2"/>
        <v>0</v>
      </c>
      <c r="AL34" s="387">
        <f t="shared" si="2"/>
        <v>0</v>
      </c>
      <c r="AM34" s="387">
        <f t="shared" si="2"/>
        <v>0</v>
      </c>
      <c r="AN34" s="387">
        <f t="shared" si="2"/>
        <v>0</v>
      </c>
      <c r="AO34" s="388">
        <f t="shared" si="2"/>
        <v>0</v>
      </c>
      <c r="AP34" s="389" t="e">
        <f>SUM(AJ34:AO34)</f>
        <v>#NAME?</v>
      </c>
      <c r="AQ34" s="27"/>
      <c r="AR34" s="229"/>
      <c r="AS34" s="88"/>
      <c r="AT34" s="288">
        <f>IF(AS34="Yes",U34,0)</f>
        <v>0</v>
      </c>
      <c r="AU34" s="191">
        <v>1</v>
      </c>
      <c r="AV34" s="192">
        <v>3</v>
      </c>
      <c r="AW34" s="193">
        <v>5</v>
      </c>
      <c r="AX34" s="71" t="e">
        <f>IF(AY34="Data missing","Data missing",IF(OR(AT34="",AU34="",AV34="",AW34=""),"",_XLL.RISKBINOMIAL(1,AT34)))</f>
        <v>#NAME?</v>
      </c>
      <c r="AY34" s="95" t="e">
        <f>IF(OR(AT34="",AU34="",AV34="",AW34=""),"Data missing",_XLL.RISKPERT(AU34,AV34,AW34))</f>
        <v>#NAME?</v>
      </c>
      <c r="AZ34" s="96" t="e">
        <f>IF(AY34="Data missing","Data missing",IF(OR(AT34="",AU34="",AV34="",AW34=""),"",AX34*AY34))</f>
        <v>#NAME?</v>
      </c>
      <c r="BA34" s="27"/>
      <c r="BB34" s="283"/>
      <c r="BC34" s="289"/>
      <c r="BD34" s="289"/>
      <c r="BE34" s="284"/>
      <c r="BF34" s="284"/>
      <c r="BG34" s="285"/>
      <c r="BH34" s="286"/>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row>
    <row r="35" spans="1:60" s="27" customFormat="1" ht="69.75" customHeight="1">
      <c r="A35" s="165">
        <v>12</v>
      </c>
      <c r="B35" s="521">
        <v>17</v>
      </c>
      <c r="C35" s="496"/>
      <c r="D35" s="681" t="s">
        <v>634</v>
      </c>
      <c r="E35" s="682" t="s">
        <v>431</v>
      </c>
      <c r="F35" s="572" t="s">
        <v>608</v>
      </c>
      <c r="G35" s="571"/>
      <c r="H35" s="572" t="s">
        <v>190</v>
      </c>
      <c r="I35" s="716"/>
      <c r="J35" s="669" t="s">
        <v>140</v>
      </c>
      <c r="K35" s="669" t="s">
        <v>140</v>
      </c>
      <c r="L35" s="669" t="s">
        <v>140</v>
      </c>
      <c r="M35" s="500" t="str">
        <f>IF(OR(K35="",L35="",J35=""),"Data missing",IF(OR(K35="VH",L35="VH"),"VH",IF(OR(K35="H",L35="H"),"H",IF(OR(K35="M",L35="M"),"M",IF(OR(K35="L",L35="L"),"L",IF(OR(K35="VL",L35="VL"),"VL"))))))</f>
        <v>VL</v>
      </c>
      <c r="N35" s="718" t="str">
        <f>IF(M35="Data missing","Data missing",IF(M35="VH","H",(IF(M35="H",HLOOKUP(J35,'3 - Prioritisation'!$D$16:$H$21,3,FALSE),IF(M35="M",HLOOKUP(J35,'3 - Prioritisation'!$D$16:$H$21,4,FALSE),IF(M35="L",HLOOKUP(J35,'3 - Prioritisation'!$D$16:$H$21,5,FALSE),IF(M35="VL",HLOOKUP(J35,'3 - Prioritisation'!$D$16:$H$21,6,FALSE))))))))</f>
        <v>L</v>
      </c>
      <c r="O35" s="719"/>
      <c r="P35" s="720" t="s">
        <v>522</v>
      </c>
      <c r="Q35" s="720" t="s">
        <v>401</v>
      </c>
      <c r="R35" s="721"/>
      <c r="S35" s="669"/>
      <c r="T35" s="722"/>
      <c r="U35" s="723">
        <v>0</v>
      </c>
      <c r="V35" s="669" t="s">
        <v>23</v>
      </c>
      <c r="W35" s="669" t="s">
        <v>24</v>
      </c>
      <c r="X35" s="669" t="s">
        <v>24</v>
      </c>
      <c r="Y35" s="717" t="str">
        <f>IF(OR(W35="",X35="",V35=""),"Data missing",IF(OR(W35="VH",X35="VH"),"VH",IF(OR(W35="H",X35="H"),"H",IF(OR(W35="M",X35="M"),"M",IF(OR(W35="L",X35="L"),"L",IF(OR(W35="VL",X35="VL"),"VL"))))))</f>
        <v>M</v>
      </c>
      <c r="Z35" s="718" t="str">
        <f>IF(Y35="Data missing","Data missing",IF(Y35="VH","H",(IF(Y35="H",HLOOKUP(V35,'3 - Prioritisation'!$D$16:$H$21,3,FALSE),IF(Y35="M",HLOOKUP(V35,'3 - Prioritisation'!$D$16:$H$21,4,FALSE),IF(Y35="L",HLOOKUP(V35,'3 - Prioritisation'!$D$16:$H$21,5,FALSE),IF(Y35="VL",HLOOKUP(V35,'3 - Prioritisation'!$D$16:$H$21,6,FALSE))))))))</f>
        <v>M</v>
      </c>
      <c r="AA35" s="743">
        <v>2000000</v>
      </c>
      <c r="AB35" s="743">
        <v>5000000</v>
      </c>
      <c r="AC35" s="743">
        <v>7500000</v>
      </c>
      <c r="AD35" s="582"/>
      <c r="AE35" s="582"/>
      <c r="AF35" s="582"/>
      <c r="AG35" s="582"/>
      <c r="AH35" s="608" t="s">
        <v>570</v>
      </c>
      <c r="AI35" s="26"/>
      <c r="AJ35" s="386"/>
      <c r="AK35" s="387"/>
      <c r="AL35" s="387"/>
      <c r="AM35" s="387"/>
      <c r="AN35" s="387"/>
      <c r="AO35" s="388"/>
      <c r="AP35" s="389"/>
      <c r="AR35" s="229"/>
      <c r="AS35" s="88"/>
      <c r="AT35" s="288">
        <f>IF(AS35="Yes",U35,0)</f>
        <v>0</v>
      </c>
      <c r="AU35" s="191">
        <v>1</v>
      </c>
      <c r="AV35" s="192">
        <v>3</v>
      </c>
      <c r="AW35" s="193">
        <v>5</v>
      </c>
      <c r="AX35" s="71" t="e">
        <f>IF(AY35="Data missing","Data missing",IF(OR(AT35="",AU35="",AV35="",AW35=""),"",_XLL.RISKBINOMIAL(1,AT35)))</f>
        <v>#NAME?</v>
      </c>
      <c r="AY35" s="95" t="e">
        <f>IF(OR(AT35="",AU35="",AV35="",AW35=""),"Data missing",_XLL.RISKPERT(AU35,AV35,AW35))</f>
        <v>#NAME?</v>
      </c>
      <c r="AZ35" s="96" t="e">
        <f>IF(AY35="Data missing","Data missing",IF(OR(AT35="",AU35="",AV35="",AW35=""),"",AX35*AY35))</f>
        <v>#NAME?</v>
      </c>
      <c r="BB35" s="283" t="e">
        <f aca="true" t="shared" si="15" ref="BB35:BD36">IF($H35="","Identify Risk Owner",IF($H35=BB$16,$AZ35,0))</f>
        <v>#NAME?</v>
      </c>
      <c r="BC35" s="289">
        <f t="shared" si="15"/>
        <v>0</v>
      </c>
      <c r="BD35" s="289">
        <f t="shared" si="15"/>
        <v>0</v>
      </c>
      <c r="BE35" s="284">
        <f aca="true" t="shared" si="16" ref="BE35:BG36">IF($H35="","Identify risk owner",IF($H35=BE$16,$AZ35,0))</f>
        <v>0</v>
      </c>
      <c r="BF35" s="284">
        <f t="shared" si="16"/>
        <v>0</v>
      </c>
      <c r="BG35" s="285">
        <f t="shared" si="16"/>
        <v>0</v>
      </c>
      <c r="BH35" s="286" t="e">
        <f>SUM(BB35:BG35)</f>
        <v>#NAME?</v>
      </c>
    </row>
    <row r="36" spans="1:75" s="27" customFormat="1" ht="30.75" customHeight="1">
      <c r="A36" s="165">
        <v>13</v>
      </c>
      <c r="B36" s="521">
        <v>18</v>
      </c>
      <c r="C36" s="496"/>
      <c r="D36" s="497" t="s">
        <v>354</v>
      </c>
      <c r="E36" s="496" t="s">
        <v>430</v>
      </c>
      <c r="F36" s="498" t="s">
        <v>322</v>
      </c>
      <c r="G36" s="498"/>
      <c r="H36" s="498" t="s">
        <v>190</v>
      </c>
      <c r="I36" s="498"/>
      <c r="J36" s="499" t="s">
        <v>25</v>
      </c>
      <c r="K36" s="499" t="s">
        <v>23</v>
      </c>
      <c r="L36" s="499" t="s">
        <v>24</v>
      </c>
      <c r="M36" s="500" t="str">
        <f>IF(OR(K36="",L36="",J36=""),"Data missing",IF(OR(K36="VH",L36="VH"),"VH",IF(OR(K36="H",L36="H"),"H",IF(OR(K36="M",L36="M"),"M",IF(OR(K36="L",L36="L"),"L",IF(OR(K36="VL",L36="VL"),"VL"))))))</f>
        <v>M</v>
      </c>
      <c r="N36" s="501" t="str">
        <f>IF(M36="Data missing","Data missing",IF(M36="VH","H",(IF(M36="H",HLOOKUP(J36,'3 - Prioritisation'!$D$16:$H$21,3,FALSE),IF(M36="M",HLOOKUP(J36,'3 - Prioritisation'!$D$16:$H$21,4,FALSE),IF(M36="L",HLOOKUP(J36,'3 - Prioritisation'!$D$16:$H$21,5,FALSE),IF(M36="VL",HLOOKUP(J36,'3 - Prioritisation'!$D$16:$H$21,6,FALSE))))))))</f>
        <v>M</v>
      </c>
      <c r="O36" s="514"/>
      <c r="P36" s="503" t="s">
        <v>399</v>
      </c>
      <c r="Q36" s="503" t="s">
        <v>400</v>
      </c>
      <c r="R36" s="515"/>
      <c r="S36" s="516"/>
      <c r="T36" s="517"/>
      <c r="U36" s="723">
        <v>0.5</v>
      </c>
      <c r="V36" s="499" t="s">
        <v>24</v>
      </c>
      <c r="W36" s="499" t="s">
        <v>23</v>
      </c>
      <c r="X36" s="499" t="s">
        <v>23</v>
      </c>
      <c r="Y36" s="500" t="str">
        <f>IF(OR(W36="",X36="",V36=""),"Data missing",IF(OR(W36="VH",X36="VH"),"VH",IF(OR(W36="H",X36="H"),"H",IF(OR(W36="M",X36="M"),"M",IF(OR(W36="L",X36="L"),"L",IF(OR(W36="VL",X36="VL"),"VL"))))))</f>
        <v>L</v>
      </c>
      <c r="Z36" s="501" t="str">
        <f>IF(Y36="Data missing","Data missing",IF(Y36="VH","H",(IF(Y36="H",HLOOKUP(V36,'3 - Prioritisation'!$D$16:$H$21,3,FALSE),IF(Y36="M",HLOOKUP(V36,'3 - Prioritisation'!$D$16:$H$21,4,FALSE),IF(Y36="L",HLOOKUP(V36,'3 - Prioritisation'!$D$16:$H$21,5,FALSE),IF(Y36="VL",HLOOKUP(V36,'3 - Prioritisation'!$D$16:$H$21,6,FALSE))))))))</f>
        <v>L</v>
      </c>
      <c r="AA36" s="507">
        <v>50000</v>
      </c>
      <c r="AB36" s="507">
        <v>75000</v>
      </c>
      <c r="AC36" s="507">
        <v>100000</v>
      </c>
      <c r="AD36" s="508">
        <f>U36*AB36</f>
        <v>37500</v>
      </c>
      <c r="AE36" s="509" t="e">
        <f>IF(AF36="Data missing","Data missing",IF(OR(U36="",AA36="",AB36="",AC36=""),"",_XLL.RISKBINOMIAL(1,U36)))</f>
        <v>#NAME?</v>
      </c>
      <c r="AF36" s="510" t="e">
        <f>IF(OR(U36="",AA36="",AB36="",AC36=""),"Data missing",_XLL.RISKPERT(AA36,AB36,AC36,_XLL.RISKNAME("Risk ID"&amp;B36),_XLL.RISKCOLLECT()))</f>
        <v>#NAME?</v>
      </c>
      <c r="AG36" s="511" t="e">
        <f>IF(AF36="Data missing","Data missing",IF(OR(U36="",AA36="",AB36="",AC36=""),"",AE36*AF36))</f>
        <v>#NAME?</v>
      </c>
      <c r="AH36" s="522" t="s">
        <v>571</v>
      </c>
      <c r="AI36" s="435"/>
      <c r="AJ36" s="386" t="e">
        <f aca="true" t="shared" si="17" ref="AJ36:AO36">IF($H36="","Identify Risk Owner",IF($H36=AJ$16,$AG36,0))</f>
        <v>#NAME?</v>
      </c>
      <c r="AK36" s="387">
        <f t="shared" si="17"/>
        <v>0</v>
      </c>
      <c r="AL36" s="387">
        <f t="shared" si="17"/>
        <v>0</v>
      </c>
      <c r="AM36" s="387">
        <f t="shared" si="17"/>
        <v>0</v>
      </c>
      <c r="AN36" s="387">
        <f t="shared" si="17"/>
        <v>0</v>
      </c>
      <c r="AO36" s="388">
        <f t="shared" si="17"/>
        <v>0</v>
      </c>
      <c r="AP36" s="389" t="e">
        <f>SUM(AJ36:AO36)</f>
        <v>#NAME?</v>
      </c>
      <c r="AR36" s="229"/>
      <c r="AS36" s="88"/>
      <c r="AT36" s="288">
        <f>IF(AS36="Yes",U36,0)</f>
        <v>0</v>
      </c>
      <c r="AU36" s="191">
        <v>0</v>
      </c>
      <c r="AV36" s="192">
        <v>4</v>
      </c>
      <c r="AW36" s="193">
        <v>6</v>
      </c>
      <c r="AX36" s="71" t="e">
        <f>IF(AY36="Data missing","Data missing",IF(OR(AT36="",AU36="",AV36="",AW36=""),"",_XLL.RISKBINOMIAL(1,AT36)))</f>
        <v>#NAME?</v>
      </c>
      <c r="AY36" s="95" t="e">
        <f>IF(OR(AT36="",AU36="",AV36="",AW36=""),"Data missing",_XLL.RISKPERT(AU36,AV36,AW36))</f>
        <v>#NAME?</v>
      </c>
      <c r="AZ36" s="96" t="e">
        <f>IF(AY36="Data missing","Data missing",IF(OR(AT36="",AU36="",AV36="",AW36=""),"",AX36*AY36))</f>
        <v>#NAME?</v>
      </c>
      <c r="BB36" s="283" t="e">
        <f t="shared" si="15"/>
        <v>#NAME?</v>
      </c>
      <c r="BC36" s="289">
        <f t="shared" si="15"/>
        <v>0</v>
      </c>
      <c r="BD36" s="289">
        <f t="shared" si="15"/>
        <v>0</v>
      </c>
      <c r="BE36" s="284">
        <f t="shared" si="16"/>
        <v>0</v>
      </c>
      <c r="BF36" s="284">
        <f t="shared" si="16"/>
        <v>0</v>
      </c>
      <c r="BG36" s="285">
        <f t="shared" si="16"/>
        <v>0</v>
      </c>
      <c r="BH36" s="286" t="e">
        <f>SUM(BB36:BG36)</f>
        <v>#NAME?</v>
      </c>
      <c r="BI36" s="390"/>
      <c r="BJ36" s="390"/>
      <c r="BK36" s="390"/>
      <c r="BL36" s="390"/>
      <c r="BM36" s="390"/>
      <c r="BN36" s="390"/>
      <c r="BO36" s="390"/>
      <c r="BP36" s="390"/>
      <c r="BQ36" s="390"/>
      <c r="BR36" s="390"/>
      <c r="BS36" s="390"/>
      <c r="BT36" s="390"/>
      <c r="BU36" s="390"/>
      <c r="BV36" s="390"/>
      <c r="BW36" s="390"/>
    </row>
    <row r="37" spans="1:60" s="27" customFormat="1" ht="32.25" customHeight="1">
      <c r="A37" s="165"/>
      <c r="B37" s="521"/>
      <c r="C37" s="512"/>
      <c r="D37" s="513" t="s">
        <v>572</v>
      </c>
      <c r="E37" s="512"/>
      <c r="F37" s="512"/>
      <c r="G37" s="512"/>
      <c r="H37" s="664"/>
      <c r="I37" s="512"/>
      <c r="J37" s="512"/>
      <c r="K37" s="512"/>
      <c r="L37" s="512"/>
      <c r="M37" s="512"/>
      <c r="N37" s="512"/>
      <c r="O37" s="512"/>
      <c r="P37" s="512"/>
      <c r="Q37" s="512"/>
      <c r="R37" s="512"/>
      <c r="S37" s="512"/>
      <c r="T37" s="512"/>
      <c r="U37" s="512"/>
      <c r="V37" s="512"/>
      <c r="W37" s="512"/>
      <c r="X37" s="512"/>
      <c r="Y37" s="512"/>
      <c r="Z37" s="512"/>
      <c r="AA37" s="664"/>
      <c r="AB37" s="512"/>
      <c r="AC37" s="664"/>
      <c r="AD37" s="664"/>
      <c r="AE37" s="664"/>
      <c r="AF37" s="664"/>
      <c r="AG37" s="664"/>
      <c r="AH37" s="753"/>
      <c r="AI37" s="26"/>
      <c r="AJ37" s="365"/>
      <c r="AK37" s="40"/>
      <c r="AL37" s="40"/>
      <c r="AM37" s="40"/>
      <c r="AN37" s="40"/>
      <c r="AO37" s="41"/>
      <c r="AP37" s="280"/>
      <c r="AR37" s="366"/>
      <c r="AS37" s="323"/>
      <c r="AT37" s="367"/>
      <c r="AU37" s="368"/>
      <c r="AV37" s="369"/>
      <c r="AW37" s="370"/>
      <c r="AX37" s="371"/>
      <c r="AY37" s="372"/>
      <c r="AZ37" s="373"/>
      <c r="BB37" s="294"/>
      <c r="BC37" s="295"/>
      <c r="BD37" s="295"/>
      <c r="BE37" s="296"/>
      <c r="BF37" s="296"/>
      <c r="BG37" s="297"/>
      <c r="BH37" s="298"/>
    </row>
    <row r="38" spans="1:60" s="27" customFormat="1" ht="45" customHeight="1">
      <c r="A38" s="165">
        <v>14</v>
      </c>
      <c r="B38" s="521">
        <v>19</v>
      </c>
      <c r="C38" s="496"/>
      <c r="D38" s="497" t="s">
        <v>345</v>
      </c>
      <c r="E38" s="496" t="s">
        <v>391</v>
      </c>
      <c r="F38" s="498" t="s">
        <v>322</v>
      </c>
      <c r="G38" s="498"/>
      <c r="H38" s="498" t="s">
        <v>13</v>
      </c>
      <c r="I38" s="498"/>
      <c r="J38" s="499" t="s">
        <v>23</v>
      </c>
      <c r="K38" s="499" t="s">
        <v>140</v>
      </c>
      <c r="L38" s="499" t="s">
        <v>24</v>
      </c>
      <c r="M38" s="500" t="str">
        <f aca="true" t="shared" si="18" ref="M38:M44">IF(OR(K38="",L38="",J38=""),"Data missing",IF(OR(K38="VH",L38="VH"),"VH",IF(OR(K38="H",L38="H"),"H",IF(OR(K38="M",L38="M"),"M",IF(OR(K38="L",L38="L"),"L",IF(OR(K38="VL",L38="VL"),"VL"))))))</f>
        <v>M</v>
      </c>
      <c r="N38" s="501" t="str">
        <f>IF(M38="Data missing","Data missing",IF(M38="VH","H",(IF(M38="H",HLOOKUP(J38,'3 - Prioritisation'!$D$16:$H$21,3,FALSE),IF(M38="M",HLOOKUP(J38,'3 - Prioritisation'!$D$16:$H$21,4,FALSE),IF(M38="L",HLOOKUP(J38,'3 - Prioritisation'!$D$16:$H$21,5,FALSE),IF(M38="VL",HLOOKUP(J38,'3 - Prioritisation'!$D$16:$H$21,6,FALSE))))))))</f>
        <v>M</v>
      </c>
      <c r="O38" s="502"/>
      <c r="P38" s="503" t="s">
        <v>397</v>
      </c>
      <c r="Q38" s="503" t="s">
        <v>398</v>
      </c>
      <c r="R38" s="504"/>
      <c r="S38" s="499"/>
      <c r="T38" s="505"/>
      <c r="U38" s="506">
        <v>0.15</v>
      </c>
      <c r="V38" s="499" t="s">
        <v>23</v>
      </c>
      <c r="W38" s="669" t="s">
        <v>23</v>
      </c>
      <c r="X38" s="669" t="s">
        <v>23</v>
      </c>
      <c r="Y38" s="500" t="str">
        <f aca="true" t="shared" si="19" ref="Y38:Y43">IF(OR(W38="",X38="",V38=""),"Data missing",IF(OR(W38="VH",X38="VH"),"VH",IF(OR(W38="H",X38="H"),"H",IF(OR(W38="M",X38="M"),"M",IF(OR(W38="L",X38="L"),"L",IF(OR(W38="VL",X38="VL"),"VL"))))))</f>
        <v>L</v>
      </c>
      <c r="Z38" s="501" t="str">
        <f>IF(Y38="Data missing","Data missing",IF(Y38="VH","H",(IF(Y38="H",HLOOKUP(V38,'3 - Prioritisation'!$D$16:$H$21,3,FALSE),IF(Y38="M",HLOOKUP(V38,'3 - Prioritisation'!$D$16:$H$21,4,FALSE),IF(Y38="L",HLOOKUP(V38,'3 - Prioritisation'!$D$16:$H$21,5,FALSE),IF(Y38="VL",HLOOKUP(V38,'3 - Prioritisation'!$D$16:$H$21,6,FALSE))))))))</f>
        <v>L</v>
      </c>
      <c r="AA38" s="507">
        <v>30000</v>
      </c>
      <c r="AB38" s="507">
        <f>30000*2</f>
        <v>60000</v>
      </c>
      <c r="AC38" s="507">
        <v>120000</v>
      </c>
      <c r="AD38" s="508">
        <f aca="true" t="shared" si="20" ref="AD38:AD44">U38*AB38</f>
        <v>9000</v>
      </c>
      <c r="AE38" s="509" t="e">
        <f>IF(AF38="Data missing","Data missing",IF(OR(U38="",AA38="",AB38="",AC38=""),"",_XLL.RISKBINOMIAL(1,U38)))</f>
        <v>#NAME?</v>
      </c>
      <c r="AF38" s="510" t="e">
        <f>IF(OR(U38="",AA38="",AB38="",AC38=""),"Data missing",_XLL.RISKPERT(AA38,AB38,AC38,_XLL.RISKNAME("Risk ID"&amp;B38),_XLL.RISKCOLLECT()))</f>
        <v>#NAME?</v>
      </c>
      <c r="AG38" s="511" t="e">
        <f aca="true" t="shared" si="21" ref="AG38:AG44">IF(AF38="Data missing","Data missing",IF(OR(U38="",AA38="",AB38="",AC38=""),"",AE38*AF38))</f>
        <v>#NAME?</v>
      </c>
      <c r="AH38" s="522" t="s">
        <v>578</v>
      </c>
      <c r="AI38" s="26"/>
      <c r="AJ38" s="34">
        <f aca="true" t="shared" si="22" ref="AJ38:AO44">IF($H38="","Identify Risk Owner",IF($H38=AJ$16,$AG38,0))</f>
        <v>0</v>
      </c>
      <c r="AK38" s="35" t="e">
        <f t="shared" si="22"/>
        <v>#NAME?</v>
      </c>
      <c r="AL38" s="35">
        <f t="shared" si="22"/>
        <v>0</v>
      </c>
      <c r="AM38" s="35">
        <f t="shared" si="22"/>
        <v>0</v>
      </c>
      <c r="AN38" s="35">
        <f t="shared" si="22"/>
        <v>0</v>
      </c>
      <c r="AO38" s="36">
        <f t="shared" si="22"/>
        <v>0</v>
      </c>
      <c r="AP38" s="37" t="e">
        <f aca="true" t="shared" si="23" ref="AP38:AP44">SUM(AJ38:AO38)</f>
        <v>#NAME?</v>
      </c>
      <c r="AR38" s="229"/>
      <c r="AS38" s="88"/>
      <c r="AT38" s="288">
        <f aca="true" t="shared" si="24" ref="AT38:AT43">IF(AS38="Yes",U38,0)</f>
        <v>0</v>
      </c>
      <c r="AU38" s="191">
        <v>2</v>
      </c>
      <c r="AV38" s="192">
        <v>5</v>
      </c>
      <c r="AW38" s="193">
        <v>8</v>
      </c>
      <c r="AX38" s="71" t="e">
        <f>IF(AY38="Data missing","Data missing",IF(OR(AT38="",AU38="",AV38="",AW38=""),"",_XLL.RISKBINOMIAL(1,AT38)))</f>
        <v>#NAME?</v>
      </c>
      <c r="AY38" s="95" t="e">
        <f>IF(OR(AT38="",AU38="",AV38="",AW38=""),"Data missing",_XLL.RISKPERT(AU38,AV38,AW38))</f>
        <v>#NAME?</v>
      </c>
      <c r="AZ38" s="96" t="e">
        <f aca="true" t="shared" si="25" ref="AZ38:AZ43">IF(AY38="Data missing","Data missing",IF(OR(AT38="",AU38="",AV38="",AW38=""),"",AX38*AY38))</f>
        <v>#NAME?</v>
      </c>
      <c r="BB38" s="283">
        <f aca="true" t="shared" si="26" ref="BB38:BD43">IF($H38="","Identify Risk Owner",IF($H38=BB$16,$AZ38,0))</f>
        <v>0</v>
      </c>
      <c r="BC38" s="289" t="e">
        <f t="shared" si="26"/>
        <v>#NAME?</v>
      </c>
      <c r="BD38" s="289">
        <f t="shared" si="26"/>
        <v>0</v>
      </c>
      <c r="BE38" s="284">
        <f aca="true" t="shared" si="27" ref="BE38:BG43">IF($H38="","Identify risk owner",IF($H38=BE$16,$AZ38,0))</f>
        <v>0</v>
      </c>
      <c r="BF38" s="284">
        <f t="shared" si="27"/>
        <v>0</v>
      </c>
      <c r="BG38" s="285">
        <f t="shared" si="27"/>
        <v>0</v>
      </c>
      <c r="BH38" s="286" t="e">
        <f aca="true" t="shared" si="28" ref="BH38:BH43">SUM(BB38:BG38)</f>
        <v>#NAME?</v>
      </c>
    </row>
    <row r="39" spans="1:60" s="27" customFormat="1" ht="67.5" customHeight="1">
      <c r="A39" s="165">
        <v>15</v>
      </c>
      <c r="B39" s="521">
        <v>20</v>
      </c>
      <c r="C39" s="496"/>
      <c r="D39" s="497" t="s">
        <v>432</v>
      </c>
      <c r="E39" s="496" t="s">
        <v>433</v>
      </c>
      <c r="F39" s="498" t="s">
        <v>322</v>
      </c>
      <c r="G39" s="498"/>
      <c r="H39" s="498" t="s">
        <v>190</v>
      </c>
      <c r="I39" s="498"/>
      <c r="J39" s="499" t="s">
        <v>25</v>
      </c>
      <c r="K39" s="499" t="s">
        <v>23</v>
      </c>
      <c r="L39" s="499" t="s">
        <v>25</v>
      </c>
      <c r="M39" s="500" t="str">
        <f t="shared" si="18"/>
        <v>H</v>
      </c>
      <c r="N39" s="501" t="str">
        <f>IF(M39="Data missing","Data missing",IF(M39="VH","H",(IF(M39="H",HLOOKUP(J39,'3 - Prioritisation'!$D$16:$H$21,3,FALSE),IF(M39="M",HLOOKUP(J39,'3 - Prioritisation'!$D$16:$H$21,4,FALSE),IF(M39="L",HLOOKUP(J39,'3 - Prioritisation'!$D$16:$H$21,5,FALSE),IF(M39="VL",HLOOKUP(J39,'3 - Prioritisation'!$D$16:$H$21,6,FALSE))))))))</f>
        <v>H</v>
      </c>
      <c r="O39" s="502"/>
      <c r="P39" s="503" t="s">
        <v>402</v>
      </c>
      <c r="Q39" s="503" t="s">
        <v>434</v>
      </c>
      <c r="R39" s="504"/>
      <c r="S39" s="499"/>
      <c r="T39" s="505"/>
      <c r="U39" s="506">
        <v>0.2</v>
      </c>
      <c r="V39" s="499" t="s">
        <v>23</v>
      </c>
      <c r="W39" s="669" t="s">
        <v>140</v>
      </c>
      <c r="X39" s="499" t="s">
        <v>23</v>
      </c>
      <c r="Y39" s="500" t="str">
        <f t="shared" si="19"/>
        <v>L</v>
      </c>
      <c r="Z39" s="501" t="str">
        <f>IF(Y39="Data missing","Data missing",IF(Y39="VH","H",(IF(Y39="H",HLOOKUP(V39,'3 - Prioritisation'!$D$16:$H$21,3,FALSE),IF(Y39="M",HLOOKUP(V39,'3 - Prioritisation'!$D$16:$H$21,4,FALSE),IF(Y39="L",HLOOKUP(V39,'3 - Prioritisation'!$D$16:$H$21,5,FALSE),IF(Y39="VL",HLOOKUP(V39,'3 - Prioritisation'!$D$16:$H$21,6,FALSE))))))))</f>
        <v>L</v>
      </c>
      <c r="AA39" s="507">
        <v>10000</v>
      </c>
      <c r="AB39" s="507">
        <v>25000</v>
      </c>
      <c r="AC39" s="507">
        <v>50000</v>
      </c>
      <c r="AD39" s="508">
        <f t="shared" si="20"/>
        <v>5000</v>
      </c>
      <c r="AE39" s="509" t="e">
        <f>IF(AF39="Data missing","Data missing",IF(OR(U39="",AA39="",AB39="",AC39=""),"",_XLL.RISKBINOMIAL(1,U39)))</f>
        <v>#NAME?</v>
      </c>
      <c r="AF39" s="510" t="e">
        <f>IF(OR(U39="",AA39="",AB39="",AC39=""),"Data missing",_XLL.RISKPERT(AA39,AB39,AC39,_XLL.RISKNAME("Risk ID"&amp;B39),_XLL.RISKCOLLECT()))</f>
        <v>#NAME?</v>
      </c>
      <c r="AG39" s="511" t="e">
        <f t="shared" si="21"/>
        <v>#NAME?</v>
      </c>
      <c r="AH39" s="522" t="s">
        <v>594</v>
      </c>
      <c r="AI39" s="26"/>
      <c r="AJ39" s="34" t="e">
        <f t="shared" si="22"/>
        <v>#NAME?</v>
      </c>
      <c r="AK39" s="35">
        <f t="shared" si="22"/>
        <v>0</v>
      </c>
      <c r="AL39" s="35">
        <f t="shared" si="22"/>
        <v>0</v>
      </c>
      <c r="AM39" s="35">
        <f t="shared" si="22"/>
        <v>0</v>
      </c>
      <c r="AN39" s="35">
        <f t="shared" si="22"/>
        <v>0</v>
      </c>
      <c r="AO39" s="36">
        <f t="shared" si="22"/>
        <v>0</v>
      </c>
      <c r="AP39" s="37" t="e">
        <f t="shared" si="23"/>
        <v>#NAME?</v>
      </c>
      <c r="AR39" s="229"/>
      <c r="AS39" s="88"/>
      <c r="AT39" s="288">
        <f t="shared" si="24"/>
        <v>0</v>
      </c>
      <c r="AU39" s="191">
        <v>2</v>
      </c>
      <c r="AV39" s="192">
        <v>4</v>
      </c>
      <c r="AW39" s="193">
        <v>8</v>
      </c>
      <c r="AX39" s="71" t="e">
        <f>IF(AY39="Data missing","Data missing",IF(OR(AT39="",AU39="",AV39="",AW39=""),"",_XLL.RISKBINOMIAL(1,AT39)))</f>
        <v>#NAME?</v>
      </c>
      <c r="AY39" s="95" t="e">
        <f>IF(OR(AT39="",AU39="",AV39="",AW39=""),"Data missing",_XLL.RISKPERT(AU39,AV39,AW39))</f>
        <v>#NAME?</v>
      </c>
      <c r="AZ39" s="96" t="e">
        <f t="shared" si="25"/>
        <v>#NAME?</v>
      </c>
      <c r="BB39" s="283" t="e">
        <f t="shared" si="26"/>
        <v>#NAME?</v>
      </c>
      <c r="BC39" s="289">
        <f t="shared" si="26"/>
        <v>0</v>
      </c>
      <c r="BD39" s="289">
        <f t="shared" si="26"/>
        <v>0</v>
      </c>
      <c r="BE39" s="284">
        <f t="shared" si="27"/>
        <v>0</v>
      </c>
      <c r="BF39" s="284">
        <f t="shared" si="27"/>
        <v>0</v>
      </c>
      <c r="BG39" s="285">
        <f t="shared" si="27"/>
        <v>0</v>
      </c>
      <c r="BH39" s="286" t="e">
        <f t="shared" si="28"/>
        <v>#NAME?</v>
      </c>
    </row>
    <row r="40" spans="1:60" s="27" customFormat="1" ht="30">
      <c r="A40" s="165">
        <v>16</v>
      </c>
      <c r="B40" s="521">
        <v>21</v>
      </c>
      <c r="C40" s="496"/>
      <c r="D40" s="497" t="s">
        <v>347</v>
      </c>
      <c r="E40" s="496" t="s">
        <v>390</v>
      </c>
      <c r="F40" s="498" t="s">
        <v>322</v>
      </c>
      <c r="G40" s="498"/>
      <c r="H40" s="498" t="s">
        <v>13</v>
      </c>
      <c r="I40" s="498"/>
      <c r="J40" s="499" t="s">
        <v>140</v>
      </c>
      <c r="K40" s="499" t="s">
        <v>140</v>
      </c>
      <c r="L40" s="499" t="s">
        <v>140</v>
      </c>
      <c r="M40" s="500" t="str">
        <f t="shared" si="18"/>
        <v>VL</v>
      </c>
      <c r="N40" s="501" t="str">
        <f>IF(M40="Data missing","Data missing",IF(M40="VH","H",(IF(M40="H",HLOOKUP(J40,'3 - Prioritisation'!$D$16:$H$21,3,FALSE),IF(M40="M",HLOOKUP(J40,'3 - Prioritisation'!$D$16:$H$21,4,FALSE),IF(M40="L",HLOOKUP(J40,'3 - Prioritisation'!$D$16:$H$21,5,FALSE),IF(M40="VL",HLOOKUP(J40,'3 - Prioritisation'!$D$16:$H$21,6,FALSE))))))))</f>
        <v>L</v>
      </c>
      <c r="O40" s="502"/>
      <c r="P40" s="503" t="s">
        <v>403</v>
      </c>
      <c r="Q40" s="503" t="s">
        <v>404</v>
      </c>
      <c r="R40" s="504"/>
      <c r="S40" s="499"/>
      <c r="T40" s="505"/>
      <c r="U40" s="506">
        <v>0.2</v>
      </c>
      <c r="V40" s="499" t="s">
        <v>23</v>
      </c>
      <c r="W40" s="669" t="s">
        <v>140</v>
      </c>
      <c r="X40" s="499" t="s">
        <v>23</v>
      </c>
      <c r="Y40" s="500" t="str">
        <f t="shared" si="19"/>
        <v>L</v>
      </c>
      <c r="Z40" s="501" t="str">
        <f>IF(Y40="Data missing","Data missing",IF(Y40="VH","H",(IF(Y40="H",HLOOKUP(V40,'3 - Prioritisation'!$D$16:$H$21,3,FALSE),IF(Y40="M",HLOOKUP(V40,'3 - Prioritisation'!$D$16:$H$21,4,FALSE),IF(Y40="L",HLOOKUP(V40,'3 - Prioritisation'!$D$16:$H$21,5,FALSE),IF(Y40="VL",HLOOKUP(V40,'3 - Prioritisation'!$D$16:$H$21,6,FALSE))))))))</f>
        <v>L</v>
      </c>
      <c r="AA40" s="507">
        <v>10000</v>
      </c>
      <c r="AB40" s="507">
        <v>15000</v>
      </c>
      <c r="AC40" s="507">
        <v>25000</v>
      </c>
      <c r="AD40" s="508">
        <f t="shared" si="20"/>
        <v>3000</v>
      </c>
      <c r="AE40" s="509" t="e">
        <f>IF(AF40="Data missing","Data missing",IF(OR(U40="",AA40="",AB40="",AC40=""),"",_XLL.RISKBINOMIAL(1,U40)))</f>
        <v>#NAME?</v>
      </c>
      <c r="AF40" s="510" t="e">
        <f>IF(OR(U40="",AA40="",AB40="",AC40=""),"Data missing",_XLL.RISKPERT(AA40,AB40,AC40,_XLL.RISKNAME("Risk ID"&amp;B40),_XLL.RISKCOLLECT()))</f>
        <v>#NAME?</v>
      </c>
      <c r="AG40" s="511" t="e">
        <f t="shared" si="21"/>
        <v>#NAME?</v>
      </c>
      <c r="AH40" s="522" t="s">
        <v>594</v>
      </c>
      <c r="AI40" s="26"/>
      <c r="AJ40" s="34">
        <f t="shared" si="22"/>
        <v>0</v>
      </c>
      <c r="AK40" s="35" t="e">
        <f t="shared" si="22"/>
        <v>#NAME?</v>
      </c>
      <c r="AL40" s="35">
        <f t="shared" si="22"/>
        <v>0</v>
      </c>
      <c r="AM40" s="35">
        <f t="shared" si="22"/>
        <v>0</v>
      </c>
      <c r="AN40" s="35">
        <f t="shared" si="22"/>
        <v>0</v>
      </c>
      <c r="AO40" s="36">
        <f t="shared" si="22"/>
        <v>0</v>
      </c>
      <c r="AP40" s="37" t="e">
        <f t="shared" si="23"/>
        <v>#NAME?</v>
      </c>
      <c r="AR40" s="229"/>
      <c r="AS40" s="88"/>
      <c r="AT40" s="288">
        <f t="shared" si="24"/>
        <v>0</v>
      </c>
      <c r="AU40" s="191">
        <v>1</v>
      </c>
      <c r="AV40" s="192">
        <v>3</v>
      </c>
      <c r="AW40" s="193">
        <v>5</v>
      </c>
      <c r="AX40" s="71" t="e">
        <f>IF(AY40="Data missing","Data missing",IF(OR(AT40="",AU40="",AV40="",AW40=""),"",_XLL.RISKBINOMIAL(1,AT40)))</f>
        <v>#NAME?</v>
      </c>
      <c r="AY40" s="95" t="e">
        <f>IF(OR(AT40="",AU40="",AV40="",AW40=""),"Data missing",_XLL.RISKPERT(AU40,AV40,AW40))</f>
        <v>#NAME?</v>
      </c>
      <c r="AZ40" s="96" t="e">
        <f t="shared" si="25"/>
        <v>#NAME?</v>
      </c>
      <c r="BB40" s="283">
        <f t="shared" si="26"/>
        <v>0</v>
      </c>
      <c r="BC40" s="289" t="e">
        <f t="shared" si="26"/>
        <v>#NAME?</v>
      </c>
      <c r="BD40" s="289">
        <f t="shared" si="26"/>
        <v>0</v>
      </c>
      <c r="BE40" s="284">
        <f t="shared" si="27"/>
        <v>0</v>
      </c>
      <c r="BF40" s="284">
        <f t="shared" si="27"/>
        <v>0</v>
      </c>
      <c r="BG40" s="285">
        <f t="shared" si="27"/>
        <v>0</v>
      </c>
      <c r="BH40" s="286" t="e">
        <f t="shared" si="28"/>
        <v>#NAME?</v>
      </c>
    </row>
    <row r="41" spans="1:60" s="27" customFormat="1" ht="60.75" customHeight="1">
      <c r="A41" s="165">
        <v>17</v>
      </c>
      <c r="B41" s="521">
        <v>22</v>
      </c>
      <c r="C41" s="496"/>
      <c r="D41" s="497" t="s">
        <v>524</v>
      </c>
      <c r="E41" s="496" t="s">
        <v>389</v>
      </c>
      <c r="F41" s="498" t="s">
        <v>322</v>
      </c>
      <c r="G41" s="498"/>
      <c r="H41" s="498" t="s">
        <v>190</v>
      </c>
      <c r="I41" s="498"/>
      <c r="J41" s="499" t="s">
        <v>25</v>
      </c>
      <c r="K41" s="499" t="s">
        <v>23</v>
      </c>
      <c r="L41" s="499" t="s">
        <v>23</v>
      </c>
      <c r="M41" s="500" t="str">
        <f t="shared" si="18"/>
        <v>L</v>
      </c>
      <c r="N41" s="501" t="str">
        <f>IF(M41="Data missing","Data missing",IF(M41="VH","H",(IF(M41="H",HLOOKUP(J41,'3 - Prioritisation'!$D$16:$H$21,3,FALSE),IF(M41="M",HLOOKUP(J41,'3 - Prioritisation'!$D$16:$H$21,4,FALSE),IF(M41="L",HLOOKUP(J41,'3 - Prioritisation'!$D$16:$H$21,5,FALSE),IF(M41="VL",HLOOKUP(J41,'3 - Prioritisation'!$D$16:$H$21,6,FALSE))))))))</f>
        <v>M</v>
      </c>
      <c r="O41" s="502"/>
      <c r="P41" s="566" t="s">
        <v>397</v>
      </c>
      <c r="Q41" s="502" t="s">
        <v>398</v>
      </c>
      <c r="R41" s="504"/>
      <c r="S41" s="499"/>
      <c r="T41" s="505"/>
      <c r="U41" s="506">
        <v>0.5</v>
      </c>
      <c r="V41" s="499" t="s">
        <v>24</v>
      </c>
      <c r="W41" s="499" t="s">
        <v>23</v>
      </c>
      <c r="X41" s="499" t="s">
        <v>23</v>
      </c>
      <c r="Y41" s="500" t="str">
        <f t="shared" si="19"/>
        <v>L</v>
      </c>
      <c r="Z41" s="501" t="str">
        <f>IF(Y41="Data missing","Data missing",IF(Y41="VH","H",(IF(Y41="H",HLOOKUP(V41,'3 - Prioritisation'!$D$16:$H$21,3,FALSE),IF(Y41="M",HLOOKUP(V41,'3 - Prioritisation'!$D$16:$H$21,4,FALSE),IF(Y41="L",HLOOKUP(V41,'3 - Prioritisation'!$D$16:$H$21,5,FALSE),IF(Y41="VL",HLOOKUP(V41,'3 - Prioritisation'!$D$16:$H$21,6,FALSE))))))))</f>
        <v>L</v>
      </c>
      <c r="AA41" s="507">
        <v>50000</v>
      </c>
      <c r="AB41" s="507">
        <v>75000</v>
      </c>
      <c r="AC41" s="507">
        <v>100000</v>
      </c>
      <c r="AD41" s="508">
        <f t="shared" si="20"/>
        <v>37500</v>
      </c>
      <c r="AE41" s="509" t="e">
        <f>IF(AF41="Data missing","Data missing",IF(OR(U41="",AA41="",AB41="",AC41=""),"",_XLL.RISKBINOMIAL(1,U41)))</f>
        <v>#NAME?</v>
      </c>
      <c r="AF41" s="510" t="e">
        <f>IF(OR(U41="",AA41="",AB41="",AC41=""),"Data missing",_XLL.RISKPERT(AA41,AB41,AC41,_XLL.RISKNAME("Risk ID"&amp;B41),_XLL.RISKCOLLECT()))</f>
        <v>#NAME?</v>
      </c>
      <c r="AG41" s="511" t="e">
        <f t="shared" si="21"/>
        <v>#NAME?</v>
      </c>
      <c r="AH41" s="522" t="s">
        <v>573</v>
      </c>
      <c r="AI41" s="26"/>
      <c r="AJ41" s="34" t="e">
        <f t="shared" si="22"/>
        <v>#NAME?</v>
      </c>
      <c r="AK41" s="35">
        <f t="shared" si="22"/>
        <v>0</v>
      </c>
      <c r="AL41" s="35">
        <f t="shared" si="22"/>
        <v>0</v>
      </c>
      <c r="AM41" s="35">
        <f t="shared" si="22"/>
        <v>0</v>
      </c>
      <c r="AN41" s="35">
        <f t="shared" si="22"/>
        <v>0</v>
      </c>
      <c r="AO41" s="36">
        <f t="shared" si="22"/>
        <v>0</v>
      </c>
      <c r="AP41" s="37" t="e">
        <f t="shared" si="23"/>
        <v>#NAME?</v>
      </c>
      <c r="AR41" s="229"/>
      <c r="AS41" s="88"/>
      <c r="AT41" s="288">
        <f t="shared" si="24"/>
        <v>0</v>
      </c>
      <c r="AU41" s="191">
        <v>1</v>
      </c>
      <c r="AV41" s="192">
        <v>3</v>
      </c>
      <c r="AW41" s="193">
        <v>5</v>
      </c>
      <c r="AX41" s="71" t="e">
        <f>IF(AY41="Data missing","Data missing",IF(OR(AT41="",AU41="",AV41="",AW41=""),"",_XLL.RISKBINOMIAL(1,AT41)))</f>
        <v>#NAME?</v>
      </c>
      <c r="AY41" s="95" t="e">
        <f>IF(OR(AT41="",AU41="",AV41="",AW41=""),"Data missing",_XLL.RISKPERT(AU41,AV41,AW41))</f>
        <v>#NAME?</v>
      </c>
      <c r="AZ41" s="96" t="e">
        <f t="shared" si="25"/>
        <v>#NAME?</v>
      </c>
      <c r="BB41" s="283" t="e">
        <f t="shared" si="26"/>
        <v>#NAME?</v>
      </c>
      <c r="BC41" s="289">
        <f t="shared" si="26"/>
        <v>0</v>
      </c>
      <c r="BD41" s="289">
        <f t="shared" si="26"/>
        <v>0</v>
      </c>
      <c r="BE41" s="284">
        <f t="shared" si="27"/>
        <v>0</v>
      </c>
      <c r="BF41" s="284">
        <f t="shared" si="27"/>
        <v>0</v>
      </c>
      <c r="BG41" s="285">
        <f t="shared" si="27"/>
        <v>0</v>
      </c>
      <c r="BH41" s="286" t="e">
        <f t="shared" si="28"/>
        <v>#NAME?</v>
      </c>
    </row>
    <row r="42" spans="1:60" s="27" customFormat="1" ht="44.25" customHeight="1">
      <c r="A42" s="755">
        <v>18</v>
      </c>
      <c r="B42" s="521">
        <v>23</v>
      </c>
      <c r="C42" s="518"/>
      <c r="D42" s="497" t="s">
        <v>435</v>
      </c>
      <c r="E42" s="496" t="s">
        <v>525</v>
      </c>
      <c r="F42" s="498" t="s">
        <v>322</v>
      </c>
      <c r="G42" s="498"/>
      <c r="H42" s="498" t="s">
        <v>190</v>
      </c>
      <c r="I42" s="498"/>
      <c r="J42" s="499" t="s">
        <v>23</v>
      </c>
      <c r="K42" s="499" t="s">
        <v>23</v>
      </c>
      <c r="L42" s="499" t="s">
        <v>24</v>
      </c>
      <c r="M42" s="500" t="str">
        <f t="shared" si="18"/>
        <v>M</v>
      </c>
      <c r="N42" s="501" t="str">
        <f>IF(M42="Data missing","Data missing",IF(M42="VH","H",(IF(M42="H",HLOOKUP(J42,'3 - Prioritisation'!$D$16:$H$21,3,FALSE),IF(M42="M",HLOOKUP(J42,'3 - Prioritisation'!$D$16:$H$21,4,FALSE),IF(M42="L",HLOOKUP(J42,'3 - Prioritisation'!$D$16:$H$21,5,FALSE),IF(M42="VL",HLOOKUP(J42,'3 - Prioritisation'!$D$16:$H$21,6,FALSE))))))))</f>
        <v>M</v>
      </c>
      <c r="O42" s="502"/>
      <c r="P42" s="503" t="s">
        <v>436</v>
      </c>
      <c r="Q42" s="503" t="s">
        <v>562</v>
      </c>
      <c r="R42" s="504"/>
      <c r="S42" s="499"/>
      <c r="T42" s="505"/>
      <c r="U42" s="506">
        <v>0.6</v>
      </c>
      <c r="V42" s="499" t="s">
        <v>25</v>
      </c>
      <c r="W42" s="499" t="s">
        <v>24</v>
      </c>
      <c r="X42" s="499" t="s">
        <v>23</v>
      </c>
      <c r="Y42" s="500" t="str">
        <f t="shared" si="19"/>
        <v>M</v>
      </c>
      <c r="Z42" s="501" t="str">
        <f>IF(Y42="Data missing","Data missing",IF(Y42="VH","H",(IF(Y42="H",HLOOKUP(V42,'3 - Prioritisation'!$D$16:$H$21,3,FALSE),IF(Y42="M",HLOOKUP(V42,'3 - Prioritisation'!$D$16:$H$21,4,FALSE),IF(Y42="L",HLOOKUP(V42,'3 - Prioritisation'!$D$16:$H$21,5,FALSE),IF(Y42="VL",HLOOKUP(V42,'3 - Prioritisation'!$D$16:$H$21,6,FALSE))))))))</f>
        <v>M</v>
      </c>
      <c r="AA42" s="507">
        <v>25000</v>
      </c>
      <c r="AB42" s="507">
        <v>50000</v>
      </c>
      <c r="AC42" s="743">
        <v>1250000</v>
      </c>
      <c r="AD42" s="508">
        <f t="shared" si="20"/>
        <v>30000</v>
      </c>
      <c r="AE42" s="509" t="e">
        <f>IF(AF42="Data missing","Data missing",IF(OR(U42="",AA42="",AB42="",AC42=""),"",_XLL.RISKBINOMIAL(1,U42)))</f>
        <v>#NAME?</v>
      </c>
      <c r="AF42" s="510" t="e">
        <f>IF(OR(U42="",AA42="",AB42="",AC42=""),"Data missing",_XLL.RISKPERT(AA42,AB42,AC42,_XLL.RISKNAME("Risk ID"&amp;B42),_XLL.RISKCOLLECT()))</f>
        <v>#NAME?</v>
      </c>
      <c r="AG42" s="511" t="e">
        <f t="shared" si="21"/>
        <v>#NAME?</v>
      </c>
      <c r="AH42" s="522" t="s">
        <v>698</v>
      </c>
      <c r="AI42" s="26"/>
      <c r="AJ42" s="34" t="e">
        <f t="shared" si="22"/>
        <v>#NAME?</v>
      </c>
      <c r="AK42" s="35">
        <f t="shared" si="22"/>
        <v>0</v>
      </c>
      <c r="AL42" s="35">
        <f t="shared" si="22"/>
        <v>0</v>
      </c>
      <c r="AM42" s="35">
        <f t="shared" si="22"/>
        <v>0</v>
      </c>
      <c r="AN42" s="35">
        <f t="shared" si="22"/>
        <v>0</v>
      </c>
      <c r="AO42" s="36">
        <f t="shared" si="22"/>
        <v>0</v>
      </c>
      <c r="AP42" s="37" t="e">
        <f t="shared" si="23"/>
        <v>#NAME?</v>
      </c>
      <c r="AR42" s="229"/>
      <c r="AS42" s="88"/>
      <c r="AT42" s="288">
        <f t="shared" si="24"/>
        <v>0</v>
      </c>
      <c r="AU42" s="191">
        <v>1</v>
      </c>
      <c r="AV42" s="192">
        <v>3</v>
      </c>
      <c r="AW42" s="193">
        <v>5</v>
      </c>
      <c r="AX42" s="71" t="e">
        <f>IF(AY42="Data missing","Data missing",IF(OR(AT42="",AU42="",AV42="",AW42=""),"",_XLL.RISKBINOMIAL(1,AT42)))</f>
        <v>#NAME?</v>
      </c>
      <c r="AY42" s="95" t="e">
        <f>IF(OR(AT42="",AU42="",AV42="",AW42=""),"Data missing",_XLL.RISKPERT(AU42,AV42,AW42))</f>
        <v>#NAME?</v>
      </c>
      <c r="AZ42" s="96" t="e">
        <f t="shared" si="25"/>
        <v>#NAME?</v>
      </c>
      <c r="BB42" s="283" t="e">
        <f t="shared" si="26"/>
        <v>#NAME?</v>
      </c>
      <c r="BC42" s="289">
        <f t="shared" si="26"/>
        <v>0</v>
      </c>
      <c r="BD42" s="289">
        <f t="shared" si="26"/>
        <v>0</v>
      </c>
      <c r="BE42" s="284">
        <f t="shared" si="27"/>
        <v>0</v>
      </c>
      <c r="BF42" s="284">
        <f t="shared" si="27"/>
        <v>0</v>
      </c>
      <c r="BG42" s="285">
        <f t="shared" si="27"/>
        <v>0</v>
      </c>
      <c r="BH42" s="286" t="e">
        <f t="shared" si="28"/>
        <v>#NAME?</v>
      </c>
    </row>
    <row r="43" spans="1:60" s="390" customFormat="1" ht="72" customHeight="1">
      <c r="A43" s="165">
        <v>19</v>
      </c>
      <c r="B43" s="521">
        <v>24</v>
      </c>
      <c r="C43" s="496"/>
      <c r="D43" s="682" t="s">
        <v>595</v>
      </c>
      <c r="E43" s="496" t="s">
        <v>352</v>
      </c>
      <c r="F43" s="498" t="s">
        <v>322</v>
      </c>
      <c r="G43" s="498"/>
      <c r="H43" s="498" t="s">
        <v>190</v>
      </c>
      <c r="I43" s="498"/>
      <c r="J43" s="499" t="s">
        <v>25</v>
      </c>
      <c r="K43" s="499" t="s">
        <v>23</v>
      </c>
      <c r="L43" s="499" t="s">
        <v>26</v>
      </c>
      <c r="M43" s="500" t="str">
        <f t="shared" si="18"/>
        <v>VH</v>
      </c>
      <c r="N43" s="501" t="str">
        <f>IF(M43="Data missing","Data missing",IF(M43="VH","H",(IF(M43="H",HLOOKUP(J43,'3 - Prioritisation'!$D$16:$H$21,3,FALSE),IF(M43="M",HLOOKUP(J43,'3 - Prioritisation'!$D$16:$H$21,4,FALSE),IF(M43="L",HLOOKUP(J43,'3 - Prioritisation'!$D$16:$H$21,5,FALSE),IF(M43="VL",HLOOKUP(J43,'3 - Prioritisation'!$D$16:$H$21,6,FALSE))))))))</f>
        <v>H</v>
      </c>
      <c r="O43" s="502"/>
      <c r="P43" s="503" t="s">
        <v>597</v>
      </c>
      <c r="Q43" s="503" t="s">
        <v>596</v>
      </c>
      <c r="R43" s="504"/>
      <c r="S43" s="499"/>
      <c r="T43" s="505"/>
      <c r="U43" s="506">
        <v>0.5</v>
      </c>
      <c r="V43" s="499" t="s">
        <v>24</v>
      </c>
      <c r="W43" s="669" t="s">
        <v>23</v>
      </c>
      <c r="X43" s="499" t="s">
        <v>24</v>
      </c>
      <c r="Y43" s="500" t="str">
        <f t="shared" si="19"/>
        <v>M</v>
      </c>
      <c r="Z43" s="501" t="str">
        <f>IF(Y43="Data missing","Data missing",IF(Y43="VH","H",(IF(Y43="H",HLOOKUP(V43,'3 - Prioritisation'!$D$16:$H$21,3,FALSE),IF(Y43="M",HLOOKUP(V43,'3 - Prioritisation'!$D$16:$H$21,4,FALSE),IF(Y43="L",HLOOKUP(V43,'3 - Prioritisation'!$D$16:$H$21,5,FALSE),IF(Y43="VL",HLOOKUP(V43,'3 - Prioritisation'!$D$16:$H$21,6,FALSE))))))))</f>
        <v>M</v>
      </c>
      <c r="AA43" s="507">
        <v>50000</v>
      </c>
      <c r="AB43" s="507">
        <v>100000</v>
      </c>
      <c r="AC43" s="507">
        <v>1250000</v>
      </c>
      <c r="AD43" s="508">
        <f t="shared" si="20"/>
        <v>50000</v>
      </c>
      <c r="AE43" s="509" t="e">
        <f>IF(AF43="Data missing","Data missing",IF(OR(U43="",AA43="",AB43="",AC43=""),"",_XLL.RISKBINOMIAL(1,U43)))</f>
        <v>#NAME?</v>
      </c>
      <c r="AF43" s="510" t="e">
        <f>IF(OR(U43="",AA43="",AB43="",AC43=""),"Data missing",_XLL.RISKPERT(AA43,AB43,AC43,_XLL.RISKNAME("Risk ID"&amp;B43),_XLL.RISKCOLLECT()))</f>
        <v>#NAME?</v>
      </c>
      <c r="AG43" s="511" t="e">
        <f t="shared" si="21"/>
        <v>#NAME?</v>
      </c>
      <c r="AH43" s="522" t="s">
        <v>672</v>
      </c>
      <c r="AI43" s="26"/>
      <c r="AJ43" s="34" t="e">
        <f t="shared" si="22"/>
        <v>#NAME?</v>
      </c>
      <c r="AK43" s="35">
        <f t="shared" si="22"/>
        <v>0</v>
      </c>
      <c r="AL43" s="35">
        <f t="shared" si="22"/>
        <v>0</v>
      </c>
      <c r="AM43" s="35">
        <f t="shared" si="22"/>
        <v>0</v>
      </c>
      <c r="AN43" s="35">
        <f t="shared" si="22"/>
        <v>0</v>
      </c>
      <c r="AO43" s="36">
        <f t="shared" si="22"/>
        <v>0</v>
      </c>
      <c r="AP43" s="37" t="e">
        <f t="shared" si="23"/>
        <v>#NAME?</v>
      </c>
      <c r="AQ43" s="27"/>
      <c r="AR43" s="229"/>
      <c r="AS43" s="88"/>
      <c r="AT43" s="288">
        <f t="shared" si="24"/>
        <v>0</v>
      </c>
      <c r="AU43" s="191">
        <v>2</v>
      </c>
      <c r="AV43" s="192">
        <v>4</v>
      </c>
      <c r="AW43" s="193">
        <v>6</v>
      </c>
      <c r="AX43" s="71" t="e">
        <f>IF(AY43="Data missing","Data missing",IF(OR(AT43="",AU43="",AV43="",AW43=""),"",_XLL.RISKBINOMIAL(1,AT43)))</f>
        <v>#NAME?</v>
      </c>
      <c r="AY43" s="95" t="e">
        <f>IF(OR(AT43="",AU43="",AV43="",AW43=""),"Data missing",_XLL.RISKPERT(AU43,AV43,AW43))</f>
        <v>#NAME?</v>
      </c>
      <c r="AZ43" s="96" t="e">
        <f t="shared" si="25"/>
        <v>#NAME?</v>
      </c>
      <c r="BA43" s="27"/>
      <c r="BB43" s="283" t="e">
        <f t="shared" si="26"/>
        <v>#NAME?</v>
      </c>
      <c r="BC43" s="289">
        <f t="shared" si="26"/>
        <v>0</v>
      </c>
      <c r="BD43" s="289">
        <f t="shared" si="26"/>
        <v>0</v>
      </c>
      <c r="BE43" s="284">
        <f t="shared" si="27"/>
        <v>0</v>
      </c>
      <c r="BF43" s="284">
        <f t="shared" si="27"/>
        <v>0</v>
      </c>
      <c r="BG43" s="285">
        <f t="shared" si="27"/>
        <v>0</v>
      </c>
      <c r="BH43" s="286" t="e">
        <f t="shared" si="28"/>
        <v>#NAME?</v>
      </c>
    </row>
    <row r="44" spans="1:60" s="27" customFormat="1" ht="45" customHeight="1">
      <c r="A44" s="165">
        <v>20</v>
      </c>
      <c r="B44" s="521">
        <v>25</v>
      </c>
      <c r="C44" s="496"/>
      <c r="D44" s="497" t="s">
        <v>437</v>
      </c>
      <c r="E44" s="496" t="s">
        <v>361</v>
      </c>
      <c r="F44" s="498" t="s">
        <v>322</v>
      </c>
      <c r="G44" s="498"/>
      <c r="H44" s="498" t="s">
        <v>190</v>
      </c>
      <c r="I44" s="498"/>
      <c r="J44" s="499" t="s">
        <v>23</v>
      </c>
      <c r="K44" s="499" t="s">
        <v>140</v>
      </c>
      <c r="L44" s="499" t="s">
        <v>24</v>
      </c>
      <c r="M44" s="500" t="str">
        <f t="shared" si="18"/>
        <v>M</v>
      </c>
      <c r="N44" s="501" t="str">
        <f>IF(M44="Data missing","Data missing",IF(M44="VH","H",(IF(M44="H",HLOOKUP(J44,'3 - Prioritisation'!$D$16:$H$21,3,FALSE),IF(M44="M",HLOOKUP(J44,'3 - Prioritisation'!$D$16:$H$21,4,FALSE),IF(M44="L",HLOOKUP(J44,'3 - Prioritisation'!$D$16:$H$21,5,FALSE),IF(M44="VL",HLOOKUP(J44,'3 - Prioritisation'!$D$16:$H$21,6,FALSE))))))))</f>
        <v>M</v>
      </c>
      <c r="O44" s="502"/>
      <c r="P44" s="503" t="s">
        <v>438</v>
      </c>
      <c r="Q44" s="503" t="s">
        <v>362</v>
      </c>
      <c r="R44" s="504"/>
      <c r="S44" s="499"/>
      <c r="T44" s="505"/>
      <c r="U44" s="723">
        <v>0.15</v>
      </c>
      <c r="V44" s="499" t="s">
        <v>23</v>
      </c>
      <c r="W44" s="669" t="s">
        <v>140</v>
      </c>
      <c r="X44" s="499" t="s">
        <v>23</v>
      </c>
      <c r="Y44" s="500" t="str">
        <f>IF(OR(W44="",X44="",V44=""),"Data missing",IF(OR(W44="VH",X44="VH"),"VH",IF(OR(W44="H",X44="H"),"H",IF(OR(W44="M",X44="M"),"M",IF(OR(W44="L",X44="L"),"L",IF(OR(W44="VL",X44="VL"),"VL"))))))</f>
        <v>L</v>
      </c>
      <c r="Z44" s="501" t="str">
        <f>IF(Y44="Data missing","Data missing",IF(Y44="VH","H",(IF(Y44="H",HLOOKUP(V44,'3 - Prioritisation'!$D$16:$H$21,3,FALSE),IF(Y44="M",HLOOKUP(V44,'3 - Prioritisation'!$D$16:$H$21,4,FALSE),IF(Y44="L",HLOOKUP(V44,'3 - Prioritisation'!$D$16:$H$21,5,FALSE),IF(Y44="VL",HLOOKUP(V44,'3 - Prioritisation'!$D$16:$H$21,6,FALSE))))))))</f>
        <v>L</v>
      </c>
      <c r="AA44" s="507">
        <v>10000</v>
      </c>
      <c r="AB44" s="507">
        <v>25000</v>
      </c>
      <c r="AC44" s="507">
        <v>50000</v>
      </c>
      <c r="AD44" s="508">
        <f t="shared" si="20"/>
        <v>3750</v>
      </c>
      <c r="AE44" s="509" t="e">
        <f>IF(AF44="Data missing","Data missing",IF(OR(U44="",AA44="",AB44="",AC44=""),"",_XLL.RISKBINOMIAL(1,U44)))</f>
        <v>#NAME?</v>
      </c>
      <c r="AF44" s="510" t="e">
        <f>IF(OR(U44="",AA44="",AB44="",AC44=""),"Data missing",_XLL.RISKPERT(AA44,AB44,AC44,_XLL.RISKNAME("Risk ID"&amp;B44),_XLL.RISKCOLLECT()))</f>
        <v>#NAME?</v>
      </c>
      <c r="AG44" s="511" t="e">
        <f t="shared" si="21"/>
        <v>#NAME?</v>
      </c>
      <c r="AH44" s="522" t="s">
        <v>586</v>
      </c>
      <c r="AI44" s="26"/>
      <c r="AJ44" s="34" t="e">
        <f t="shared" si="22"/>
        <v>#NAME?</v>
      </c>
      <c r="AK44" s="35">
        <f t="shared" si="22"/>
        <v>0</v>
      </c>
      <c r="AL44" s="35">
        <f t="shared" si="22"/>
        <v>0</v>
      </c>
      <c r="AM44" s="35">
        <f t="shared" si="22"/>
        <v>0</v>
      </c>
      <c r="AN44" s="35">
        <f t="shared" si="22"/>
        <v>0</v>
      </c>
      <c r="AO44" s="36">
        <f t="shared" si="22"/>
        <v>0</v>
      </c>
      <c r="AP44" s="37" t="e">
        <f t="shared" si="23"/>
        <v>#NAME?</v>
      </c>
      <c r="AR44" s="229"/>
      <c r="AS44" s="88"/>
      <c r="AT44" s="288">
        <f>IF(AS44="Yes",U44,0)</f>
        <v>0</v>
      </c>
      <c r="AU44" s="191">
        <v>2</v>
      </c>
      <c r="AV44" s="192">
        <v>5</v>
      </c>
      <c r="AW44" s="193">
        <v>8</v>
      </c>
      <c r="AX44" s="71" t="e">
        <f>IF(AY44="Data missing","Data missing",IF(OR(AT44="",AU44="",AV44="",AW44=""),"",_XLL.RISKBINOMIAL(1,AT44)))</f>
        <v>#NAME?</v>
      </c>
      <c r="AY44" s="95" t="e">
        <f>IF(OR(AT44="",AU44="",AV44="",AW44=""),"Data missing",_XLL.RISKPERT(AU44,AV44,AW44))</f>
        <v>#NAME?</v>
      </c>
      <c r="AZ44" s="96" t="e">
        <f>IF(AY44="Data missing","Data missing",IF(OR(AT44="",AU44="",AV44="",AW44=""),"",AX44*AY44))</f>
        <v>#NAME?</v>
      </c>
      <c r="BB44" s="283" t="e">
        <f>IF($H44="","Identify Risk Owner",IF($H44=BB$16,$AZ44,0))</f>
        <v>#NAME?</v>
      </c>
      <c r="BC44" s="289">
        <f>IF($H44="","Identify Risk Owner",IF($H44=BC$16,$AZ44,0))</f>
        <v>0</v>
      </c>
      <c r="BD44" s="289">
        <f>IF($H44="","Identify Risk Owner",IF($H44=BD$16,$AZ44,0))</f>
        <v>0</v>
      </c>
      <c r="BE44" s="284">
        <f>IF($H44="","Identify risk owner",IF($H44=BE$16,$AZ44,0))</f>
        <v>0</v>
      </c>
      <c r="BF44" s="284">
        <f>IF($H44="","Identify risk owner",IF($H44=BF$16,$AZ44,0))</f>
        <v>0</v>
      </c>
      <c r="BG44" s="285">
        <f>IF($H44="","Identify risk owner",IF($H44=BG$16,$AZ44,0))</f>
        <v>0</v>
      </c>
      <c r="BH44" s="286" t="e">
        <f>SUM(BB44:BG44)</f>
        <v>#NAME?</v>
      </c>
    </row>
    <row r="45" spans="1:60" s="27" customFormat="1" ht="33" customHeight="1">
      <c r="A45" s="756"/>
      <c r="B45" s="683"/>
      <c r="C45" s="512"/>
      <c r="D45" s="513" t="s">
        <v>340</v>
      </c>
      <c r="E45" s="512"/>
      <c r="F45" s="512"/>
      <c r="G45" s="512"/>
      <c r="H45" s="664"/>
      <c r="I45" s="512"/>
      <c r="J45" s="512"/>
      <c r="K45" s="512"/>
      <c r="L45" s="512"/>
      <c r="M45" s="512"/>
      <c r="N45" s="512"/>
      <c r="O45" s="512"/>
      <c r="P45" s="512"/>
      <c r="Q45" s="512"/>
      <c r="R45" s="512"/>
      <c r="S45" s="512"/>
      <c r="T45" s="512"/>
      <c r="U45" s="512"/>
      <c r="V45" s="512"/>
      <c r="W45" s="512"/>
      <c r="X45" s="512"/>
      <c r="Y45" s="512"/>
      <c r="Z45" s="512"/>
      <c r="AA45" s="664"/>
      <c r="AB45" s="512"/>
      <c r="AC45" s="664"/>
      <c r="AD45" s="664"/>
      <c r="AE45" s="664"/>
      <c r="AF45" s="664"/>
      <c r="AG45" s="664"/>
      <c r="AH45" s="753"/>
      <c r="AI45" s="26"/>
      <c r="AJ45" s="365"/>
      <c r="AK45" s="40"/>
      <c r="AL45" s="40"/>
      <c r="AM45" s="40"/>
      <c r="AN45" s="40"/>
      <c r="AO45" s="41"/>
      <c r="AP45" s="280"/>
      <c r="AR45" s="366"/>
      <c r="AS45" s="323"/>
      <c r="AT45" s="367"/>
      <c r="AU45" s="368"/>
      <c r="AV45" s="369"/>
      <c r="AW45" s="370"/>
      <c r="AX45" s="371"/>
      <c r="AY45" s="372"/>
      <c r="AZ45" s="373"/>
      <c r="BB45" s="294"/>
      <c r="BC45" s="295"/>
      <c r="BD45" s="295"/>
      <c r="BE45" s="296"/>
      <c r="BF45" s="296"/>
      <c r="BG45" s="297"/>
      <c r="BH45" s="298"/>
    </row>
    <row r="46" spans="1:60" s="27" customFormat="1" ht="72" customHeight="1">
      <c r="A46" s="165">
        <v>21</v>
      </c>
      <c r="B46" s="521">
        <v>26</v>
      </c>
      <c r="C46" s="496"/>
      <c r="D46" s="684" t="s">
        <v>604</v>
      </c>
      <c r="E46" s="676" t="s">
        <v>439</v>
      </c>
      <c r="F46" s="498" t="s">
        <v>322</v>
      </c>
      <c r="G46" s="498"/>
      <c r="H46" s="498" t="s">
        <v>190</v>
      </c>
      <c r="I46" s="729"/>
      <c r="J46" s="730" t="s">
        <v>26</v>
      </c>
      <c r="K46" s="730" t="s">
        <v>25</v>
      </c>
      <c r="L46" s="730" t="s">
        <v>24</v>
      </c>
      <c r="M46" s="500" t="str">
        <f aca="true" t="shared" si="29" ref="M46:M55">IF(OR(K46="",L46="",J46=""),"Data missing",IF(OR(K46="VH",L46="VH"),"VH",IF(OR(K46="H",L46="H"),"H",IF(OR(K46="M",L46="M"),"M",IF(OR(K46="L",L46="L"),"L",IF(OR(K46="VL",L46="VL"),"VL"))))))</f>
        <v>H</v>
      </c>
      <c r="N46" s="731" t="str">
        <f>IF(M46="Data missing","Data missing",IF(M46="VH","H",(IF(M46="H",HLOOKUP(J46,'3 - Prioritisation'!$D$16:$H$21,3,FALSE),IF(M46="M",HLOOKUP(J46,'3 - Prioritisation'!$D$16:$H$21,4,FALSE),IF(M46="L",HLOOKUP(J46,'3 - Prioritisation'!$D$16:$H$21,5,FALSE),IF(M46="VL",HLOOKUP(J46,'3 - Prioritisation'!$D$16:$H$21,6,FALSE))))))))</f>
        <v>H</v>
      </c>
      <c r="O46" s="731"/>
      <c r="P46" s="732" t="s">
        <v>526</v>
      </c>
      <c r="Q46" s="732" t="s">
        <v>362</v>
      </c>
      <c r="R46" s="733"/>
      <c r="S46" s="730"/>
      <c r="T46" s="734"/>
      <c r="U46" s="735">
        <v>0.6</v>
      </c>
      <c r="V46" s="730" t="s">
        <v>25</v>
      </c>
      <c r="W46" s="730" t="s">
        <v>25</v>
      </c>
      <c r="X46" s="730" t="s">
        <v>23</v>
      </c>
      <c r="Y46" s="744" t="str">
        <f aca="true" t="shared" si="30" ref="Y46:Y54">IF(OR(W46="",X46="",V46=""),"Data missing",IF(OR(W46="VH",X46="VH"),"VH",IF(OR(W46="H",X46="H"),"H",IF(OR(W46="M",X46="M"),"M",IF(OR(W46="L",X46="L"),"L",IF(OR(W46="VL",X46="VL"),"VL"))))))</f>
        <v>H</v>
      </c>
      <c r="Z46" s="745" t="str">
        <f>IF(Y46="Data missing","Data missing",IF(Y46="VH","H",(IF(Y46="H",HLOOKUP(V46,'3 - Prioritisation'!$D$16:$H$21,3,FALSE),IF(Y46="M",HLOOKUP(V46,'3 - Prioritisation'!$D$16:$H$21,4,FALSE),IF(Y46="L",HLOOKUP(V46,'3 - Prioritisation'!$D$16:$H$21,5,FALSE),IF(Y46="VL",HLOOKUP(V46,'3 - Prioritisation'!$D$16:$H$21,6,FALSE))))))))</f>
        <v>H</v>
      </c>
      <c r="AA46" s="746">
        <v>400000</v>
      </c>
      <c r="AB46" s="746">
        <v>800000</v>
      </c>
      <c r="AC46" s="746">
        <v>1000000</v>
      </c>
      <c r="AD46" s="508">
        <f aca="true" t="shared" si="31" ref="AD46:AD55">U46*AB46</f>
        <v>480000</v>
      </c>
      <c r="AE46" s="509" t="e">
        <f>IF(AF46="Data missing","Data missing",IF(OR(U46="",AA46="",AB46="",AC46=""),"",_XLL.RISKBINOMIAL(1,U46)))</f>
        <v>#NAME?</v>
      </c>
      <c r="AF46" s="510" t="e">
        <f>IF(OR(U46="",AA46="",AB46="",AC46=""),"Data missing",_XLL.RISKPERT(AA46,AB46,AC46,_XLL.RISKNAME("Risk ID"&amp;B46),_XLL.RISKCOLLECT()))</f>
        <v>#NAME?</v>
      </c>
      <c r="AG46" s="511" t="e">
        <f aca="true" t="shared" si="32" ref="AG46:AG55">IF(AF46="Data missing","Data missing",IF(OR(U46="",AA46="",AB46="",AC46=""),"",AE46*AF46))</f>
        <v>#NAME?</v>
      </c>
      <c r="AH46" s="522" t="s">
        <v>673</v>
      </c>
      <c r="AI46" s="26"/>
      <c r="AJ46" s="34" t="e">
        <f aca="true" t="shared" si="33" ref="AJ46:AO55">IF($H46="","Identify Risk Owner",IF($H46=AJ$16,$AG46,0))</f>
        <v>#NAME?</v>
      </c>
      <c r="AK46" s="35">
        <f t="shared" si="33"/>
        <v>0</v>
      </c>
      <c r="AL46" s="35">
        <f t="shared" si="33"/>
        <v>0</v>
      </c>
      <c r="AM46" s="35">
        <f t="shared" si="33"/>
        <v>0</v>
      </c>
      <c r="AN46" s="35">
        <f t="shared" si="33"/>
        <v>0</v>
      </c>
      <c r="AO46" s="36">
        <f t="shared" si="33"/>
        <v>0</v>
      </c>
      <c r="AP46" s="37" t="e">
        <f aca="true" t="shared" si="34" ref="AP46:AP55">SUM(AJ46:AO46)</f>
        <v>#NAME?</v>
      </c>
      <c r="AR46" s="229"/>
      <c r="AS46" s="88"/>
      <c r="AT46" s="288">
        <f aca="true" t="shared" si="35" ref="AT46:AT53">IF(AS46="Yes",U46,0)</f>
        <v>0</v>
      </c>
      <c r="AU46" s="191">
        <v>5</v>
      </c>
      <c r="AV46" s="192">
        <v>7</v>
      </c>
      <c r="AW46" s="193">
        <v>10</v>
      </c>
      <c r="AX46" s="71" t="e">
        <f>IF(AY46="Data missing","Data missing",IF(OR(AT46="",AU46="",AV46="",AW46=""),"",_XLL.RISKBINOMIAL(1,AT46)))</f>
        <v>#NAME?</v>
      </c>
      <c r="AY46" s="95" t="e">
        <f>IF(OR(AT46="",AU46="",AV46="",AW46=""),"Data missing",_XLL.RISKPERT(AU46,AV46,AW46))</f>
        <v>#NAME?</v>
      </c>
      <c r="AZ46" s="96" t="e">
        <f aca="true" t="shared" si="36" ref="AZ46:AZ54">IF(AY46="Data missing","Data missing",IF(OR(AT46="",AU46="",AV46="",AW46=""),"",AX46*AY46))</f>
        <v>#NAME?</v>
      </c>
      <c r="BB46" s="283" t="e">
        <f aca="true" t="shared" si="37" ref="BB46:BD47">IF($H46="","Identify Risk Owner",IF($H46=BB$16,$AZ46,0))</f>
        <v>#NAME?</v>
      </c>
      <c r="BC46" s="289">
        <f t="shared" si="37"/>
        <v>0</v>
      </c>
      <c r="BD46" s="289">
        <f t="shared" si="37"/>
        <v>0</v>
      </c>
      <c r="BE46" s="284">
        <f aca="true" t="shared" si="38" ref="BE46:BG47">IF($H46="","Identify risk owner",IF($H46=BE$16,$AZ46,0))</f>
        <v>0</v>
      </c>
      <c r="BF46" s="284">
        <f t="shared" si="38"/>
        <v>0</v>
      </c>
      <c r="BG46" s="285">
        <f t="shared" si="38"/>
        <v>0</v>
      </c>
      <c r="BH46" s="286" t="e">
        <f aca="true" t="shared" si="39" ref="BH46:BH54">SUM(BB46:BG46)</f>
        <v>#NAME?</v>
      </c>
    </row>
    <row r="47" spans="1:60" s="27" customFormat="1" ht="93" customHeight="1">
      <c r="A47" s="165" t="s">
        <v>635</v>
      </c>
      <c r="B47" s="521">
        <v>27</v>
      </c>
      <c r="C47" s="496"/>
      <c r="D47" s="681" t="s">
        <v>636</v>
      </c>
      <c r="E47" s="682" t="s">
        <v>440</v>
      </c>
      <c r="F47" s="498" t="s">
        <v>322</v>
      </c>
      <c r="G47" s="567"/>
      <c r="H47" s="498" t="s">
        <v>190</v>
      </c>
      <c r="I47" s="716"/>
      <c r="J47" s="669" t="s">
        <v>26</v>
      </c>
      <c r="K47" s="669" t="s">
        <v>26</v>
      </c>
      <c r="L47" s="669" t="s">
        <v>26</v>
      </c>
      <c r="M47" s="500" t="str">
        <f t="shared" si="29"/>
        <v>VH</v>
      </c>
      <c r="N47" s="718" t="str">
        <f>IF(M47="Data missing","Data missing",IF(M47="VH","H",(IF(M47="H",HLOOKUP(J47,'3 - Prioritisation'!$D$16:$H$21,3,FALSE),IF(M47="M",HLOOKUP(J47,'3 - Prioritisation'!$D$16:$H$21,4,FALSE),IF(M47="L",HLOOKUP(J47,'3 - Prioritisation'!$D$16:$H$21,5,FALSE),IF(M47="VL",HLOOKUP(J47,'3 - Prioritisation'!$D$16:$H$21,6,FALSE))))))))</f>
        <v>H</v>
      </c>
      <c r="O47" s="719"/>
      <c r="P47" s="720" t="s">
        <v>550</v>
      </c>
      <c r="Q47" s="720" t="s">
        <v>441</v>
      </c>
      <c r="R47" s="721"/>
      <c r="S47" s="669"/>
      <c r="T47" s="722"/>
      <c r="U47" s="723">
        <v>0.5</v>
      </c>
      <c r="V47" s="669" t="s">
        <v>24</v>
      </c>
      <c r="W47" s="669" t="s">
        <v>26</v>
      </c>
      <c r="X47" s="669" t="s">
        <v>24</v>
      </c>
      <c r="Y47" s="717" t="str">
        <f>IF(OR(W47="",X47="",V47=""),"Data missing",IF(OR(W47="VH",X47="VH"),"VH",IF(OR(W47="H",X47="H"),"H",IF(OR(W47="M",X47="M"),"M",IF(OR(W47="L",X47="L"),"L",IF(OR(W47="VL",X47="VL"),"VL"))))))</f>
        <v>VH</v>
      </c>
      <c r="Z47" s="501" t="str">
        <f>IF(Y47="Data missing","Data missing",IF(Y47="VH","H",(IF(Y47="H",HLOOKUP(V47,'3 - Prioritisation'!$D$16:$H$21,3,FALSE),IF(Y47="M",HLOOKUP(V47,'3 - Prioritisation'!$D$16:$H$21,4,FALSE),IF(Y47="L",HLOOKUP(V47,'3 - Prioritisation'!$D$16:$H$21,5,FALSE),IF(Y47="VL",HLOOKUP(V47,'3 - Prioritisation'!$D$16:$H$21,6,FALSE))))))))</f>
        <v>H</v>
      </c>
      <c r="AA47" s="743">
        <v>0</v>
      </c>
      <c r="AB47" s="743">
        <v>1200000</v>
      </c>
      <c r="AC47" s="743">
        <v>2400000</v>
      </c>
      <c r="AD47" s="508">
        <f t="shared" si="31"/>
        <v>600000</v>
      </c>
      <c r="AE47" s="510" t="e">
        <f>IF(AF47="Data missing","Data missing",IF(OR(U47="",AA47="",AB47="",AC47=""),"",_XLL.RISKBINOMIAL(1,U47)))</f>
        <v>#NAME?</v>
      </c>
      <c r="AF47" s="510" t="e">
        <f>IF(OR(U47="",AA47="",AB47="",AC47=""),"Data missing",_XLL.RISKPERT(AA47,AB47,AC47,_XLL.RISKNAME("Risk ID"&amp;B47),_XLL.RISKCOLLECT()))</f>
        <v>#NAME?</v>
      </c>
      <c r="AG47" s="511" t="e">
        <f t="shared" si="32"/>
        <v>#NAME?</v>
      </c>
      <c r="AH47" s="522" t="s">
        <v>674</v>
      </c>
      <c r="AI47" s="26"/>
      <c r="AJ47" s="34" t="e">
        <f t="shared" si="33"/>
        <v>#NAME?</v>
      </c>
      <c r="AK47" s="35">
        <f t="shared" si="33"/>
        <v>0</v>
      </c>
      <c r="AL47" s="35">
        <f t="shared" si="33"/>
        <v>0</v>
      </c>
      <c r="AM47" s="35">
        <f t="shared" si="33"/>
        <v>0</v>
      </c>
      <c r="AN47" s="35">
        <f t="shared" si="33"/>
        <v>0</v>
      </c>
      <c r="AO47" s="36">
        <f t="shared" si="33"/>
        <v>0</v>
      </c>
      <c r="AP47" s="37" t="e">
        <f t="shared" si="34"/>
        <v>#NAME?</v>
      </c>
      <c r="AR47" s="229"/>
      <c r="AS47" s="88"/>
      <c r="AT47" s="288">
        <f t="shared" si="35"/>
        <v>0</v>
      </c>
      <c r="AU47" s="191">
        <v>1</v>
      </c>
      <c r="AV47" s="192">
        <v>3</v>
      </c>
      <c r="AW47" s="193">
        <v>5</v>
      </c>
      <c r="AX47" s="71" t="e">
        <f>IF(AY47="Data missing","Data missing",IF(OR(AT47="",AU47="",AV47="",AW47=""),"",_XLL.RISKBINOMIAL(1,AT47)))</f>
        <v>#NAME?</v>
      </c>
      <c r="AY47" s="95" t="e">
        <f>IF(OR(AT47="",AU47="",AV47="",AW47=""),"Data missing",_XLL.RISKPERT(AU47,AV47,AW47))</f>
        <v>#NAME?</v>
      </c>
      <c r="AZ47" s="96" t="e">
        <f t="shared" si="36"/>
        <v>#NAME?</v>
      </c>
      <c r="BB47" s="283" t="e">
        <f t="shared" si="37"/>
        <v>#NAME?</v>
      </c>
      <c r="BC47" s="289">
        <f t="shared" si="37"/>
        <v>0</v>
      </c>
      <c r="BD47" s="289">
        <f t="shared" si="37"/>
        <v>0</v>
      </c>
      <c r="BE47" s="284">
        <f t="shared" si="38"/>
        <v>0</v>
      </c>
      <c r="BF47" s="284">
        <f t="shared" si="38"/>
        <v>0</v>
      </c>
      <c r="BG47" s="285">
        <f t="shared" si="38"/>
        <v>0</v>
      </c>
      <c r="BH47" s="286" t="e">
        <f t="shared" si="39"/>
        <v>#NAME?</v>
      </c>
    </row>
    <row r="48" spans="1:60" s="27" customFormat="1" ht="150">
      <c r="A48" s="165">
        <v>22</v>
      </c>
      <c r="B48" s="521">
        <v>28</v>
      </c>
      <c r="C48" s="496"/>
      <c r="D48" s="681" t="s">
        <v>637</v>
      </c>
      <c r="E48" s="682" t="s">
        <v>440</v>
      </c>
      <c r="F48" s="498" t="s">
        <v>322</v>
      </c>
      <c r="G48" s="498" t="s">
        <v>383</v>
      </c>
      <c r="H48" s="498" t="s">
        <v>190</v>
      </c>
      <c r="I48" s="716"/>
      <c r="J48" s="669" t="s">
        <v>26</v>
      </c>
      <c r="K48" s="669" t="s">
        <v>26</v>
      </c>
      <c r="L48" s="669" t="s">
        <v>26</v>
      </c>
      <c r="M48" s="500" t="str">
        <f t="shared" si="29"/>
        <v>VH</v>
      </c>
      <c r="N48" s="718" t="str">
        <f>IF(M48="Data missing","Data missing",IF(M48="VH","H",(IF(M48="H",HLOOKUP(J48,'3 - Prioritisation'!$D$16:$H$21,3,FALSE),IF(M48="M",HLOOKUP(J48,'3 - Prioritisation'!$D$16:$H$21,4,FALSE),IF(M48="L",HLOOKUP(J48,'3 - Prioritisation'!$D$16:$H$21,5,FALSE),IF(M48="VL",HLOOKUP(J48,'3 - Prioritisation'!$D$16:$H$21,6,FALSE))))))))</f>
        <v>H</v>
      </c>
      <c r="O48" s="719"/>
      <c r="P48" s="720" t="s">
        <v>657</v>
      </c>
      <c r="Q48" s="720" t="s">
        <v>441</v>
      </c>
      <c r="R48" s="721"/>
      <c r="S48" s="669"/>
      <c r="T48" s="722"/>
      <c r="U48" s="723">
        <v>0.75</v>
      </c>
      <c r="V48" s="669" t="s">
        <v>26</v>
      </c>
      <c r="W48" s="669" t="s">
        <v>24</v>
      </c>
      <c r="X48" s="669" t="s">
        <v>24</v>
      </c>
      <c r="Y48" s="717" t="str">
        <f t="shared" si="30"/>
        <v>M</v>
      </c>
      <c r="Z48" s="718" t="str">
        <f>IF(Y48="Data missing","Data missing",IF(Y48="VH","H",(IF(Y48="H",HLOOKUP(V48,'3 - Prioritisation'!$D$16:$H$21,3,FALSE),IF(Y48="M",HLOOKUP(V48,'3 - Prioritisation'!$D$16:$H$21,4,FALSE),IF(Y48="L",HLOOKUP(V48,'3 - Prioritisation'!$D$16:$H$21,5,FALSE),IF(Y48="VL",HLOOKUP(V48,'3 - Prioritisation'!$D$16:$H$21,6,FALSE))))))))</f>
        <v>H</v>
      </c>
      <c r="AA48" s="743">
        <v>250000</v>
      </c>
      <c r="AB48" s="743">
        <v>750000</v>
      </c>
      <c r="AC48" s="743">
        <v>1000000</v>
      </c>
      <c r="AD48" s="508">
        <f t="shared" si="31"/>
        <v>562500</v>
      </c>
      <c r="AE48" s="509" t="e">
        <f>IF(AF48="Data missing","Data missing",IF(OR(U48="",AA48="",AB48="",AC48=""),"",_XLL.RISKBINOMIAL(1,U48)))</f>
        <v>#NAME?</v>
      </c>
      <c r="AF48" s="510" t="e">
        <f>IF(OR(U48="",AA48="",AB48="",AC48=""),"Data missing",_XLL.RISKPERT(AA48,AB48,AC48,_XLL.RISKNAME("Risk ID"&amp;B48),_XLL.RISKCOLLECT()))</f>
        <v>#NAME?</v>
      </c>
      <c r="AG48" s="511" t="e">
        <f t="shared" si="32"/>
        <v>#NAME?</v>
      </c>
      <c r="AH48" s="522" t="s">
        <v>699</v>
      </c>
      <c r="AI48" s="26"/>
      <c r="AJ48" s="34" t="e">
        <f t="shared" si="33"/>
        <v>#NAME?</v>
      </c>
      <c r="AK48" s="35">
        <f t="shared" si="33"/>
        <v>0</v>
      </c>
      <c r="AL48" s="35">
        <f t="shared" si="33"/>
        <v>0</v>
      </c>
      <c r="AM48" s="35">
        <f t="shared" si="33"/>
        <v>0</v>
      </c>
      <c r="AN48" s="35">
        <f t="shared" si="33"/>
        <v>0</v>
      </c>
      <c r="AO48" s="36">
        <f t="shared" si="33"/>
        <v>0</v>
      </c>
      <c r="AP48" s="37" t="e">
        <f t="shared" si="34"/>
        <v>#NAME?</v>
      </c>
      <c r="AR48" s="229"/>
      <c r="AS48" s="88"/>
      <c r="AT48" s="288">
        <f t="shared" si="35"/>
        <v>0</v>
      </c>
      <c r="AU48" s="191">
        <v>1</v>
      </c>
      <c r="AV48" s="192">
        <v>3</v>
      </c>
      <c r="AW48" s="193">
        <v>5</v>
      </c>
      <c r="AX48" s="71" t="e">
        <f>IF(AY48="Data missing","Data missing",IF(OR(AT48="",AU48="",AV48="",AW48=""),"",_XLL.RISKBINOMIAL(1,AT48)))</f>
        <v>#NAME?</v>
      </c>
      <c r="AY48" s="95" t="e">
        <f>IF(OR(AT48="",AU48="",AV48="",AW48=""),"Data missing",_XLL.RISKPERT(AU48,AV48,AW48))</f>
        <v>#NAME?</v>
      </c>
      <c r="AZ48" s="96" t="e">
        <f t="shared" si="36"/>
        <v>#NAME?</v>
      </c>
      <c r="BB48" s="283" t="e">
        <f aca="true" t="shared" si="40" ref="BB48:BD49">IF($H48="","Identify Risk Owner",IF($H48=BB$16,$AZ48,0))</f>
        <v>#NAME?</v>
      </c>
      <c r="BC48" s="289">
        <f t="shared" si="40"/>
        <v>0</v>
      </c>
      <c r="BD48" s="289">
        <f t="shared" si="40"/>
        <v>0</v>
      </c>
      <c r="BE48" s="284">
        <f aca="true" t="shared" si="41" ref="BE48:BG49">IF($H48="","Identify risk owner",IF($H48=BE$16,$AZ48,0))</f>
        <v>0</v>
      </c>
      <c r="BF48" s="284">
        <f t="shared" si="41"/>
        <v>0</v>
      </c>
      <c r="BG48" s="285">
        <f t="shared" si="41"/>
        <v>0</v>
      </c>
      <c r="BH48" s="286" t="e">
        <f t="shared" si="39"/>
        <v>#NAME?</v>
      </c>
    </row>
    <row r="49" spans="1:60" s="27" customFormat="1" ht="59.25" customHeight="1">
      <c r="A49" s="165">
        <v>23</v>
      </c>
      <c r="B49" s="521">
        <v>29</v>
      </c>
      <c r="C49" s="496"/>
      <c r="D49" s="497" t="s">
        <v>348</v>
      </c>
      <c r="E49" s="496" t="s">
        <v>349</v>
      </c>
      <c r="F49" s="498" t="s">
        <v>322</v>
      </c>
      <c r="G49" s="498"/>
      <c r="H49" s="498" t="s">
        <v>190</v>
      </c>
      <c r="I49" s="498"/>
      <c r="J49" s="499" t="s">
        <v>25</v>
      </c>
      <c r="K49" s="499" t="s">
        <v>24</v>
      </c>
      <c r="L49" s="499" t="s">
        <v>24</v>
      </c>
      <c r="M49" s="500" t="str">
        <f t="shared" si="29"/>
        <v>M</v>
      </c>
      <c r="N49" s="501" t="str">
        <f>IF(M49="Data missing","Data missing",IF(M49="VH","H",(IF(M49="H",HLOOKUP(J49,'3 - Prioritisation'!$D$16:$H$21,3,FALSE),IF(M49="M",HLOOKUP(J49,'3 - Prioritisation'!$D$16:$H$21,4,FALSE),IF(M49="L",HLOOKUP(J49,'3 - Prioritisation'!$D$16:$H$21,5,FALSE),IF(M49="VL",HLOOKUP(J49,'3 - Prioritisation'!$D$16:$H$21,6,FALSE))))))))</f>
        <v>M</v>
      </c>
      <c r="O49" s="502"/>
      <c r="P49" s="503" t="s">
        <v>442</v>
      </c>
      <c r="Q49" s="503" t="s">
        <v>443</v>
      </c>
      <c r="R49" s="504"/>
      <c r="S49" s="499"/>
      <c r="T49" s="505"/>
      <c r="U49" s="506">
        <v>0.2</v>
      </c>
      <c r="V49" s="499" t="s">
        <v>23</v>
      </c>
      <c r="W49" s="669" t="s">
        <v>23</v>
      </c>
      <c r="X49" s="499" t="s">
        <v>23</v>
      </c>
      <c r="Y49" s="500" t="str">
        <f t="shared" si="30"/>
        <v>L</v>
      </c>
      <c r="Z49" s="501" t="str">
        <f>IF(Y49="Data missing","Data missing",IF(Y49="VH","H",(IF(Y49="H",HLOOKUP(V49,'3 - Prioritisation'!$D$16:$H$21,3,FALSE),IF(Y49="M",HLOOKUP(V49,'3 - Prioritisation'!$D$16:$H$21,4,FALSE),IF(Y49="L",HLOOKUP(V49,'3 - Prioritisation'!$D$16:$H$21,5,FALSE),IF(Y49="VL",HLOOKUP(V49,'3 - Prioritisation'!$D$16:$H$21,6,FALSE))))))))</f>
        <v>L</v>
      </c>
      <c r="AA49" s="507">
        <v>50000</v>
      </c>
      <c r="AB49" s="507">
        <v>250000</v>
      </c>
      <c r="AC49" s="507">
        <v>500000</v>
      </c>
      <c r="AD49" s="508">
        <f t="shared" si="31"/>
        <v>50000</v>
      </c>
      <c r="AE49" s="509" t="e">
        <f>IF(AF49="Data missing","Data missing",IF(OR(U49="",AA49="",AB49="",AC49=""),"",_XLL.RISKBINOMIAL(1,U49)))</f>
        <v>#NAME?</v>
      </c>
      <c r="AF49" s="510" t="e">
        <f>IF(OR(U49="",AA49="",AB49="",AC49=""),"Data missing",_XLL.RISKPERT(AA49,AB49,AC49,_XLL.RISKNAME("Risk ID"&amp;B49),_XLL.RISKCOLLECT()))</f>
        <v>#NAME?</v>
      </c>
      <c r="AG49" s="511" t="e">
        <f t="shared" si="32"/>
        <v>#NAME?</v>
      </c>
      <c r="AH49" s="522" t="s">
        <v>675</v>
      </c>
      <c r="AI49" s="26"/>
      <c r="AJ49" s="34" t="e">
        <f t="shared" si="33"/>
        <v>#NAME?</v>
      </c>
      <c r="AK49" s="35">
        <f t="shared" si="33"/>
        <v>0</v>
      </c>
      <c r="AL49" s="35">
        <f t="shared" si="33"/>
        <v>0</v>
      </c>
      <c r="AM49" s="35">
        <f t="shared" si="33"/>
        <v>0</v>
      </c>
      <c r="AN49" s="35">
        <f t="shared" si="33"/>
        <v>0</v>
      </c>
      <c r="AO49" s="36">
        <f t="shared" si="33"/>
        <v>0</v>
      </c>
      <c r="AP49" s="37" t="e">
        <f t="shared" si="34"/>
        <v>#NAME?</v>
      </c>
      <c r="AR49" s="229"/>
      <c r="AS49" s="88"/>
      <c r="AT49" s="288">
        <f t="shared" si="35"/>
        <v>0</v>
      </c>
      <c r="AU49" s="191">
        <v>0</v>
      </c>
      <c r="AV49" s="192">
        <v>1</v>
      </c>
      <c r="AW49" s="193">
        <v>2</v>
      </c>
      <c r="AX49" s="71" t="e">
        <f>IF(AY49="Data missing","Data missing",IF(OR(AT49="",AU49="",AV49="",AW49=""),"",_XLL.RISKBINOMIAL(1,AT49)))</f>
        <v>#NAME?</v>
      </c>
      <c r="AY49" s="95" t="e">
        <f>IF(OR(AT49="",AU49="",AV49="",AW49=""),"Data missing",_XLL.RISKPERT(AU49,AV49,AW49))</f>
        <v>#NAME?</v>
      </c>
      <c r="AZ49" s="96" t="e">
        <f t="shared" si="36"/>
        <v>#NAME?</v>
      </c>
      <c r="BB49" s="283" t="e">
        <f t="shared" si="40"/>
        <v>#NAME?</v>
      </c>
      <c r="BC49" s="289">
        <f t="shared" si="40"/>
        <v>0</v>
      </c>
      <c r="BD49" s="289">
        <f t="shared" si="40"/>
        <v>0</v>
      </c>
      <c r="BE49" s="284">
        <f t="shared" si="41"/>
        <v>0</v>
      </c>
      <c r="BF49" s="284">
        <f t="shared" si="41"/>
        <v>0</v>
      </c>
      <c r="BG49" s="285">
        <f t="shared" si="41"/>
        <v>0</v>
      </c>
      <c r="BH49" s="286" t="e">
        <f t="shared" si="39"/>
        <v>#NAME?</v>
      </c>
    </row>
    <row r="50" spans="1:60" s="27" customFormat="1" ht="64.5" customHeight="1">
      <c r="A50" s="165">
        <v>24</v>
      </c>
      <c r="B50" s="521">
        <v>30</v>
      </c>
      <c r="C50" s="496"/>
      <c r="D50" s="497" t="s">
        <v>574</v>
      </c>
      <c r="E50" s="496" t="s">
        <v>445</v>
      </c>
      <c r="F50" s="498" t="s">
        <v>322</v>
      </c>
      <c r="G50" s="498" t="s">
        <v>383</v>
      </c>
      <c r="H50" s="498" t="s">
        <v>14</v>
      </c>
      <c r="I50" s="498"/>
      <c r="J50" s="499" t="s">
        <v>23</v>
      </c>
      <c r="K50" s="499" t="s">
        <v>24</v>
      </c>
      <c r="L50" s="499" t="s">
        <v>23</v>
      </c>
      <c r="M50" s="500" t="str">
        <f t="shared" si="29"/>
        <v>M</v>
      </c>
      <c r="N50" s="501" t="str">
        <f>IF(M50="Data missing","Data missing",IF(M50="VH","H",(IF(M50="H",HLOOKUP(J50,'3 - Prioritisation'!$D$16:$H$21,3,FALSE),IF(M50="M",HLOOKUP(J50,'3 - Prioritisation'!$D$16:$H$21,4,FALSE),IF(M50="L",HLOOKUP(J50,'3 - Prioritisation'!$D$16:$H$21,5,FALSE),IF(M50="VL",HLOOKUP(J50,'3 - Prioritisation'!$D$16:$H$21,6,FALSE))))))))</f>
        <v>M</v>
      </c>
      <c r="O50" s="502"/>
      <c r="P50" s="503" t="s">
        <v>552</v>
      </c>
      <c r="Q50" s="503" t="s">
        <v>444</v>
      </c>
      <c r="R50" s="504"/>
      <c r="S50" s="499"/>
      <c r="T50" s="505"/>
      <c r="U50" s="506">
        <v>0.15</v>
      </c>
      <c r="V50" s="499" t="s">
        <v>23</v>
      </c>
      <c r="W50" s="499" t="s">
        <v>140</v>
      </c>
      <c r="X50" s="499" t="s">
        <v>24</v>
      </c>
      <c r="Y50" s="500" t="str">
        <f t="shared" si="30"/>
        <v>M</v>
      </c>
      <c r="Z50" s="501" t="str">
        <f>IF(Y50="Data missing","Data missing",IF(Y50="VH","H",(IF(Y50="H",HLOOKUP(V50,'3 - Prioritisation'!$D$16:$H$21,3,FALSE),IF(Y50="M",HLOOKUP(V50,'3 - Prioritisation'!$D$16:$H$21,4,FALSE),IF(Y50="L",HLOOKUP(V50,'3 - Prioritisation'!$D$16:$H$21,5,FALSE),IF(Y50="VL",HLOOKUP(V50,'3 - Prioritisation'!$D$16:$H$21,6,FALSE))))))))</f>
        <v>M</v>
      </c>
      <c r="AA50" s="507">
        <v>25000</v>
      </c>
      <c r="AB50" s="507">
        <v>50000</v>
      </c>
      <c r="AC50" s="507">
        <v>75000</v>
      </c>
      <c r="AD50" s="508">
        <f t="shared" si="31"/>
        <v>7500</v>
      </c>
      <c r="AE50" s="509" t="e">
        <f>IF(AF50="Data missing","Data missing",IF(OR(U50="",AA50="",AB50="",AC50=""),"",_XLL.RISKBINOMIAL(1,U50)))</f>
        <v>#NAME?</v>
      </c>
      <c r="AF50" s="510" t="e">
        <f>IF(OR(U50="",AA50="",AB50="",AC50=""),"Data missing",_XLL.RISKPERT(AA50,AB50,AC50,_XLL.RISKNAME("Risk ID"&amp;B50),_XLL.RISKCOLLECT()))</f>
        <v>#NAME?</v>
      </c>
      <c r="AG50" s="511" t="e">
        <f t="shared" si="32"/>
        <v>#NAME?</v>
      </c>
      <c r="AH50" s="522" t="s">
        <v>676</v>
      </c>
      <c r="AI50" s="26"/>
      <c r="AJ50" s="34">
        <f t="shared" si="33"/>
        <v>0</v>
      </c>
      <c r="AK50" s="35">
        <f t="shared" si="33"/>
        <v>0</v>
      </c>
      <c r="AL50" s="35" t="e">
        <f t="shared" si="33"/>
        <v>#NAME?</v>
      </c>
      <c r="AM50" s="35">
        <f t="shared" si="33"/>
        <v>0</v>
      </c>
      <c r="AN50" s="35">
        <f t="shared" si="33"/>
        <v>0</v>
      </c>
      <c r="AO50" s="36">
        <f t="shared" si="33"/>
        <v>0</v>
      </c>
      <c r="AP50" s="37" t="e">
        <f t="shared" si="34"/>
        <v>#NAME?</v>
      </c>
      <c r="AR50" s="229"/>
      <c r="AS50" s="88"/>
      <c r="AT50" s="288">
        <f t="shared" si="35"/>
        <v>0</v>
      </c>
      <c r="AU50" s="191">
        <v>1</v>
      </c>
      <c r="AV50" s="192">
        <v>3</v>
      </c>
      <c r="AW50" s="193">
        <v>5</v>
      </c>
      <c r="AX50" s="71" t="e">
        <f>IF(AY50="Data missing","Data missing",IF(OR(AT50="",AU50="",AV50="",AW50=""),"",_XLL.RISKBINOMIAL(1,AT50)))</f>
        <v>#NAME?</v>
      </c>
      <c r="AY50" s="95" t="e">
        <f>IF(OR(AT50="",AU50="",AV50="",AW50=""),"Data missing",_XLL.RISKPERT(AU50,AV50,AW50))</f>
        <v>#NAME?</v>
      </c>
      <c r="AZ50" s="96" t="e">
        <f t="shared" si="36"/>
        <v>#NAME?</v>
      </c>
      <c r="BB50" s="283">
        <f aca="true" t="shared" si="42" ref="BB50:BD51">IF($H50="","Identify Risk Owner",IF($H50=BB$16,$AZ50,0))</f>
        <v>0</v>
      </c>
      <c r="BC50" s="289">
        <f t="shared" si="42"/>
        <v>0</v>
      </c>
      <c r="BD50" s="289" t="e">
        <f t="shared" si="42"/>
        <v>#NAME?</v>
      </c>
      <c r="BE50" s="284">
        <f aca="true" t="shared" si="43" ref="BE50:BG51">IF($H50="","Identify risk owner",IF($H50=BE$16,$AZ50,0))</f>
        <v>0</v>
      </c>
      <c r="BF50" s="284">
        <f t="shared" si="43"/>
        <v>0</v>
      </c>
      <c r="BG50" s="285">
        <f t="shared" si="43"/>
        <v>0</v>
      </c>
      <c r="BH50" s="286" t="e">
        <f t="shared" si="39"/>
        <v>#NAME?</v>
      </c>
    </row>
    <row r="51" spans="1:60" s="27" customFormat="1" ht="75" customHeight="1">
      <c r="A51" s="165">
        <v>25</v>
      </c>
      <c r="B51" s="521">
        <v>31</v>
      </c>
      <c r="C51" s="496"/>
      <c r="D51" s="681" t="s">
        <v>351</v>
      </c>
      <c r="E51" s="682" t="s">
        <v>446</v>
      </c>
      <c r="F51" s="498" t="s">
        <v>322</v>
      </c>
      <c r="G51" s="498"/>
      <c r="H51" s="498" t="s">
        <v>14</v>
      </c>
      <c r="I51" s="716"/>
      <c r="J51" s="669" t="s">
        <v>25</v>
      </c>
      <c r="K51" s="669" t="s">
        <v>24</v>
      </c>
      <c r="L51" s="669" t="s">
        <v>23</v>
      </c>
      <c r="M51" s="500" t="str">
        <f t="shared" si="29"/>
        <v>M</v>
      </c>
      <c r="N51" s="718" t="str">
        <f>IF(M51="Data missing","Data missing",IF(M51="VH","H",(IF(M51="H",HLOOKUP(J51,'3 - Prioritisation'!$D$16:$H$21,3,FALSE),IF(M51="M",HLOOKUP(J51,'3 - Prioritisation'!$D$16:$H$21,4,FALSE),IF(M51="L",HLOOKUP(J51,'3 - Prioritisation'!$D$16:$H$21,5,FALSE),IF(M51="VL",HLOOKUP(J51,'3 - Prioritisation'!$D$16:$H$21,6,FALSE))))))))</f>
        <v>M</v>
      </c>
      <c r="O51" s="719"/>
      <c r="P51" s="720" t="s">
        <v>407</v>
      </c>
      <c r="Q51" s="720" t="s">
        <v>350</v>
      </c>
      <c r="R51" s="721"/>
      <c r="S51" s="669"/>
      <c r="T51" s="722"/>
      <c r="U51" s="723">
        <v>0.2</v>
      </c>
      <c r="V51" s="669" t="s">
        <v>23</v>
      </c>
      <c r="W51" s="669" t="s">
        <v>23</v>
      </c>
      <c r="X51" s="669" t="s">
        <v>140</v>
      </c>
      <c r="Y51" s="717" t="str">
        <f t="shared" si="30"/>
        <v>L</v>
      </c>
      <c r="Z51" s="718" t="str">
        <f>IF(Y51="Data missing","Data missing",IF(Y51="VH","H",(IF(Y51="H",HLOOKUP(V51,'3 - Prioritisation'!$D$16:$H$21,3,FALSE),IF(Y51="M",HLOOKUP(V51,'3 - Prioritisation'!$D$16:$H$21,4,FALSE),IF(Y51="L",HLOOKUP(V51,'3 - Prioritisation'!$D$16:$H$21,5,FALSE),IF(Y51="VL",HLOOKUP(V51,'3 - Prioritisation'!$D$16:$H$21,6,FALSE))))))))</f>
        <v>L</v>
      </c>
      <c r="AA51" s="743">
        <v>100000</v>
      </c>
      <c r="AB51" s="743">
        <f>7*25000</f>
        <v>175000</v>
      </c>
      <c r="AC51" s="743">
        <v>300000</v>
      </c>
      <c r="AD51" s="508">
        <f t="shared" si="31"/>
        <v>35000</v>
      </c>
      <c r="AE51" s="509" t="e">
        <f>IF(AF51="Data missing","Data missing",IF(OR(U51="",AA51="",AB51="",AC51=""),"",_XLL.RISKBINOMIAL(1,U51)))</f>
        <v>#NAME?</v>
      </c>
      <c r="AF51" s="510" t="e">
        <f>IF(OR(U51="",AA51="",AB51="",AC51=""),"Data missing",_XLL.RISKPERT(AA51,AB51,AC51,_XLL.RISKNAME("Risk ID"&amp;B51),_XLL.RISKCOLLECT()))</f>
        <v>#NAME?</v>
      </c>
      <c r="AG51" s="511" t="e">
        <f t="shared" si="32"/>
        <v>#NAME?</v>
      </c>
      <c r="AH51" s="522" t="s">
        <v>677</v>
      </c>
      <c r="AI51" s="26"/>
      <c r="AJ51" s="34">
        <f t="shared" si="33"/>
        <v>0</v>
      </c>
      <c r="AK51" s="35">
        <f t="shared" si="33"/>
        <v>0</v>
      </c>
      <c r="AL51" s="35" t="e">
        <f t="shared" si="33"/>
        <v>#NAME?</v>
      </c>
      <c r="AM51" s="35">
        <f t="shared" si="33"/>
        <v>0</v>
      </c>
      <c r="AN51" s="35">
        <f t="shared" si="33"/>
        <v>0</v>
      </c>
      <c r="AO51" s="36">
        <f t="shared" si="33"/>
        <v>0</v>
      </c>
      <c r="AP51" s="37" t="e">
        <f t="shared" si="34"/>
        <v>#NAME?</v>
      </c>
      <c r="AR51" s="229"/>
      <c r="AS51" s="88"/>
      <c r="AT51" s="288">
        <f t="shared" si="35"/>
        <v>0</v>
      </c>
      <c r="AU51" s="191">
        <v>1</v>
      </c>
      <c r="AV51" s="192">
        <v>3</v>
      </c>
      <c r="AW51" s="193">
        <v>5</v>
      </c>
      <c r="AX51" s="71" t="e">
        <f>IF(AY51="Data missing","Data missing",IF(OR(AT51="",AU51="",AV51="",AW51=""),"",_XLL.RISKBINOMIAL(1,AT51)))</f>
        <v>#NAME?</v>
      </c>
      <c r="AY51" s="95" t="e">
        <f>IF(OR(AT51="",AU51="",AV51="",AW51=""),"Data missing",_XLL.RISKPERT(AU51,AV51,AW51))</f>
        <v>#NAME?</v>
      </c>
      <c r="AZ51" s="96" t="e">
        <f t="shared" si="36"/>
        <v>#NAME?</v>
      </c>
      <c r="BB51" s="283">
        <f t="shared" si="42"/>
        <v>0</v>
      </c>
      <c r="BC51" s="289">
        <f t="shared" si="42"/>
        <v>0</v>
      </c>
      <c r="BD51" s="289" t="e">
        <f t="shared" si="42"/>
        <v>#NAME?</v>
      </c>
      <c r="BE51" s="284">
        <f t="shared" si="43"/>
        <v>0</v>
      </c>
      <c r="BF51" s="284">
        <f t="shared" si="43"/>
        <v>0</v>
      </c>
      <c r="BG51" s="285">
        <f t="shared" si="43"/>
        <v>0</v>
      </c>
      <c r="BH51" s="286" t="e">
        <f t="shared" si="39"/>
        <v>#NAME?</v>
      </c>
    </row>
    <row r="52" spans="1:60" s="390" customFormat="1" ht="54" customHeight="1">
      <c r="A52" s="755">
        <v>26</v>
      </c>
      <c r="B52" s="521">
        <v>32</v>
      </c>
      <c r="C52" s="496"/>
      <c r="D52" s="497" t="s">
        <v>447</v>
      </c>
      <c r="E52" s="496" t="s">
        <v>439</v>
      </c>
      <c r="F52" s="498" t="s">
        <v>322</v>
      </c>
      <c r="G52" s="498"/>
      <c r="H52" s="498" t="s">
        <v>190</v>
      </c>
      <c r="I52" s="498"/>
      <c r="J52" s="499" t="s">
        <v>25</v>
      </c>
      <c r="K52" s="499" t="s">
        <v>26</v>
      </c>
      <c r="L52" s="499" t="s">
        <v>25</v>
      </c>
      <c r="M52" s="500" t="str">
        <f t="shared" si="29"/>
        <v>VH</v>
      </c>
      <c r="N52" s="501" t="str">
        <f>IF(M52="Data missing","Data missing",IF(M52="VH","H",(IF(M52="H",HLOOKUP(J52,'3 - Prioritisation'!$D$16:$H$21,3,FALSE),IF(M52="M",HLOOKUP(J52,'3 - Prioritisation'!$D$16:$H$21,4,FALSE),IF(M52="L",HLOOKUP(J52,'3 - Prioritisation'!$D$16:$H$21,5,FALSE),IF(M52="VL",HLOOKUP(J52,'3 - Prioritisation'!$D$16:$H$21,6,FALSE))))))))</f>
        <v>H</v>
      </c>
      <c r="O52" s="502"/>
      <c r="P52" s="503" t="s">
        <v>405</v>
      </c>
      <c r="Q52" s="503" t="s">
        <v>362</v>
      </c>
      <c r="R52" s="504"/>
      <c r="S52" s="499"/>
      <c r="T52" s="505"/>
      <c r="U52" s="506">
        <v>0.3</v>
      </c>
      <c r="V52" s="499" t="s">
        <v>23</v>
      </c>
      <c r="W52" s="499" t="s">
        <v>23</v>
      </c>
      <c r="X52" s="499" t="s">
        <v>23</v>
      </c>
      <c r="Y52" s="500" t="str">
        <f t="shared" si="30"/>
        <v>L</v>
      </c>
      <c r="Z52" s="501" t="str">
        <f>IF(Y52="Data missing","Data missing",IF(Y52="VH","H",(IF(Y52="H",HLOOKUP(V52,'3 - Prioritisation'!$D$16:$H$21,3,FALSE),IF(Y52="M",HLOOKUP(V52,'3 - Prioritisation'!$D$16:$H$21,4,FALSE),IF(Y52="L",HLOOKUP(V52,'3 - Prioritisation'!$D$16:$H$21,5,FALSE),IF(Y52="VL",HLOOKUP(V52,'3 - Prioritisation'!$D$16:$H$21,6,FALSE))))))))</f>
        <v>L</v>
      </c>
      <c r="AA52" s="507">
        <v>100000</v>
      </c>
      <c r="AB52" s="507">
        <v>200000</v>
      </c>
      <c r="AC52" s="507">
        <v>500000</v>
      </c>
      <c r="AD52" s="508">
        <f t="shared" si="31"/>
        <v>60000</v>
      </c>
      <c r="AE52" s="509" t="e">
        <f>IF(AF52="Data missing","Data missing",IF(OR(U52="",AA52="",AB52="",AC52=""),"",_XLL.RISKBINOMIAL(1,U52)))</f>
        <v>#NAME?</v>
      </c>
      <c r="AF52" s="510" t="e">
        <f>IF(OR(U52="",AA52="",AB52="",AC52=""),"Data missing",_XLL.RISKPERT(AA52,AB52,AC52,_XLL.RISKNAME("Risk ID"&amp;B52),_XLL.RISKCOLLECT()))</f>
        <v>#NAME?</v>
      </c>
      <c r="AG52" s="511" t="e">
        <f t="shared" si="32"/>
        <v>#NAME?</v>
      </c>
      <c r="AH52" s="522" t="s">
        <v>700</v>
      </c>
      <c r="AI52" s="435"/>
      <c r="AJ52" s="34" t="e">
        <f t="shared" si="33"/>
        <v>#NAME?</v>
      </c>
      <c r="AK52" s="35">
        <f t="shared" si="33"/>
        <v>0</v>
      </c>
      <c r="AL52" s="35">
        <f t="shared" si="33"/>
        <v>0</v>
      </c>
      <c r="AM52" s="35">
        <f t="shared" si="33"/>
        <v>0</v>
      </c>
      <c r="AN52" s="35">
        <f t="shared" si="33"/>
        <v>0</v>
      </c>
      <c r="AO52" s="36">
        <f t="shared" si="33"/>
        <v>0</v>
      </c>
      <c r="AP52" s="37" t="e">
        <f t="shared" si="34"/>
        <v>#NAME?</v>
      </c>
      <c r="AQ52" s="27"/>
      <c r="AR52" s="229"/>
      <c r="AS52" s="88"/>
      <c r="AT52" s="288">
        <f t="shared" si="35"/>
        <v>0</v>
      </c>
      <c r="AU52" s="191">
        <v>0</v>
      </c>
      <c r="AV52" s="192">
        <v>4</v>
      </c>
      <c r="AW52" s="193">
        <v>6</v>
      </c>
      <c r="AX52" s="71" t="e">
        <f>IF(AY52="Data missing","Data missing",IF(OR(AT52="",AU52="",AV52="",AW52=""),"",_XLL.RISKBINOMIAL(1,AT52)))</f>
        <v>#NAME?</v>
      </c>
      <c r="AY52" s="95" t="e">
        <f>IF(OR(AT52="",AU52="",AV52="",AW52=""),"Data missing",_XLL.RISKPERT(AU52,AV52,AW52))</f>
        <v>#NAME?</v>
      </c>
      <c r="AZ52" s="96" t="e">
        <f t="shared" si="36"/>
        <v>#NAME?</v>
      </c>
      <c r="BA52" s="27"/>
      <c r="BB52" s="283" t="e">
        <f>IF($H52="","Identify Risk Owner",IF($H52=BB$16,$AZ52,0))</f>
        <v>#NAME?</v>
      </c>
      <c r="BC52" s="289">
        <f>IF($H52="","Identify Risk Owner",IF($H52=BC$16,$AZ52,0))</f>
        <v>0</v>
      </c>
      <c r="BD52" s="289">
        <f>IF($H52="","Identify Risk Owner",IF($H52=BD$16,$AZ52,0))</f>
        <v>0</v>
      </c>
      <c r="BE52" s="284">
        <f>IF($H52="","Identify risk owner",IF($H52=BE$16,$AZ52,0))</f>
        <v>0</v>
      </c>
      <c r="BF52" s="284">
        <f>IF($H52="","Identify risk owner",IF($H52=BF$16,$AZ52,0))</f>
        <v>0</v>
      </c>
      <c r="BG52" s="285">
        <f>IF($H52="","Identify risk owner",IF($H52=BG$16,$AZ52,0))</f>
        <v>0</v>
      </c>
      <c r="BH52" s="286" t="e">
        <f t="shared" si="39"/>
        <v>#NAME?</v>
      </c>
    </row>
    <row r="53" spans="1:60" s="27" customFormat="1" ht="84.75" customHeight="1">
      <c r="A53" s="165">
        <v>27</v>
      </c>
      <c r="B53" s="521">
        <v>33</v>
      </c>
      <c r="C53" s="496"/>
      <c r="D53" s="497" t="s">
        <v>365</v>
      </c>
      <c r="E53" s="496" t="s">
        <v>386</v>
      </c>
      <c r="F53" s="498" t="s">
        <v>322</v>
      </c>
      <c r="G53" s="498"/>
      <c r="H53" s="498" t="s">
        <v>190</v>
      </c>
      <c r="I53" s="498"/>
      <c r="J53" s="499" t="s">
        <v>25</v>
      </c>
      <c r="K53" s="499" t="s">
        <v>24</v>
      </c>
      <c r="L53" s="499" t="s">
        <v>24</v>
      </c>
      <c r="M53" s="500" t="str">
        <f t="shared" si="29"/>
        <v>M</v>
      </c>
      <c r="N53" s="501" t="str">
        <f>IF(M53="Data missing","Data missing",IF(M53="VH","H",(IF(M53="H",HLOOKUP(J53,'3 - Prioritisation'!$D$16:$H$21,3,FALSE),IF(M53="M",HLOOKUP(J53,'3 - Prioritisation'!$D$16:$H$21,4,FALSE),IF(M53="L",HLOOKUP(J53,'3 - Prioritisation'!$D$16:$H$21,5,FALSE),IF(M53="VL",HLOOKUP(J53,'3 - Prioritisation'!$D$16:$H$21,6,FALSE))))))))</f>
        <v>M</v>
      </c>
      <c r="O53" s="502"/>
      <c r="P53" s="503" t="s">
        <v>366</v>
      </c>
      <c r="Q53" s="503" t="s">
        <v>367</v>
      </c>
      <c r="R53" s="504"/>
      <c r="S53" s="499"/>
      <c r="T53" s="505"/>
      <c r="U53" s="506">
        <v>0.1</v>
      </c>
      <c r="V53" s="499" t="s">
        <v>140</v>
      </c>
      <c r="W53" s="499" t="s">
        <v>23</v>
      </c>
      <c r="X53" s="499" t="s">
        <v>24</v>
      </c>
      <c r="Y53" s="500" t="str">
        <f t="shared" si="30"/>
        <v>M</v>
      </c>
      <c r="Z53" s="501" t="str">
        <f>IF(Y53="Data missing","Data missing",IF(Y53="VH","H",(IF(Y53="H",HLOOKUP(V53,'3 - Prioritisation'!$D$16:$H$21,3,FALSE),IF(Y53="M",HLOOKUP(V53,'3 - Prioritisation'!$D$16:$H$21,4,FALSE),IF(Y53="L",HLOOKUP(V53,'3 - Prioritisation'!$D$16:$H$21,5,FALSE),IF(Y53="VL",HLOOKUP(V53,'3 - Prioritisation'!$D$16:$H$21,6,FALSE))))))))</f>
        <v>L</v>
      </c>
      <c r="AA53" s="507">
        <v>30000</v>
      </c>
      <c r="AB53" s="507">
        <v>100000</v>
      </c>
      <c r="AC53" s="507">
        <v>250000</v>
      </c>
      <c r="AD53" s="508">
        <f t="shared" si="31"/>
        <v>10000</v>
      </c>
      <c r="AE53" s="509" t="e">
        <f>IF(AF53="Data missing","Data missing",IF(OR(U53="",AA53="",AB53="",AC53=""),"",_XLL.RISKBINOMIAL(1,U53)))</f>
        <v>#NAME?</v>
      </c>
      <c r="AF53" s="510" t="e">
        <f>IF(OR(U53="",AA53="",AB53="",AC53=""),"Data missing",_XLL.RISKPERT(AA53,AB53,AC53,_XLL.RISKNAME("Risk ID"&amp;B53),_XLL.RISKCOLLECT()))</f>
        <v>#NAME?</v>
      </c>
      <c r="AG53" s="511" t="e">
        <f t="shared" si="32"/>
        <v>#NAME?</v>
      </c>
      <c r="AH53" s="522" t="s">
        <v>678</v>
      </c>
      <c r="AI53" s="26"/>
      <c r="AJ53" s="34" t="e">
        <f t="shared" si="33"/>
        <v>#NAME?</v>
      </c>
      <c r="AK53" s="35">
        <f t="shared" si="33"/>
        <v>0</v>
      </c>
      <c r="AL53" s="35">
        <f t="shared" si="33"/>
        <v>0</v>
      </c>
      <c r="AM53" s="35">
        <f t="shared" si="33"/>
        <v>0</v>
      </c>
      <c r="AN53" s="35">
        <f t="shared" si="33"/>
        <v>0</v>
      </c>
      <c r="AO53" s="36">
        <f t="shared" si="33"/>
        <v>0</v>
      </c>
      <c r="AP53" s="37" t="e">
        <f t="shared" si="34"/>
        <v>#NAME?</v>
      </c>
      <c r="AR53" s="229"/>
      <c r="AS53" s="88"/>
      <c r="AT53" s="288">
        <f t="shared" si="35"/>
        <v>0</v>
      </c>
      <c r="AU53" s="191">
        <v>1</v>
      </c>
      <c r="AV53" s="192">
        <v>3</v>
      </c>
      <c r="AW53" s="193">
        <v>5</v>
      </c>
      <c r="AX53" s="71" t="e">
        <f>IF(AY53="Data missing","Data missing",IF(OR(AT53="",AU53="",AV53="",AW53=""),"",_XLL.RISKBINOMIAL(1,AT53)))</f>
        <v>#NAME?</v>
      </c>
      <c r="AY53" s="95" t="e">
        <f>IF(OR(AT53="",AU53="",AV53="",AW53=""),"Data missing",_XLL.RISKPERT(AU53,AV53,AW53))</f>
        <v>#NAME?</v>
      </c>
      <c r="AZ53" s="96" t="e">
        <f t="shared" si="36"/>
        <v>#NAME?</v>
      </c>
      <c r="BB53" s="283" t="e">
        <f aca="true" t="shared" si="44" ref="BB53:BD55">IF($H53="","Identify Risk Owner",IF($H53=BB$16,$AZ53,0))</f>
        <v>#NAME?</v>
      </c>
      <c r="BC53" s="289">
        <f t="shared" si="44"/>
        <v>0</v>
      </c>
      <c r="BD53" s="289">
        <f t="shared" si="44"/>
        <v>0</v>
      </c>
      <c r="BE53" s="284">
        <f aca="true" t="shared" si="45" ref="BE53:BG55">IF($H53="","Identify risk owner",IF($H53=BE$16,$AZ53,0))</f>
        <v>0</v>
      </c>
      <c r="BF53" s="284">
        <f t="shared" si="45"/>
        <v>0</v>
      </c>
      <c r="BG53" s="285">
        <f t="shared" si="45"/>
        <v>0</v>
      </c>
      <c r="BH53" s="286" t="e">
        <f t="shared" si="39"/>
        <v>#NAME?</v>
      </c>
    </row>
    <row r="54" spans="1:60" s="27" customFormat="1" ht="41.25" customHeight="1">
      <c r="A54" s="165">
        <v>28</v>
      </c>
      <c r="B54" s="521">
        <v>34</v>
      </c>
      <c r="C54" s="496"/>
      <c r="D54" s="497" t="s">
        <v>638</v>
      </c>
      <c r="E54" s="496" t="s">
        <v>418</v>
      </c>
      <c r="F54" s="498" t="s">
        <v>322</v>
      </c>
      <c r="G54" s="498"/>
      <c r="H54" s="498" t="s">
        <v>14</v>
      </c>
      <c r="I54" s="498"/>
      <c r="J54" s="499" t="s">
        <v>26</v>
      </c>
      <c r="K54" s="499" t="s">
        <v>26</v>
      </c>
      <c r="L54" s="499" t="s">
        <v>26</v>
      </c>
      <c r="M54" s="500" t="str">
        <f t="shared" si="29"/>
        <v>VH</v>
      </c>
      <c r="N54" s="501" t="str">
        <f>IF(M54="Data missing","Data missing",IF(M54="VH","H",(IF(M54="H",HLOOKUP(J54,'3 - Prioritisation'!$D$16:$H$21,3,FALSE),IF(M54="M",HLOOKUP(J54,'3 - Prioritisation'!$D$16:$H$21,4,FALSE),IF(M54="L",HLOOKUP(J54,'3 - Prioritisation'!$D$16:$H$21,5,FALSE),IF(M54="VL",HLOOKUP(J54,'3 - Prioritisation'!$D$16:$H$21,6,FALSE))))))))</f>
        <v>H</v>
      </c>
      <c r="O54" s="502"/>
      <c r="P54" s="503" t="s">
        <v>527</v>
      </c>
      <c r="Q54" s="503" t="s">
        <v>376</v>
      </c>
      <c r="R54" s="504"/>
      <c r="S54" s="499"/>
      <c r="T54" s="505"/>
      <c r="U54" s="506">
        <v>0.5</v>
      </c>
      <c r="V54" s="499" t="s">
        <v>25</v>
      </c>
      <c r="W54" s="499" t="s">
        <v>24</v>
      </c>
      <c r="X54" s="499" t="s">
        <v>24</v>
      </c>
      <c r="Y54" s="500" t="str">
        <f t="shared" si="30"/>
        <v>M</v>
      </c>
      <c r="Z54" s="501" t="str">
        <f>IF(Y54="Data missing","Data missing",IF(Y54="VH","H",(IF(Y54="H",HLOOKUP(V54,'3 - Prioritisation'!$D$16:$H$21,3,FALSE),IF(Y54="M",HLOOKUP(V54,'3 - Prioritisation'!$D$16:$H$21,4,FALSE),IF(Y54="L",HLOOKUP(V54,'3 - Prioritisation'!$D$16:$H$21,5,FALSE),IF(Y54="VL",HLOOKUP(V54,'3 - Prioritisation'!$D$16:$H$21,6,FALSE))))))))</f>
        <v>M</v>
      </c>
      <c r="AA54" s="507">
        <v>140000</v>
      </c>
      <c r="AB54" s="507">
        <v>560000</v>
      </c>
      <c r="AC54" s="507">
        <v>1120000</v>
      </c>
      <c r="AD54" s="508">
        <f t="shared" si="31"/>
        <v>280000</v>
      </c>
      <c r="AE54" s="509" t="e">
        <f>IF(AF54="Data missing","Data missing",IF(OR(U54="",AA54="",AB54="",AC54=""),"",_XLL.RISKBINOMIAL(1,U54)))</f>
        <v>#NAME?</v>
      </c>
      <c r="AF54" s="510" t="e">
        <f>IF(OR(U54="",AA54="",AB54="",AC54=""),"Data missing",_XLL.RISKPERT(AA54,AB54,AC54,_XLL.RISKNAME("Risk ID"&amp;B54),_XLL.RISKCOLLECT()))</f>
        <v>#NAME?</v>
      </c>
      <c r="AG54" s="511" t="e">
        <f t="shared" si="32"/>
        <v>#NAME?</v>
      </c>
      <c r="AH54" s="522" t="s">
        <v>679</v>
      </c>
      <c r="AI54" s="26"/>
      <c r="AJ54" s="34">
        <f t="shared" si="33"/>
        <v>0</v>
      </c>
      <c r="AK54" s="35">
        <f t="shared" si="33"/>
        <v>0</v>
      </c>
      <c r="AL54" s="35" t="e">
        <f t="shared" si="33"/>
        <v>#NAME?</v>
      </c>
      <c r="AM54" s="35">
        <f t="shared" si="33"/>
        <v>0</v>
      </c>
      <c r="AN54" s="35">
        <f t="shared" si="33"/>
        <v>0</v>
      </c>
      <c r="AO54" s="36">
        <f t="shared" si="33"/>
        <v>0</v>
      </c>
      <c r="AP54" s="37" t="e">
        <f t="shared" si="34"/>
        <v>#NAME?</v>
      </c>
      <c r="AR54" s="229"/>
      <c r="AS54" s="88"/>
      <c r="AT54" s="288">
        <f>IF(AS54="Yes",U54,0)</f>
        <v>0</v>
      </c>
      <c r="AU54" s="191">
        <v>4</v>
      </c>
      <c r="AV54" s="192">
        <v>6</v>
      </c>
      <c r="AW54" s="193">
        <v>10</v>
      </c>
      <c r="AX54" s="71" t="e">
        <f>IF(AY54="Data missing","Data missing",IF(OR(AT54="",AU54="",AV54="",AW54=""),"",_XLL.RISKBINOMIAL(1,AT54)))</f>
        <v>#NAME?</v>
      </c>
      <c r="AY54" s="95" t="e">
        <f>IF(OR(AT54="",AU54="",AV54="",AW54=""),"Data missing",_XLL.RISKPERT(AU54,AV54,AW54))</f>
        <v>#NAME?</v>
      </c>
      <c r="AZ54" s="96" t="e">
        <f t="shared" si="36"/>
        <v>#NAME?</v>
      </c>
      <c r="BB54" s="283">
        <f t="shared" si="44"/>
        <v>0</v>
      </c>
      <c r="BC54" s="289">
        <f t="shared" si="44"/>
        <v>0</v>
      </c>
      <c r="BD54" s="289" t="e">
        <f t="shared" si="44"/>
        <v>#NAME?</v>
      </c>
      <c r="BE54" s="284">
        <f t="shared" si="45"/>
        <v>0</v>
      </c>
      <c r="BF54" s="284">
        <f t="shared" si="45"/>
        <v>0</v>
      </c>
      <c r="BG54" s="285">
        <f t="shared" si="45"/>
        <v>0</v>
      </c>
      <c r="BH54" s="286" t="e">
        <f t="shared" si="39"/>
        <v>#NAME?</v>
      </c>
    </row>
    <row r="55" spans="1:60" s="27" customFormat="1" ht="41.25" customHeight="1">
      <c r="A55" s="165">
        <v>29</v>
      </c>
      <c r="B55" s="521">
        <v>35</v>
      </c>
      <c r="C55" s="496"/>
      <c r="D55" s="497" t="s">
        <v>363</v>
      </c>
      <c r="E55" s="496" t="s">
        <v>324</v>
      </c>
      <c r="F55" s="498"/>
      <c r="G55" s="498"/>
      <c r="H55" s="498" t="s">
        <v>190</v>
      </c>
      <c r="I55" s="498"/>
      <c r="J55" s="499" t="s">
        <v>24</v>
      </c>
      <c r="K55" s="499" t="s">
        <v>24</v>
      </c>
      <c r="L55" s="499" t="s">
        <v>24</v>
      </c>
      <c r="M55" s="500" t="str">
        <f t="shared" si="29"/>
        <v>M</v>
      </c>
      <c r="N55" s="501" t="str">
        <f>IF(M55="Data missing","Data missing",IF(M55="VH","H",(IF(M55="H",HLOOKUP(J55,'3 - Prioritisation'!$D$16:$H$21,3,FALSE),IF(M55="M",HLOOKUP(J55,'3 - Prioritisation'!$D$16:$H$21,4,FALSE),IF(M55="L",HLOOKUP(J55,'3 - Prioritisation'!$D$16:$H$21,5,FALSE),IF(M55="VL",HLOOKUP(J55,'3 - Prioritisation'!$D$16:$H$21,6,FALSE))))))))</f>
        <v>M</v>
      </c>
      <c r="O55" s="502"/>
      <c r="P55" s="503" t="s">
        <v>449</v>
      </c>
      <c r="Q55" s="503" t="s">
        <v>450</v>
      </c>
      <c r="R55" s="504"/>
      <c r="S55" s="499"/>
      <c r="T55" s="505"/>
      <c r="U55" s="506">
        <v>0.4</v>
      </c>
      <c r="V55" s="499" t="s">
        <v>24</v>
      </c>
      <c r="W55" s="499" t="s">
        <v>23</v>
      </c>
      <c r="X55" s="499" t="s">
        <v>25</v>
      </c>
      <c r="Y55" s="500" t="str">
        <f>IF(OR(W55="",X55="",V55=""),"Data missing",IF(OR(W55="VH",X55="VH"),"VH",IF(OR(W55="H",X55="H"),"H",IF(OR(W55="M",X55="M"),"M",IF(OR(W55="L",X55="L"),"L",IF(OR(W55="VL",X55="VL"),"VL"))))))</f>
        <v>H</v>
      </c>
      <c r="Z55" s="501" t="str">
        <f>IF(Y55="Data missing","Data missing",IF(Y55="VH","H",(IF(Y55="H",HLOOKUP(V55,'3 - Prioritisation'!$D$16:$H$21,3,FALSE),IF(Y55="M",HLOOKUP(V55,'3 - Prioritisation'!$D$16:$H$21,4,FALSE),IF(Y55="L",HLOOKUP(V55,'3 - Prioritisation'!$D$16:$H$21,5,FALSE),IF(Y55="VL",HLOOKUP(V55,'3 - Prioritisation'!$D$16:$H$21,6,FALSE))))))))</f>
        <v>H</v>
      </c>
      <c r="AA55" s="507">
        <v>100000</v>
      </c>
      <c r="AB55" s="507">
        <v>200000</v>
      </c>
      <c r="AC55" s="507">
        <v>500000</v>
      </c>
      <c r="AD55" s="508">
        <f t="shared" si="31"/>
        <v>80000</v>
      </c>
      <c r="AE55" s="509" t="e">
        <f>IF(AF55="Data missing","Data missing",IF(OR(U55="",AA55="",AB55="",AC55=""),"",_XLL.RISKBINOMIAL(1,U55)))</f>
        <v>#NAME?</v>
      </c>
      <c r="AF55" s="510" t="e">
        <f>IF(OR(U55="",AA55="",AB55="",AC55=""),"Data missing",_XLL.RISKPERT(AA55,AB55,AC55,_XLL.RISKNAME("Risk ID"&amp;B55),_XLL.RISKCOLLECT()))</f>
        <v>#NAME?</v>
      </c>
      <c r="AG55" s="511" t="e">
        <f t="shared" si="32"/>
        <v>#NAME?</v>
      </c>
      <c r="AH55" s="522" t="s">
        <v>4</v>
      </c>
      <c r="AI55" s="26"/>
      <c r="AJ55" s="34" t="e">
        <f t="shared" si="33"/>
        <v>#NAME?</v>
      </c>
      <c r="AK55" s="35">
        <f t="shared" si="33"/>
        <v>0</v>
      </c>
      <c r="AL55" s="35">
        <f t="shared" si="33"/>
        <v>0</v>
      </c>
      <c r="AM55" s="35">
        <f t="shared" si="33"/>
        <v>0</v>
      </c>
      <c r="AN55" s="35">
        <f t="shared" si="33"/>
        <v>0</v>
      </c>
      <c r="AO55" s="36">
        <f t="shared" si="33"/>
        <v>0</v>
      </c>
      <c r="AP55" s="37" t="e">
        <f t="shared" si="34"/>
        <v>#NAME?</v>
      </c>
      <c r="AR55" s="229"/>
      <c r="AS55" s="88"/>
      <c r="AT55" s="288">
        <f>IF(AS55="Yes",U55,0)</f>
        <v>0</v>
      </c>
      <c r="AU55" s="191">
        <v>4</v>
      </c>
      <c r="AV55" s="192">
        <v>6</v>
      </c>
      <c r="AW55" s="193">
        <v>10</v>
      </c>
      <c r="AX55" s="71" t="e">
        <f>IF(AY55="Data missing","Data missing",IF(OR(AT55="",AU55="",AV55="",AW55=""),"",_XLL.RISKBINOMIAL(1,AT55)))</f>
        <v>#NAME?</v>
      </c>
      <c r="AY55" s="95" t="e">
        <f>IF(OR(AT55="",AU55="",AV55="",AW55=""),"Data missing",_XLL.RISKPERT(AU55,AV55,AW55))</f>
        <v>#NAME?</v>
      </c>
      <c r="AZ55" s="96" t="e">
        <f>IF(AY55="Data missing","Data missing",IF(OR(AT55="",AU55="",AV55="",AW55=""),"",AX55*AY55))</f>
        <v>#NAME?</v>
      </c>
      <c r="BB55" s="283" t="e">
        <f t="shared" si="44"/>
        <v>#NAME?</v>
      </c>
      <c r="BC55" s="289">
        <f t="shared" si="44"/>
        <v>0</v>
      </c>
      <c r="BD55" s="289">
        <f t="shared" si="44"/>
        <v>0</v>
      </c>
      <c r="BE55" s="284">
        <f t="shared" si="45"/>
        <v>0</v>
      </c>
      <c r="BF55" s="284">
        <f t="shared" si="45"/>
        <v>0</v>
      </c>
      <c r="BG55" s="285">
        <f t="shared" si="45"/>
        <v>0</v>
      </c>
      <c r="BH55" s="286" t="e">
        <f>SUM(BB55:BG55)</f>
        <v>#NAME?</v>
      </c>
    </row>
    <row r="56" spans="1:60" s="27" customFormat="1" ht="33" customHeight="1">
      <c r="A56" s="165"/>
      <c r="B56" s="521"/>
      <c r="C56" s="512"/>
      <c r="D56" s="519" t="s">
        <v>551</v>
      </c>
      <c r="E56" s="512"/>
      <c r="F56" s="512"/>
      <c r="G56" s="512"/>
      <c r="H56" s="664"/>
      <c r="I56" s="512"/>
      <c r="J56" s="512"/>
      <c r="K56" s="512"/>
      <c r="L56" s="512"/>
      <c r="M56" s="512"/>
      <c r="N56" s="512"/>
      <c r="O56" s="512"/>
      <c r="P56" s="512"/>
      <c r="Q56" s="512"/>
      <c r="R56" s="512"/>
      <c r="S56" s="512"/>
      <c r="T56" s="512"/>
      <c r="U56" s="512"/>
      <c r="V56" s="512"/>
      <c r="W56" s="512"/>
      <c r="X56" s="512"/>
      <c r="Y56" s="512"/>
      <c r="Z56" s="512"/>
      <c r="AA56" s="664"/>
      <c r="AB56" s="512"/>
      <c r="AC56" s="664"/>
      <c r="AD56" s="664"/>
      <c r="AE56" s="664"/>
      <c r="AF56" s="664"/>
      <c r="AG56" s="664"/>
      <c r="AH56" s="753"/>
      <c r="AI56" s="26"/>
      <c r="AJ56" s="365"/>
      <c r="AK56" s="40"/>
      <c r="AL56" s="40"/>
      <c r="AM56" s="40"/>
      <c r="AN56" s="40"/>
      <c r="AO56" s="41"/>
      <c r="AP56" s="280"/>
      <c r="AR56" s="366"/>
      <c r="AS56" s="323"/>
      <c r="AT56" s="367"/>
      <c r="AU56" s="368"/>
      <c r="AV56" s="369"/>
      <c r="AW56" s="370"/>
      <c r="AX56" s="371"/>
      <c r="AY56" s="372"/>
      <c r="AZ56" s="373"/>
      <c r="BB56" s="294"/>
      <c r="BC56" s="295"/>
      <c r="BD56" s="295"/>
      <c r="BE56" s="296"/>
      <c r="BF56" s="296"/>
      <c r="BG56" s="297"/>
      <c r="BH56" s="298"/>
    </row>
    <row r="57" spans="1:60" s="27" customFormat="1" ht="65.25" customHeight="1">
      <c r="A57" s="165"/>
      <c r="B57" s="521">
        <v>36</v>
      </c>
      <c r="C57" s="496"/>
      <c r="D57" s="665" t="s">
        <v>588</v>
      </c>
      <c r="E57" s="496"/>
      <c r="F57" s="498" t="s">
        <v>322</v>
      </c>
      <c r="G57" s="498"/>
      <c r="H57" s="498" t="s">
        <v>190</v>
      </c>
      <c r="I57" s="498"/>
      <c r="J57" s="499" t="s">
        <v>23</v>
      </c>
      <c r="K57" s="499" t="s">
        <v>26</v>
      </c>
      <c r="L57" s="499" t="s">
        <v>23</v>
      </c>
      <c r="M57" s="500" t="str">
        <f>IF(OR(K57="",L57="",J57=""),"Data missing",IF(OR(K57="VH",L57="VH"),"VH",IF(OR(K57="H",L57="H"),"H",IF(OR(K57="M",L57="M"),"M",IF(OR(K57="L",L57="L"),"L",IF(OR(K57="VL",L57="VL"),"VL"))))))</f>
        <v>VH</v>
      </c>
      <c r="N57" s="501" t="str">
        <f>IF(M57="Data missing","Data missing",IF(M57="VH","H",(IF(M57="H",HLOOKUP(J57,'3 - Prioritisation'!$D$16:$H$21,3,FALSE),IF(M57="M",HLOOKUP(J57,'3 - Prioritisation'!$D$16:$H$21,4,FALSE),IF(M57="L",HLOOKUP(J57,'3 - Prioritisation'!$D$16:$H$21,5,FALSE),IF(M57="VL",HLOOKUP(J57,'3 - Prioritisation'!$D$16:$H$21,6,FALSE))))))))</f>
        <v>H</v>
      </c>
      <c r="O57" s="502"/>
      <c r="P57" s="503"/>
      <c r="Q57" s="503"/>
      <c r="R57" s="504"/>
      <c r="S57" s="499"/>
      <c r="T57" s="505"/>
      <c r="U57" s="506"/>
      <c r="V57" s="499"/>
      <c r="W57" s="499"/>
      <c r="X57" s="499"/>
      <c r="Y57" s="500" t="str">
        <f>IF(OR(W57="",X57="",V57=""),"Data missing",IF(OR(W57="VH",X57="VH"),"VH",IF(OR(W57="H",X57="H"),"H",IF(OR(W57="M",X57="M"),"M",IF(OR(W57="L",X57="L"),"L",IF(OR(W57="VL",X57="VL"),"VL"))))))</f>
        <v>Data missing</v>
      </c>
      <c r="Z57" s="501" t="str">
        <f>IF(Y57="Data missing","Data missing",IF(Y57="VH","H",(IF(Y57="H",HLOOKUP(V57,'3 - Prioritisation'!$D$16:$H$21,3,FALSE),IF(Y57="M",HLOOKUP(V57,'3 - Prioritisation'!$D$16:$H$21,4,FALSE),IF(Y57="L",HLOOKUP(V57,'3 - Prioritisation'!$D$16:$H$21,5,FALSE),IF(Y57="VL",HLOOKUP(V57,'3 - Prioritisation'!$D$16:$H$21,6,FALSE))))))))</f>
        <v>Data missing</v>
      </c>
      <c r="AA57" s="507"/>
      <c r="AB57" s="507"/>
      <c r="AC57" s="507"/>
      <c r="AD57" s="508">
        <f>U57*AB57</f>
        <v>0</v>
      </c>
      <c r="AE57" s="509" t="str">
        <f>IF(AF57="Data missing","Data missing",IF(OR(U57="",AA57="",AB57="",AC57=""),"",_XLL.RISKBINOMIAL(1,U57)))</f>
        <v>Data missing</v>
      </c>
      <c r="AF57" s="510" t="str">
        <f>IF(OR(U57="",AA57="",AB57="",AC57=""),"Data missing",_XLL.RISKPERT(AA57,AB57,AC57,_XLL.RISKNAME("Risk ID"&amp;B57),_XLL.RISKCOLLECT()))</f>
        <v>Data missing</v>
      </c>
      <c r="AG57" s="511" t="str">
        <f>IF(AF57="Data missing","Data missing",IF(OR(U57="",AA57="",AB57="",AC57=""),"",AE57*AF57))</f>
        <v>Data missing</v>
      </c>
      <c r="AH57" s="522"/>
      <c r="AI57" s="26"/>
      <c r="AJ57" s="386" t="str">
        <f aca="true" t="shared" si="46" ref="AJ57:AO57">IF($H57="","Identify Risk Owner",IF($H57=AJ$16,$AG57,0))</f>
        <v>Data missing</v>
      </c>
      <c r="AK57" s="387">
        <f t="shared" si="46"/>
        <v>0</v>
      </c>
      <c r="AL57" s="387">
        <f t="shared" si="46"/>
        <v>0</v>
      </c>
      <c r="AM57" s="387">
        <f t="shared" si="46"/>
        <v>0</v>
      </c>
      <c r="AN57" s="387">
        <f t="shared" si="46"/>
        <v>0</v>
      </c>
      <c r="AO57" s="388">
        <f t="shared" si="46"/>
        <v>0</v>
      </c>
      <c r="AP57" s="389">
        <f>SUM(AJ57:AO57)</f>
        <v>0</v>
      </c>
      <c r="AR57" s="385"/>
      <c r="AS57" s="363"/>
      <c r="AT57" s="288">
        <f>IF(AS57="Yes",U57,0)</f>
        <v>0</v>
      </c>
      <c r="AU57" s="382">
        <v>2</v>
      </c>
      <c r="AV57" s="383">
        <v>4</v>
      </c>
      <c r="AW57" s="384">
        <v>8</v>
      </c>
      <c r="AX57" s="364" t="e">
        <f>IF(AY57="Data missing","Data missing",IF(OR(AT57="",AU57="",AV57="",AW57=""),"",_XLL.RISKBINOMIAL(1,AT57)))</f>
        <v>#NAME?</v>
      </c>
      <c r="AY57" s="396" t="e">
        <f>IF(OR(AT57="",AU57="",AV57="",AW57=""),"Data missing",_XLL.RISKPERT(AU57,AV57,AW57))</f>
        <v>#NAME?</v>
      </c>
      <c r="AZ57" s="397" t="e">
        <f>IF(AY57="Data missing","Data missing",IF(OR(AT57="",AU57="",AV57="",AW57=""),"",AX57*AY57))</f>
        <v>#NAME?</v>
      </c>
      <c r="BB57" s="407" t="e">
        <f>IF($H57="","Identify Risk Owner",IF($H57=BB$16,$AZ57,0))</f>
        <v>#NAME?</v>
      </c>
      <c r="BC57" s="338">
        <f>IF($H57="","Identify Risk Owner",IF($H57=BC$16,$AZ57,0))</f>
        <v>0</v>
      </c>
      <c r="BD57" s="338">
        <f>IF($H57="","Identify Risk Owner",IF($H57=BD$16,$AZ57,0))</f>
        <v>0</v>
      </c>
      <c r="BE57" s="408">
        <f>IF($H57="","Identify risk owner",IF($H57=BE$16,$AZ57,0))</f>
        <v>0</v>
      </c>
      <c r="BF57" s="408">
        <f>IF($H57="","Identify risk owner",IF($H57=BF$16,$AZ57,0))</f>
        <v>0</v>
      </c>
      <c r="BG57" s="409">
        <f>IF($H57="","Identify risk owner",IF($H57=BG$16,$AZ57,0))</f>
        <v>0</v>
      </c>
      <c r="BH57" s="410" t="e">
        <f>SUM(BB57:BG57)</f>
        <v>#NAME?</v>
      </c>
    </row>
    <row r="58" spans="1:60" s="27" customFormat="1" ht="33" customHeight="1">
      <c r="A58" s="165">
        <v>30</v>
      </c>
      <c r="B58" s="521"/>
      <c r="C58" s="512"/>
      <c r="D58" s="519" t="s">
        <v>92</v>
      </c>
      <c r="E58" s="512"/>
      <c r="F58" s="512"/>
      <c r="G58" s="512"/>
      <c r="H58" s="664"/>
      <c r="I58" s="512"/>
      <c r="J58" s="512"/>
      <c r="K58" s="512"/>
      <c r="L58" s="512"/>
      <c r="M58" s="512"/>
      <c r="N58" s="512"/>
      <c r="O58" s="512"/>
      <c r="P58" s="512"/>
      <c r="Q58" s="512"/>
      <c r="R58" s="512"/>
      <c r="S58" s="512"/>
      <c r="T58" s="512"/>
      <c r="U58" s="512"/>
      <c r="V58" s="512"/>
      <c r="W58" s="512"/>
      <c r="X58" s="512"/>
      <c r="Y58" s="512"/>
      <c r="Z58" s="512"/>
      <c r="AA58" s="664"/>
      <c r="AB58" s="512"/>
      <c r="AC58" s="664"/>
      <c r="AD58" s="664"/>
      <c r="AE58" s="664"/>
      <c r="AF58" s="664"/>
      <c r="AG58" s="664"/>
      <c r="AH58" s="753"/>
      <c r="AI58" s="26"/>
      <c r="AJ58" s="365"/>
      <c r="AK58" s="40"/>
      <c r="AL58" s="40"/>
      <c r="AM58" s="40"/>
      <c r="AN58" s="40"/>
      <c r="AO58" s="41"/>
      <c r="AP58" s="280"/>
      <c r="AR58" s="366"/>
      <c r="AS58" s="323"/>
      <c r="AT58" s="367"/>
      <c r="AU58" s="368"/>
      <c r="AV58" s="369"/>
      <c r="AW58" s="370"/>
      <c r="AX58" s="371"/>
      <c r="AY58" s="372"/>
      <c r="AZ58" s="373"/>
      <c r="BB58" s="294"/>
      <c r="BC58" s="295"/>
      <c r="BD58" s="295"/>
      <c r="BE58" s="296"/>
      <c r="BF58" s="296"/>
      <c r="BG58" s="297"/>
      <c r="BH58" s="298"/>
    </row>
    <row r="59" spans="1:60" s="27" customFormat="1" ht="54.75" customHeight="1">
      <c r="A59" s="165">
        <v>31</v>
      </c>
      <c r="B59" s="521">
        <v>37</v>
      </c>
      <c r="C59" s="496"/>
      <c r="D59" s="497" t="s">
        <v>451</v>
      </c>
      <c r="E59" s="496" t="s">
        <v>554</v>
      </c>
      <c r="F59" s="498" t="s">
        <v>322</v>
      </c>
      <c r="G59" s="498"/>
      <c r="H59" s="498" t="s">
        <v>190</v>
      </c>
      <c r="I59" s="498"/>
      <c r="J59" s="499" t="s">
        <v>24</v>
      </c>
      <c r="K59" s="499" t="s">
        <v>140</v>
      </c>
      <c r="L59" s="499" t="s">
        <v>24</v>
      </c>
      <c r="M59" s="500" t="str">
        <f>IF(OR(K59="",L59="",J59=""),"Data missing",IF(OR(K59="VH",L59="VH"),"VH",IF(OR(K59="H",L59="H"),"H",IF(OR(K59="M",L59="M"),"M",IF(OR(K59="L",L59="L"),"L",IF(OR(K59="VL",L59="VL"),"VL"))))))</f>
        <v>M</v>
      </c>
      <c r="N59" s="501" t="str">
        <f>IF(M59="Data missing","Data missing",IF(M59="VH","H",(IF(M59="H",HLOOKUP(J59,'3 - Prioritisation'!$D$16:$H$21,3,FALSE),IF(M59="M",HLOOKUP(J59,'3 - Prioritisation'!$D$16:$H$21,4,FALSE),IF(M59="L",HLOOKUP(J59,'3 - Prioritisation'!$D$16:$H$21,5,FALSE),IF(M59="VL",HLOOKUP(J59,'3 - Prioritisation'!$D$16:$H$21,6,FALSE))))))))</f>
        <v>M</v>
      </c>
      <c r="O59" s="502"/>
      <c r="P59" s="503" t="s">
        <v>523</v>
      </c>
      <c r="Q59" s="503" t="s">
        <v>400</v>
      </c>
      <c r="R59" s="504"/>
      <c r="S59" s="499"/>
      <c r="T59" s="505"/>
      <c r="U59" s="506">
        <v>0.7</v>
      </c>
      <c r="V59" s="499" t="s">
        <v>25</v>
      </c>
      <c r="W59" s="499" t="s">
        <v>23</v>
      </c>
      <c r="X59" s="499" t="s">
        <v>23</v>
      </c>
      <c r="Y59" s="500" t="str">
        <f>IF(OR(W59="",X59="",V59=""),"Data missing",IF(OR(W59="VH",X59="VH"),"VH",IF(OR(W59="H",X59="H"),"H",IF(OR(W59="M",X59="M"),"M",IF(OR(W59="L",X59="L"),"L",IF(OR(W59="VL",X59="VL"),"VL"))))))</f>
        <v>L</v>
      </c>
      <c r="Z59" s="501" t="str">
        <f>IF(Y59="Data missing","Data missing",IF(Y59="VH","H",(IF(Y59="H",HLOOKUP(V59,'3 - Prioritisation'!$D$16:$H$21,3,FALSE),IF(Y59="M",HLOOKUP(V59,'3 - Prioritisation'!$D$16:$H$21,4,FALSE),IF(Y59="L",HLOOKUP(V59,'3 - Prioritisation'!$D$16:$H$21,5,FALSE),IF(Y59="VL",HLOOKUP(V59,'3 - Prioritisation'!$D$16:$H$21,6,FALSE))))))))</f>
        <v>M</v>
      </c>
      <c r="AA59" s="507">
        <v>75000</v>
      </c>
      <c r="AB59" s="507">
        <v>100000</v>
      </c>
      <c r="AC59" s="507">
        <v>150000</v>
      </c>
      <c r="AD59" s="508">
        <f>U59*AB59</f>
        <v>70000</v>
      </c>
      <c r="AE59" s="509" t="e">
        <f>IF(AF59="Data missing","Data missing",IF(OR(U59="",AA59="",AB59="",AC59=""),"",_XLL.RISKBINOMIAL(1,U59)))</f>
        <v>#NAME?</v>
      </c>
      <c r="AF59" s="510" t="e">
        <f>IF(OR(U59="",AA59="",AB59="",AC59=""),"Data missing",_XLL.RISKPERT(AA59,AB59,AC59,_XLL.RISKNAME("Risk ID"&amp;B59),_XLL.RISKCOLLECT()))</f>
        <v>#NAME?</v>
      </c>
      <c r="AG59" s="511" t="e">
        <f>IF(AF59="Data missing","Data missing",IF(OR(U59="",AA59="",AB59="",AC59=""),"",AE59*AF59))</f>
        <v>#NAME?</v>
      </c>
      <c r="AH59" s="522" t="s">
        <v>598</v>
      </c>
      <c r="AI59" s="26"/>
      <c r="AJ59" s="34" t="e">
        <f aca="true" t="shared" si="47" ref="AJ59:AO61">IF($H59="","Identify Risk Owner",IF($H59=AJ$16,$AG59,0))</f>
        <v>#NAME?</v>
      </c>
      <c r="AK59" s="35">
        <f t="shared" si="47"/>
        <v>0</v>
      </c>
      <c r="AL59" s="35">
        <f t="shared" si="47"/>
        <v>0</v>
      </c>
      <c r="AM59" s="35">
        <f t="shared" si="47"/>
        <v>0</v>
      </c>
      <c r="AN59" s="35">
        <f t="shared" si="47"/>
        <v>0</v>
      </c>
      <c r="AO59" s="36">
        <f t="shared" si="47"/>
        <v>0</v>
      </c>
      <c r="AP59" s="37" t="e">
        <f>SUM(AJ59:AO59)</f>
        <v>#NAME?</v>
      </c>
      <c r="AR59" s="229"/>
      <c r="AS59" s="88"/>
      <c r="AT59" s="288">
        <f>IF(AS59="Yes",U59,0)</f>
        <v>0</v>
      </c>
      <c r="AU59" s="191">
        <v>0</v>
      </c>
      <c r="AV59" s="192">
        <v>0</v>
      </c>
      <c r="AW59" s="193">
        <v>0</v>
      </c>
      <c r="AX59" s="71" t="e">
        <f>IF(AY59="Data missing","Data missing",IF(OR(AT59="",AU59="",AV59="",AW59=""),"",_XLL.RISKBINOMIAL(1,AT59)))</f>
        <v>#NAME?</v>
      </c>
      <c r="AY59" s="95" t="e">
        <f>IF(OR(AT59="",AU59="",AV59="",AW59=""),"Data missing",_XLL.RISKPERT(AU59,AV59,AW59))</f>
        <v>#NAME?</v>
      </c>
      <c r="AZ59" s="96" t="e">
        <f>IF(AY59="Data missing","Data missing",IF(OR(AT59="",AU59="",AV59="",AW59=""),"",AX59*AY59))</f>
        <v>#NAME?</v>
      </c>
      <c r="BB59" s="283" t="e">
        <f aca="true" t="shared" si="48" ref="BB59:BD61">IF($H59="","Identify Risk Owner",IF($H59=BB$16,$AZ59,0))</f>
        <v>#NAME?</v>
      </c>
      <c r="BC59" s="289">
        <f t="shared" si="48"/>
        <v>0</v>
      </c>
      <c r="BD59" s="289">
        <f t="shared" si="48"/>
        <v>0</v>
      </c>
      <c r="BE59" s="284">
        <f aca="true" t="shared" si="49" ref="BE59:BG61">IF($H59="","Identify risk owner",IF($H59=BE$16,$AZ59,0))</f>
        <v>0</v>
      </c>
      <c r="BF59" s="284">
        <f t="shared" si="49"/>
        <v>0</v>
      </c>
      <c r="BG59" s="285">
        <f t="shared" si="49"/>
        <v>0</v>
      </c>
      <c r="BH59" s="286" t="e">
        <f>SUM(BB59:BG59)</f>
        <v>#NAME?</v>
      </c>
    </row>
    <row r="60" spans="1:60" s="27" customFormat="1" ht="33" customHeight="1">
      <c r="A60" s="165">
        <v>32</v>
      </c>
      <c r="B60" s="521">
        <v>38</v>
      </c>
      <c r="C60" s="496"/>
      <c r="D60" s="497" t="s">
        <v>452</v>
      </c>
      <c r="E60" s="496" t="s">
        <v>417</v>
      </c>
      <c r="F60" s="498" t="s">
        <v>322</v>
      </c>
      <c r="G60" s="498"/>
      <c r="H60" s="498" t="s">
        <v>190</v>
      </c>
      <c r="I60" s="498"/>
      <c r="J60" s="499" t="s">
        <v>25</v>
      </c>
      <c r="K60" s="499" t="s">
        <v>23</v>
      </c>
      <c r="L60" s="499" t="s">
        <v>24</v>
      </c>
      <c r="M60" s="500" t="str">
        <f>IF(OR(K60="",L60="",J60=""),"Data missing",IF(OR(K60="VH",L60="VH"),"VH",IF(OR(K60="H",L60="H"),"H",IF(OR(K60="M",L60="M"),"M",IF(OR(K60="L",L60="L"),"L",IF(OR(K60="VL",L60="VL"),"VL"))))))</f>
        <v>M</v>
      </c>
      <c r="N60" s="501" t="str">
        <f>IF(M60="Data missing","Data missing",IF(M60="VH","H",(IF(M60="H",HLOOKUP(J60,'3 - Prioritisation'!$D$16:$H$21,3,FALSE),IF(M60="M",HLOOKUP(J60,'3 - Prioritisation'!$D$16:$H$21,4,FALSE),IF(M60="L",HLOOKUP(J60,'3 - Prioritisation'!$D$16:$H$21,5,FALSE),IF(M60="VL",HLOOKUP(J60,'3 - Prioritisation'!$D$16:$H$21,6,FALSE))))))))</f>
        <v>M</v>
      </c>
      <c r="O60" s="502"/>
      <c r="P60" s="503" t="s">
        <v>555</v>
      </c>
      <c r="Q60" s="503" t="s">
        <v>458</v>
      </c>
      <c r="R60" s="504"/>
      <c r="S60" s="499"/>
      <c r="T60" s="505"/>
      <c r="U60" s="506">
        <v>0.5</v>
      </c>
      <c r="V60" s="499" t="s">
        <v>24</v>
      </c>
      <c r="W60" s="499" t="s">
        <v>23</v>
      </c>
      <c r="X60" s="499" t="s">
        <v>24</v>
      </c>
      <c r="Y60" s="500" t="str">
        <f>IF(OR(W60="",X60="",V60=""),"Data missing",IF(OR(W60="VH",X60="VH"),"VH",IF(OR(W60="H",X60="H"),"H",IF(OR(W60="M",X60="M"),"M",IF(OR(W60="L",X60="L"),"L",IF(OR(W60="VL",X60="VL"),"VL"))))))</f>
        <v>M</v>
      </c>
      <c r="Z60" s="501" t="str">
        <f>IF(Y60="Data missing","Data missing",IF(Y60="VH","H",(IF(Y60="H",HLOOKUP(V60,'3 - Prioritisation'!$D$16:$H$21,3,FALSE),IF(Y60="M",HLOOKUP(V60,'3 - Prioritisation'!$D$16:$H$21,4,FALSE),IF(Y60="L",HLOOKUP(V60,'3 - Prioritisation'!$D$16:$H$21,5,FALSE),IF(Y60="VL",HLOOKUP(V60,'3 - Prioritisation'!$D$16:$H$21,6,FALSE))))))))</f>
        <v>M</v>
      </c>
      <c r="AA60" s="507">
        <v>75000</v>
      </c>
      <c r="AB60" s="507">
        <v>100000</v>
      </c>
      <c r="AC60" s="507">
        <v>150000</v>
      </c>
      <c r="AD60" s="508">
        <f>U60*AB60</f>
        <v>50000</v>
      </c>
      <c r="AE60" s="509" t="e">
        <f>IF(AF60="Data missing","Data missing",IF(OR(U60="",AA60="",AB60="",AC60=""),"",_XLL.RISKBINOMIAL(1,U60)))</f>
        <v>#NAME?</v>
      </c>
      <c r="AF60" s="510" t="e">
        <f>IF(OR(U60="",AA60="",AB60="",AC60=""),"Data missing",_XLL.RISKPERT(AA60,AB60,AC60,_XLL.RISKNAME("Risk ID"&amp;B60),_XLL.RISKCOLLECT()))</f>
        <v>#NAME?</v>
      </c>
      <c r="AG60" s="511" t="e">
        <f>IF(AF60="Data missing","Data missing",IF(OR(U60="",AA60="",AB60="",AC60=""),"",AE60*AF60))</f>
        <v>#NAME?</v>
      </c>
      <c r="AH60" s="522"/>
      <c r="AI60" s="26"/>
      <c r="AJ60" s="34" t="e">
        <f t="shared" si="47"/>
        <v>#NAME?</v>
      </c>
      <c r="AK60" s="35">
        <f t="shared" si="47"/>
        <v>0</v>
      </c>
      <c r="AL60" s="35">
        <f t="shared" si="47"/>
        <v>0</v>
      </c>
      <c r="AM60" s="35">
        <f t="shared" si="47"/>
        <v>0</v>
      </c>
      <c r="AN60" s="35">
        <f t="shared" si="47"/>
        <v>0</v>
      </c>
      <c r="AO60" s="36">
        <f t="shared" si="47"/>
        <v>0</v>
      </c>
      <c r="AP60" s="37" t="e">
        <f>SUM(AJ60:AO60)</f>
        <v>#NAME?</v>
      </c>
      <c r="AR60" s="229"/>
      <c r="AS60" s="88" t="s">
        <v>364</v>
      </c>
      <c r="AT60" s="288">
        <f>IF(AS60="Yes",U60,0)</f>
        <v>0.5</v>
      </c>
      <c r="AU60" s="191">
        <v>2</v>
      </c>
      <c r="AV60" s="192">
        <v>4</v>
      </c>
      <c r="AW60" s="193">
        <v>8</v>
      </c>
      <c r="AX60" s="71" t="e">
        <f>IF(AY60="Data missing","Data missing",IF(OR(AT60="",AU60="",AV60="",AW60=""),"",_XLL.RISKBINOMIAL(1,AT60)))</f>
        <v>#NAME?</v>
      </c>
      <c r="AY60" s="95" t="e">
        <f>IF(OR(AT60="",AU60="",AV60="",AW60=""),"Data missing",_XLL.RISKPERT(AU60,AV60,AW60))</f>
        <v>#NAME?</v>
      </c>
      <c r="AZ60" s="96" t="e">
        <f>IF(AY60="Data missing","Data missing",IF(OR(AT60="",AU60="",AV60="",AW60=""),"",AX60*AY60))</f>
        <v>#NAME?</v>
      </c>
      <c r="BB60" s="283" t="e">
        <f t="shared" si="48"/>
        <v>#NAME?</v>
      </c>
      <c r="BC60" s="289">
        <f t="shared" si="48"/>
        <v>0</v>
      </c>
      <c r="BD60" s="289">
        <f t="shared" si="48"/>
        <v>0</v>
      </c>
      <c r="BE60" s="284">
        <f t="shared" si="49"/>
        <v>0</v>
      </c>
      <c r="BF60" s="284">
        <f t="shared" si="49"/>
        <v>0</v>
      </c>
      <c r="BG60" s="285">
        <f t="shared" si="49"/>
        <v>0</v>
      </c>
      <c r="BH60" s="286" t="e">
        <f>SUM(BB60:BG60)</f>
        <v>#NAME?</v>
      </c>
    </row>
    <row r="61" spans="1:60" s="27" customFormat="1" ht="48" customHeight="1">
      <c r="A61" s="160">
        <v>33</v>
      </c>
      <c r="B61" s="521">
        <v>39</v>
      </c>
      <c r="C61" s="496"/>
      <c r="D61" s="497" t="s">
        <v>453</v>
      </c>
      <c r="E61" s="496" t="s">
        <v>454</v>
      </c>
      <c r="F61" s="498" t="s">
        <v>322</v>
      </c>
      <c r="G61" s="498"/>
      <c r="H61" s="498" t="s">
        <v>13</v>
      </c>
      <c r="I61" s="498"/>
      <c r="J61" s="499" t="s">
        <v>25</v>
      </c>
      <c r="K61" s="499" t="s">
        <v>23</v>
      </c>
      <c r="L61" s="499" t="s">
        <v>24</v>
      </c>
      <c r="M61" s="500" t="str">
        <f>IF(OR(K61="",L61="",J61=""),"Data missing",IF(OR(K61="VH",L61="VH"),"VH",IF(OR(K61="H",L61="H"),"H",IF(OR(K61="M",L61="M"),"M",IF(OR(K61="L",L61="L"),"L",IF(OR(K61="VL",L61="VL"),"VL"))))))</f>
        <v>M</v>
      </c>
      <c r="N61" s="501" t="str">
        <f>IF(M61="Data missing","Data missing",IF(M61="VH","H",(IF(M61="H",HLOOKUP(J61,'3 - Prioritisation'!$D$16:$H$21,3,FALSE),IF(M61="M",HLOOKUP(J61,'3 - Prioritisation'!$D$16:$H$21,4,FALSE),IF(M61="L",HLOOKUP(J61,'3 - Prioritisation'!$D$16:$H$21,5,FALSE),IF(M61="VL",HLOOKUP(J61,'3 - Prioritisation'!$D$16:$H$21,6,FALSE))))))))</f>
        <v>M</v>
      </c>
      <c r="O61" s="502"/>
      <c r="P61" s="503" t="s">
        <v>455</v>
      </c>
      <c r="Q61" s="503" t="s">
        <v>455</v>
      </c>
      <c r="R61" s="504"/>
      <c r="S61" s="499"/>
      <c r="T61" s="505"/>
      <c r="U61" s="506">
        <v>0.4</v>
      </c>
      <c r="V61" s="499" t="s">
        <v>23</v>
      </c>
      <c r="W61" s="499" t="s">
        <v>23</v>
      </c>
      <c r="X61" s="499" t="s">
        <v>25</v>
      </c>
      <c r="Y61" s="500" t="str">
        <f>IF(OR(W61="",X61="",V61=""),"Data missing",IF(OR(W61="VH",X61="VH"),"VH",IF(OR(W61="H",X61="H"),"H",IF(OR(W61="M",X61="M"),"M",IF(OR(W61="L",X61="L"),"L",IF(OR(W61="VL",X61="VL"),"VL"))))))</f>
        <v>H</v>
      </c>
      <c r="Z61" s="501" t="str">
        <f>IF(Y61="Data missing","Data missing",IF(Y61="VH","H",(IF(Y61="H",HLOOKUP(V61,'3 - Prioritisation'!$D$16:$H$21,3,FALSE),IF(Y61="M",HLOOKUP(V61,'3 - Prioritisation'!$D$16:$H$21,4,FALSE),IF(Y61="L",HLOOKUP(V61,'3 - Prioritisation'!$D$16:$H$21,5,FALSE),IF(Y61="VL",HLOOKUP(V61,'3 - Prioritisation'!$D$16:$H$21,6,FALSE))))))))</f>
        <v>M</v>
      </c>
      <c r="AA61" s="507">
        <v>25000</v>
      </c>
      <c r="AB61" s="507">
        <v>75000</v>
      </c>
      <c r="AC61" s="507">
        <v>100000</v>
      </c>
      <c r="AD61" s="508">
        <f>U61*AB61</f>
        <v>30000</v>
      </c>
      <c r="AE61" s="509" t="e">
        <f>IF(AF61="Data missing","Data missing",IF(OR(U61="",AA61="",AB61="",AC61=""),"",_XLL.RISKBINOMIAL(1,U61)))</f>
        <v>#NAME?</v>
      </c>
      <c r="AF61" s="510" t="e">
        <f>IF(OR(U61="",AA61="",AB61="",AC61=""),"Data missing",_XLL.RISKPERT(AA61,AB61,AC61,_XLL.RISKNAME("Risk ID"&amp;B61),_XLL.RISKCOLLECT()))</f>
        <v>#NAME?</v>
      </c>
      <c r="AG61" s="511" t="e">
        <f>IF(AF61="Data missing","Data missing",IF(OR(U61="",AA61="",AB61="",AC61=""),"",AE61*AF61))</f>
        <v>#NAME?</v>
      </c>
      <c r="AH61" s="522"/>
      <c r="AI61" s="26"/>
      <c r="AJ61" s="34">
        <f t="shared" si="47"/>
        <v>0</v>
      </c>
      <c r="AK61" s="35" t="e">
        <f t="shared" si="47"/>
        <v>#NAME?</v>
      </c>
      <c r="AL61" s="35">
        <f t="shared" si="47"/>
        <v>0</v>
      </c>
      <c r="AM61" s="35">
        <f t="shared" si="47"/>
        <v>0</v>
      </c>
      <c r="AN61" s="35">
        <f t="shared" si="47"/>
        <v>0</v>
      </c>
      <c r="AO61" s="36">
        <f t="shared" si="47"/>
        <v>0</v>
      </c>
      <c r="AP61" s="37" t="e">
        <f>SUM(AJ61:AO61)</f>
        <v>#NAME?</v>
      </c>
      <c r="AR61" s="229"/>
      <c r="AS61" s="88"/>
      <c r="AT61" s="288">
        <f>IF(AS61="Yes",U61,0)</f>
        <v>0</v>
      </c>
      <c r="AU61" s="191">
        <v>0</v>
      </c>
      <c r="AV61" s="192">
        <v>13</v>
      </c>
      <c r="AW61" s="193">
        <v>26</v>
      </c>
      <c r="AX61" s="71" t="e">
        <f>IF(AY61="Data missing","Data missing",IF(OR(AT61="",AU61="",AV61="",AW61=""),"",_XLL.RISKBINOMIAL(1,AT61)))</f>
        <v>#NAME?</v>
      </c>
      <c r="AY61" s="95" t="e">
        <f>IF(OR(AT61="",AU61="",AV61="",AW61=""),"Data missing",_XLL.RISKPERT(AU61,AV61,AW61))</f>
        <v>#NAME?</v>
      </c>
      <c r="AZ61" s="96" t="e">
        <f>IF(AY61="Data missing","Data missing",IF(OR(AT61="",AU61="",AV61="",AW61=""),"",AX61*AY61))</f>
        <v>#NAME?</v>
      </c>
      <c r="BB61" s="283">
        <f t="shared" si="48"/>
        <v>0</v>
      </c>
      <c r="BC61" s="289" t="e">
        <f t="shared" si="48"/>
        <v>#NAME?</v>
      </c>
      <c r="BD61" s="289">
        <f t="shared" si="48"/>
        <v>0</v>
      </c>
      <c r="BE61" s="284">
        <f t="shared" si="49"/>
        <v>0</v>
      </c>
      <c r="BF61" s="284">
        <f t="shared" si="49"/>
        <v>0</v>
      </c>
      <c r="BG61" s="285">
        <f t="shared" si="49"/>
        <v>0</v>
      </c>
      <c r="BH61" s="286" t="e">
        <f>SUM(BB61:BG61)</f>
        <v>#NAME?</v>
      </c>
    </row>
    <row r="62" spans="1:29" ht="15.75">
      <c r="A62" s="165">
        <v>33</v>
      </c>
      <c r="B62" s="521"/>
      <c r="C62" s="512"/>
      <c r="D62" s="513" t="s">
        <v>341</v>
      </c>
      <c r="E62" s="512"/>
      <c r="I62" s="512"/>
      <c r="J62" s="512"/>
      <c r="K62" s="512"/>
      <c r="L62" s="512"/>
      <c r="M62" s="512"/>
      <c r="N62" s="512"/>
      <c r="O62" s="512"/>
      <c r="P62" s="512"/>
      <c r="Q62" s="512"/>
      <c r="R62" s="512"/>
      <c r="S62" s="512"/>
      <c r="T62" s="512"/>
      <c r="U62" s="512"/>
      <c r="V62" s="512"/>
      <c r="W62" s="512"/>
      <c r="X62" s="512"/>
      <c r="Y62" s="512"/>
      <c r="Z62" s="512"/>
      <c r="AA62" s="664"/>
      <c r="AB62" s="512"/>
      <c r="AC62" s="664"/>
    </row>
    <row r="63" spans="1:60" ht="120">
      <c r="A63" s="165" t="s">
        <v>617</v>
      </c>
      <c r="B63" s="521">
        <v>40</v>
      </c>
      <c r="C63" s="496"/>
      <c r="D63" s="497" t="s">
        <v>639</v>
      </c>
      <c r="E63" s="496" t="s">
        <v>640</v>
      </c>
      <c r="F63" s="498" t="s">
        <v>608</v>
      </c>
      <c r="G63" s="498"/>
      <c r="H63" s="498" t="s">
        <v>190</v>
      </c>
      <c r="I63" s="498"/>
      <c r="J63" s="499" t="s">
        <v>24</v>
      </c>
      <c r="K63" s="499" t="s">
        <v>25</v>
      </c>
      <c r="L63" s="499" t="s">
        <v>26</v>
      </c>
      <c r="M63" s="500" t="str">
        <f>IF(OR(K63="",L63="",J63=""),"Data missing",IF(OR(K63="VH",L63="VH"),"VH",IF(OR(K63="H",L63="H"),"H",IF(OR(K63="M",L63="M"),"M",IF(OR(K63="L",L63="L"),"L",IF(OR(K63="VL",L63="VL"),"VL"))))))</f>
        <v>VH</v>
      </c>
      <c r="N63" s="501" t="str">
        <f>IF(M63="Data missing","Data missing",IF(M63="VH","H",(IF(M63="H",HLOOKUP(J63,'3 - Prioritisation'!$D$16:$H$21,3,FALSE),IF(M63="M",HLOOKUP(J63,'3 - Prioritisation'!$D$16:$H$21,4,FALSE),IF(M63="L",HLOOKUP(J63,'3 - Prioritisation'!$D$16:$H$21,5,FALSE),IF(M63="VL",HLOOKUP(J63,'3 - Prioritisation'!$D$16:$H$21,6,FALSE))))))))</f>
        <v>H</v>
      </c>
      <c r="O63" s="502"/>
      <c r="P63" s="503"/>
      <c r="Q63" s="503"/>
      <c r="R63" s="504"/>
      <c r="S63" s="499"/>
      <c r="T63" s="505"/>
      <c r="U63" s="506"/>
      <c r="V63" s="499"/>
      <c r="W63" s="499"/>
      <c r="X63" s="499"/>
      <c r="Y63" s="500" t="str">
        <f>IF(OR(W63="",X63="",V63=""),"Data missing",IF(OR(W63="VH",X63="VH"),"VH",IF(OR(W63="H",X63="H"),"H",IF(OR(W63="M",X63="M"),"M",IF(OR(W63="L",X63="L"),"L",IF(OR(W63="VL",X63="VL"),"VL"))))))</f>
        <v>Data missing</v>
      </c>
      <c r="Z63" s="501" t="str">
        <f>IF(Y63="Data missing","Data missing",IF(Y63="VH","H",(IF(Y63="H",HLOOKUP(V63,'3 - Prioritisation'!$D$16:$H$21,3,FALSE),IF(Y63="M",HLOOKUP(V63,'3 - Prioritisation'!$D$16:$H$21,4,FALSE),IF(Y63="L",HLOOKUP(V63,'3 - Prioritisation'!$D$16:$H$21,5,FALSE),IF(Y63="VL",HLOOKUP(V63,'3 - Prioritisation'!$D$16:$H$21,6,FALSE))))))))</f>
        <v>Data missing</v>
      </c>
      <c r="AA63" s="507"/>
      <c r="AB63" s="507"/>
      <c r="AC63" s="507"/>
      <c r="AD63" s="508"/>
      <c r="AE63" s="508"/>
      <c r="AF63" s="508"/>
      <c r="AG63" s="508"/>
      <c r="AH63" s="522" t="s">
        <v>680</v>
      </c>
      <c r="AI63" s="26"/>
      <c r="AJ63" s="34"/>
      <c r="AK63" s="35"/>
      <c r="AL63" s="35"/>
      <c r="AM63" s="35"/>
      <c r="AN63" s="35"/>
      <c r="AO63" s="36"/>
      <c r="AP63" s="37"/>
      <c r="AQ63" s="27"/>
      <c r="AR63" s="229"/>
      <c r="AS63" s="88"/>
      <c r="AT63" s="288">
        <f>IF(AS63="Yes",U63,0)</f>
        <v>0</v>
      </c>
      <c r="AU63" s="191">
        <v>0</v>
      </c>
      <c r="AV63" s="192">
        <v>1</v>
      </c>
      <c r="AW63" s="193">
        <v>2</v>
      </c>
      <c r="AX63" s="71" t="e">
        <f>IF(AY63="Data missing","Data missing",IF(OR(AT63="",AU63="",AV63="",AW63=""),"",_XLL.RISKBINOMIAL(1,AT63)))</f>
        <v>#NAME?</v>
      </c>
      <c r="AY63" s="95" t="e">
        <f>IF(OR(AT63="",AU63="",AV63="",AW63=""),"Data missing",_XLL.RISKPERT(AU63,AV63,AW63))</f>
        <v>#NAME?</v>
      </c>
      <c r="AZ63" s="96" t="e">
        <f>IF(AY63="Data missing","Data missing",IF(OR(AT63="",AU63="",AV63="",AW63=""),"",AX63*AY63))</f>
        <v>#NAME?</v>
      </c>
      <c r="BA63" s="27"/>
      <c r="BB63" s="283" t="e">
        <f aca="true" t="shared" si="50" ref="BB63:BD67">IF($H63="","Identify Risk Owner",IF($H63=BB$16,$AZ63,0))</f>
        <v>#NAME?</v>
      </c>
      <c r="BC63" s="289">
        <f t="shared" si="50"/>
        <v>0</v>
      </c>
      <c r="BD63" s="289">
        <f t="shared" si="50"/>
        <v>0</v>
      </c>
      <c r="BE63" s="284">
        <f aca="true" t="shared" si="51" ref="BE63:BG67">IF($H63="","Identify risk owner",IF($H63=BE$16,$AZ63,0))</f>
        <v>0</v>
      </c>
      <c r="BF63" s="284">
        <f t="shared" si="51"/>
        <v>0</v>
      </c>
      <c r="BG63" s="285">
        <f t="shared" si="51"/>
        <v>0</v>
      </c>
      <c r="BH63" s="286" t="e">
        <f>SUM(BB63:BG63)</f>
        <v>#NAME?</v>
      </c>
    </row>
    <row r="64" spans="1:60" s="377" customFormat="1" ht="35.25" customHeight="1">
      <c r="A64" s="165">
        <v>34</v>
      </c>
      <c r="B64" s="521">
        <v>41</v>
      </c>
      <c r="C64" s="496"/>
      <c r="D64" s="497" t="s">
        <v>641</v>
      </c>
      <c r="E64" s="496" t="s">
        <v>394</v>
      </c>
      <c r="F64" s="498" t="s">
        <v>322</v>
      </c>
      <c r="G64" s="498"/>
      <c r="H64" s="498" t="s">
        <v>190</v>
      </c>
      <c r="I64" s="498"/>
      <c r="J64" s="499"/>
      <c r="K64" s="499"/>
      <c r="L64" s="499"/>
      <c r="M64" s="500" t="str">
        <f>IF(OR(K64="",L64="",J64=""),"Data missing",IF(OR(K64="VH",L64="VH"),"VH",IF(OR(K64="H",L64="H"),"H",IF(OR(K64="M",L64="M"),"M",IF(OR(K64="L",L64="L"),"L",IF(OR(K64="VL",L64="VL"),"VL"))))))</f>
        <v>Data missing</v>
      </c>
      <c r="N64" s="501" t="str">
        <f>IF(M64="Data missing","Data missing",IF(M64="VH","H",(IF(M64="H",HLOOKUP(J64,'3 - Prioritisation'!$D$16:$H$21,3,FALSE),IF(M64="M",HLOOKUP(J64,'3 - Prioritisation'!$D$16:$H$21,4,FALSE),IF(M64="L",HLOOKUP(J64,'3 - Prioritisation'!$D$16:$H$21,5,FALSE),IF(M64="VL",HLOOKUP(J64,'3 - Prioritisation'!$D$16:$H$21,6,FALSE))))))))</f>
        <v>Data missing</v>
      </c>
      <c r="O64" s="502"/>
      <c r="P64" s="503" t="s">
        <v>591</v>
      </c>
      <c r="Q64" s="503" t="s">
        <v>592</v>
      </c>
      <c r="R64" s="504"/>
      <c r="S64" s="499"/>
      <c r="T64" s="505"/>
      <c r="U64" s="506">
        <v>0.5</v>
      </c>
      <c r="V64" s="499" t="s">
        <v>24</v>
      </c>
      <c r="W64" s="499" t="s">
        <v>25</v>
      </c>
      <c r="X64" s="499" t="s">
        <v>23</v>
      </c>
      <c r="Y64" s="500" t="str">
        <f>IF(OR(W64="",X64="",V64=""),"Data missing",IF(OR(W64="VH",X64="VH"),"VH",IF(OR(W64="H",X64="H"),"H",IF(OR(W64="M",X64="M"),"M",IF(OR(W64="L",X64="L"),"L",IF(OR(W64="VL",X64="VL"),"VL"))))))</f>
        <v>H</v>
      </c>
      <c r="Z64" s="501" t="str">
        <f>IF(Y64="Data missing","Data missing",IF(Y64="VH","H",(IF(Y64="H",HLOOKUP(V64,'3 - Prioritisation'!$D$16:$H$21,3,FALSE),IF(Y64="M",HLOOKUP(V64,'3 - Prioritisation'!$D$16:$H$21,4,FALSE),IF(Y64="L",HLOOKUP(V64,'3 - Prioritisation'!$D$16:$H$21,5,FALSE),IF(Y64="VL",HLOOKUP(V64,'3 - Prioritisation'!$D$16:$H$21,6,FALSE))))))))</f>
        <v>H</v>
      </c>
      <c r="AA64" s="507">
        <v>500000</v>
      </c>
      <c r="AB64" s="507">
        <v>2000000</v>
      </c>
      <c r="AC64" s="507">
        <v>3000000</v>
      </c>
      <c r="AD64" s="508">
        <f>U64*AB64</f>
        <v>1000000</v>
      </c>
      <c r="AE64" s="509" t="e">
        <f>IF(AF64="Data missing","Data missing",IF(OR(U64="",AA64="",AB64="",AC64=""),"",_XLL.RISKBINOMIAL(1,U64)))</f>
        <v>#NAME?</v>
      </c>
      <c r="AF64" s="510" t="e">
        <f>IF(OR(U64="",AA64="",AB64="",AC64=""),"Data missing",_XLL.RISKPERT(AA64,AB64,AC64,_XLL.RISKNAME("Risk ID"&amp;B64),_XLL.RISKCOLLECT()))</f>
        <v>#NAME?</v>
      </c>
      <c r="AG64" s="511" t="e">
        <f>IF(AF64="Data missing","Data missing",IF(OR(U64="",AA64="",AB64="",AC64=""),"",AE64*AF64))</f>
        <v>#NAME?</v>
      </c>
      <c r="AH64" s="522" t="s">
        <v>692</v>
      </c>
      <c r="AI64" s="26"/>
      <c r="AJ64" s="34" t="e">
        <f aca="true" t="shared" si="52" ref="AJ64:AO67">IF($H64="","Identify Risk Owner",IF($H64=AJ$16,$AG64,0))</f>
        <v>#NAME?</v>
      </c>
      <c r="AK64" s="35">
        <f t="shared" si="52"/>
        <v>0</v>
      </c>
      <c r="AL64" s="35">
        <f t="shared" si="52"/>
        <v>0</v>
      </c>
      <c r="AM64" s="35">
        <f t="shared" si="52"/>
        <v>0</v>
      </c>
      <c r="AN64" s="35">
        <f t="shared" si="52"/>
        <v>0</v>
      </c>
      <c r="AO64" s="36">
        <f t="shared" si="52"/>
        <v>0</v>
      </c>
      <c r="AP64" s="37" t="e">
        <f>SUM(AJ64:AO64)</f>
        <v>#NAME?</v>
      </c>
      <c r="AQ64" s="27"/>
      <c r="AR64" s="229"/>
      <c r="AS64" s="88"/>
      <c r="AT64" s="288">
        <f>IF(AS64="Yes",U64,0)</f>
        <v>0</v>
      </c>
      <c r="AU64" s="191">
        <v>0</v>
      </c>
      <c r="AV64" s="192">
        <v>1</v>
      </c>
      <c r="AW64" s="193">
        <v>2</v>
      </c>
      <c r="AX64" s="71" t="e">
        <f>IF(AY64="Data missing","Data missing",IF(OR(AT64="",AU64="",AV64="",AW64=""),"",_XLL.RISKBINOMIAL(1,AT64)))</f>
        <v>#NAME?</v>
      </c>
      <c r="AY64" s="95" t="e">
        <f>IF(OR(AT64="",AU64="",AV64="",AW64=""),"Data missing",_XLL.RISKPERT(AU64,AV64,AW64))</f>
        <v>#NAME?</v>
      </c>
      <c r="AZ64" s="96" t="e">
        <f>IF(AY64="Data missing","Data missing",IF(OR(AT64="",AU64="",AV64="",AW64=""),"",AX64*AY64))</f>
        <v>#NAME?</v>
      </c>
      <c r="BA64" s="27"/>
      <c r="BB64" s="283" t="e">
        <f t="shared" si="50"/>
        <v>#NAME?</v>
      </c>
      <c r="BC64" s="289">
        <f t="shared" si="50"/>
        <v>0</v>
      </c>
      <c r="BD64" s="289">
        <f t="shared" si="50"/>
        <v>0</v>
      </c>
      <c r="BE64" s="284">
        <f t="shared" si="51"/>
        <v>0</v>
      </c>
      <c r="BF64" s="284">
        <f t="shared" si="51"/>
        <v>0</v>
      </c>
      <c r="BG64" s="285">
        <f t="shared" si="51"/>
        <v>0</v>
      </c>
      <c r="BH64" s="286" t="e">
        <f>SUM(BB64:BG64)</f>
        <v>#NAME?</v>
      </c>
    </row>
    <row r="65" spans="1:60" s="27" customFormat="1" ht="67.5" customHeight="1">
      <c r="A65" s="755">
        <v>35</v>
      </c>
      <c r="B65" s="521">
        <v>42</v>
      </c>
      <c r="C65" s="518"/>
      <c r="D65" s="497" t="s">
        <v>343</v>
      </c>
      <c r="E65" s="496" t="s">
        <v>384</v>
      </c>
      <c r="F65" s="498" t="s">
        <v>322</v>
      </c>
      <c r="G65" s="498"/>
      <c r="H65" s="498" t="s">
        <v>190</v>
      </c>
      <c r="I65" s="498"/>
      <c r="J65" s="499" t="s">
        <v>23</v>
      </c>
      <c r="K65" s="499" t="s">
        <v>24</v>
      </c>
      <c r="L65" s="499" t="s">
        <v>140</v>
      </c>
      <c r="M65" s="500" t="str">
        <f>IF(OR(K65="",L65="",J65=""),"Data missing",IF(OR(K65="VH",L65="VH"),"VH",IF(OR(K65="H",L65="H"),"H",IF(OR(K65="M",L65="M"),"M",IF(OR(K65="L",L65="L"),"L",IF(OR(K65="VL",L65="VL"),"VL"))))))</f>
        <v>M</v>
      </c>
      <c r="N65" s="501" t="str">
        <f>IF(M65="Data missing","Data missing",IF(M65="VH","H",(IF(M65="H",HLOOKUP(J65,'3 - Prioritisation'!$D$16:$H$21,3,FALSE),IF(M65="M",HLOOKUP(J65,'3 - Prioritisation'!$D$16:$H$21,4,FALSE),IF(M65="L",HLOOKUP(J65,'3 - Prioritisation'!$D$16:$H$21,5,FALSE),IF(M65="VL",HLOOKUP(J65,'3 - Prioritisation'!$D$16:$H$21,6,FALSE))))))))</f>
        <v>M</v>
      </c>
      <c r="O65" s="502"/>
      <c r="P65" s="503" t="s">
        <v>461</v>
      </c>
      <c r="Q65" s="503" t="s">
        <v>528</v>
      </c>
      <c r="R65" s="504"/>
      <c r="S65" s="499"/>
      <c r="T65" s="505"/>
      <c r="U65" s="506">
        <v>0.25</v>
      </c>
      <c r="V65" s="499" t="s">
        <v>23</v>
      </c>
      <c r="W65" s="499" t="s">
        <v>24</v>
      </c>
      <c r="X65" s="499" t="s">
        <v>23</v>
      </c>
      <c r="Y65" s="500" t="str">
        <f>IF(OR(W65="",X65="",V65=""),"Data missing",IF(OR(W65="VH",X65="VH"),"VH",IF(OR(W65="H",X65="H"),"H",IF(OR(W65="M",X65="M"),"M",IF(OR(W65="L",X65="L"),"L",IF(OR(W65="VL",X65="VL"),"VL"))))))</f>
        <v>M</v>
      </c>
      <c r="Z65" s="501" t="str">
        <f>IF(Y65="Data missing","Data missing",IF(Y65="VH","H",(IF(Y65="H",HLOOKUP(V65,'3 - Prioritisation'!$D$16:$H$21,3,FALSE),IF(Y65="M",HLOOKUP(V65,'3 - Prioritisation'!$D$16:$H$21,4,FALSE),IF(Y65="L",HLOOKUP(V65,'3 - Prioritisation'!$D$16:$H$21,5,FALSE),IF(Y65="VL",HLOOKUP(V65,'3 - Prioritisation'!$D$16:$H$21,6,FALSE))))))))</f>
        <v>M</v>
      </c>
      <c r="AA65" s="507">
        <v>150000</v>
      </c>
      <c r="AB65" s="507">
        <v>300000</v>
      </c>
      <c r="AC65" s="507">
        <v>500000</v>
      </c>
      <c r="AD65" s="508">
        <f>U65*AB65</f>
        <v>75000</v>
      </c>
      <c r="AE65" s="509" t="e">
        <f>IF(AF65="Data missing","Data missing",IF(OR(U65="",AA65="",AB65="",AC65=""),"",_XLL.RISKBINOMIAL(1,U65)))</f>
        <v>#NAME?</v>
      </c>
      <c r="AF65" s="510" t="e">
        <f>IF(OR(U65="",AA65="",AB65="",AC65=""),"Data missing",_XLL.RISKPERT(AA65,AB65,AC65,_XLL.RISKNAME("Risk ID"&amp;B65),_XLL.RISKCOLLECT()))</f>
        <v>#NAME?</v>
      </c>
      <c r="AG65" s="511" t="e">
        <f>IF(AF65="Data missing","Data missing",IF(OR(U65="",AA65="",AB65="",AC65=""),"",AE65*AF65))</f>
        <v>#NAME?</v>
      </c>
      <c r="AH65" s="522" t="s">
        <v>681</v>
      </c>
      <c r="AI65" s="26"/>
      <c r="AJ65" s="34" t="e">
        <f t="shared" si="52"/>
        <v>#NAME?</v>
      </c>
      <c r="AK65" s="35">
        <f t="shared" si="52"/>
        <v>0</v>
      </c>
      <c r="AL65" s="35">
        <f t="shared" si="52"/>
        <v>0</v>
      </c>
      <c r="AM65" s="35">
        <f t="shared" si="52"/>
        <v>0</v>
      </c>
      <c r="AN65" s="35">
        <f t="shared" si="52"/>
        <v>0</v>
      </c>
      <c r="AO65" s="36">
        <f t="shared" si="52"/>
        <v>0</v>
      </c>
      <c r="AP65" s="37" t="e">
        <f>SUM(AJ65:AO65)</f>
        <v>#NAME?</v>
      </c>
      <c r="AR65" s="229"/>
      <c r="AS65" s="88"/>
      <c r="AT65" s="288">
        <f>IF(AS65="Yes",U65,0)</f>
        <v>0</v>
      </c>
      <c r="AU65" s="191">
        <v>0</v>
      </c>
      <c r="AV65" s="192">
        <v>1</v>
      </c>
      <c r="AW65" s="193">
        <v>2</v>
      </c>
      <c r="AX65" s="71" t="e">
        <f>IF(AY65="Data missing","Data missing",IF(OR(AT65="",AU65="",AV65="",AW65=""),"",_XLL.RISKBINOMIAL(1,AT65)))</f>
        <v>#NAME?</v>
      </c>
      <c r="AY65" s="95" t="e">
        <f>IF(OR(AT65="",AU65="",AV65="",AW65=""),"Data missing",_XLL.RISKPERT(AU65,AV65,AW65))</f>
        <v>#NAME?</v>
      </c>
      <c r="AZ65" s="96" t="e">
        <f>IF(AY65="Data missing","Data missing",IF(OR(AT65="",AU65="",AV65="",AW65=""),"",AX65*AY65))</f>
        <v>#NAME?</v>
      </c>
      <c r="BB65" s="283" t="e">
        <f t="shared" si="50"/>
        <v>#NAME?</v>
      </c>
      <c r="BC65" s="289">
        <f t="shared" si="50"/>
        <v>0</v>
      </c>
      <c r="BD65" s="289">
        <f t="shared" si="50"/>
        <v>0</v>
      </c>
      <c r="BE65" s="284">
        <f t="shared" si="51"/>
        <v>0</v>
      </c>
      <c r="BF65" s="284">
        <f t="shared" si="51"/>
        <v>0</v>
      </c>
      <c r="BG65" s="285">
        <f t="shared" si="51"/>
        <v>0</v>
      </c>
      <c r="BH65" s="286" t="e">
        <f>SUM(BB65:BG65)</f>
        <v>#NAME?</v>
      </c>
    </row>
    <row r="66" spans="1:60" s="27" customFormat="1" ht="67.5" customHeight="1">
      <c r="A66" s="165">
        <v>36</v>
      </c>
      <c r="B66" s="521">
        <v>43</v>
      </c>
      <c r="C66" s="496"/>
      <c r="D66" s="497" t="s">
        <v>462</v>
      </c>
      <c r="E66" s="496" t="s">
        <v>463</v>
      </c>
      <c r="F66" s="498" t="s">
        <v>322</v>
      </c>
      <c r="G66" s="567"/>
      <c r="H66" s="498" t="s">
        <v>190</v>
      </c>
      <c r="I66" s="498"/>
      <c r="J66" s="499" t="s">
        <v>24</v>
      </c>
      <c r="K66" s="499" t="s">
        <v>26</v>
      </c>
      <c r="L66" s="499" t="s">
        <v>25</v>
      </c>
      <c r="M66" s="500" t="str">
        <f>IF(OR(K66="",L66="",J66=""),"Data missing",IF(OR(K66="VH",L66="VH"),"VH",IF(OR(K66="H",L66="H"),"H",IF(OR(K66="M",L66="M"),"M",IF(OR(K66="L",L66="L"),"L",IF(OR(K66="VL",L66="VL"),"VL"))))))</f>
        <v>VH</v>
      </c>
      <c r="N66" s="501" t="str">
        <f>IF(M66="Data missing","Data missing",IF(M66="VH","H",(IF(M66="H",HLOOKUP(J66,'3 - Prioritisation'!$D$16:$H$21,3,FALSE),IF(M66="M",HLOOKUP(J66,'3 - Prioritisation'!$D$16:$H$21,4,FALSE),IF(M66="L",HLOOKUP(J66,'3 - Prioritisation'!$D$16:$H$21,5,FALSE),IF(M66="VL",HLOOKUP(J66,'3 - Prioritisation'!$D$16:$H$21,6,FALSE))))))))</f>
        <v>H</v>
      </c>
      <c r="O66" s="514"/>
      <c r="P66" s="503" t="s">
        <v>464</v>
      </c>
      <c r="Q66" s="503" t="s">
        <v>400</v>
      </c>
      <c r="R66" s="515"/>
      <c r="S66" s="516"/>
      <c r="T66" s="517"/>
      <c r="U66" s="506">
        <v>0.15</v>
      </c>
      <c r="V66" s="499" t="s">
        <v>23</v>
      </c>
      <c r="W66" s="499" t="s">
        <v>140</v>
      </c>
      <c r="X66" s="499" t="s">
        <v>23</v>
      </c>
      <c r="Y66" s="500" t="str">
        <f>IF(OR(W66="",X66="",V66=""),"Data missing",IF(OR(W66="VH",X66="VH"),"VH",IF(OR(W66="H",X66="H"),"H",IF(OR(W66="M",X66="M"),"M",IF(OR(W66="L",X66="L"),"L",IF(OR(W66="VL",X66="VL"),"VL"))))))</f>
        <v>L</v>
      </c>
      <c r="Z66" s="501" t="str">
        <f>IF(Y66="Data missing","Data missing",IF(Y66="VH","H",(IF(Y66="H",HLOOKUP(V66,'3 - Prioritisation'!$D$16:$H$21,3,FALSE),IF(Y66="M",HLOOKUP(V66,'3 - Prioritisation'!$D$16:$H$21,4,FALSE),IF(Y66="L",HLOOKUP(V66,'3 - Prioritisation'!$D$16:$H$21,5,FALSE),IF(Y66="VL",HLOOKUP(V66,'3 - Prioritisation'!$D$16:$H$21,6,FALSE))))))))</f>
        <v>L</v>
      </c>
      <c r="AA66" s="507">
        <v>10000</v>
      </c>
      <c r="AB66" s="743">
        <v>50000</v>
      </c>
      <c r="AC66" s="743">
        <v>100000</v>
      </c>
      <c r="AD66" s="508">
        <f>U66*AB66</f>
        <v>7500</v>
      </c>
      <c r="AE66" s="509" t="e">
        <f>IF(AF66="Data missing","Data missing",IF(OR(U66="",AA66="",AB66="",AC66=""),"",_XLL.RISKBINOMIAL(1,U66)))</f>
        <v>#NAME?</v>
      </c>
      <c r="AF66" s="510" t="e">
        <f>IF(OR(U66="",AA66="",AB66="",AC66=""),"Data missing",_XLL.RISKPERT(AA66,AB66,AC66,_XLL.RISKNAME("Risk ID"&amp;B66),_XLL.RISKCOLLECT()))</f>
        <v>#NAME?</v>
      </c>
      <c r="AG66" s="511" t="e">
        <f>IF(AF66="Data missing","Data missing",IF(OR(U66="",AA66="",AB66="",AC66=""),"",AE66*AF66))</f>
        <v>#NAME?</v>
      </c>
      <c r="AH66" s="522" t="s">
        <v>693</v>
      </c>
      <c r="AI66" s="26"/>
      <c r="AJ66" s="386" t="e">
        <f t="shared" si="52"/>
        <v>#NAME?</v>
      </c>
      <c r="AK66" s="387">
        <f t="shared" si="52"/>
        <v>0</v>
      </c>
      <c r="AL66" s="387">
        <f t="shared" si="52"/>
        <v>0</v>
      </c>
      <c r="AM66" s="387">
        <f t="shared" si="52"/>
        <v>0</v>
      </c>
      <c r="AN66" s="387">
        <f t="shared" si="52"/>
        <v>0</v>
      </c>
      <c r="AO66" s="388">
        <f t="shared" si="52"/>
        <v>0</v>
      </c>
      <c r="AP66" s="389" t="e">
        <f>SUM(AJ66:AO66)</f>
        <v>#NAME?</v>
      </c>
      <c r="AR66" s="385"/>
      <c r="AS66" s="363"/>
      <c r="AT66" s="288">
        <f>IF(AS66="Yes",U66,0)</f>
        <v>0</v>
      </c>
      <c r="AU66" s="382">
        <v>2</v>
      </c>
      <c r="AV66" s="383">
        <v>4</v>
      </c>
      <c r="AW66" s="384">
        <v>8</v>
      </c>
      <c r="AX66" s="364" t="e">
        <f>IF(AY66="Data missing","Data missing",IF(OR(AT66="",AU66="",AV66="",AW66=""),"",_XLL.RISKBINOMIAL(1,AT66)))</f>
        <v>#NAME?</v>
      </c>
      <c r="AY66" s="396" t="e">
        <f>IF(OR(AT66="",AU66="",AV66="",AW66=""),"Data missing",_XLL.RISKPERT(AU66,AV66,AW66))</f>
        <v>#NAME?</v>
      </c>
      <c r="AZ66" s="397" t="e">
        <f>IF(AY66="Data missing","Data missing",IF(OR(AT66="",AU66="",AV66="",AW66=""),"",AX66*AY66))</f>
        <v>#NAME?</v>
      </c>
      <c r="BB66" s="407" t="e">
        <f t="shared" si="50"/>
        <v>#NAME?</v>
      </c>
      <c r="BC66" s="338">
        <f t="shared" si="50"/>
        <v>0</v>
      </c>
      <c r="BD66" s="338">
        <f t="shared" si="50"/>
        <v>0</v>
      </c>
      <c r="BE66" s="408">
        <f t="shared" si="51"/>
        <v>0</v>
      </c>
      <c r="BF66" s="408">
        <f t="shared" si="51"/>
        <v>0</v>
      </c>
      <c r="BG66" s="409">
        <f t="shared" si="51"/>
        <v>0</v>
      </c>
      <c r="BH66" s="410" t="e">
        <f>SUM(BB66:BG66)</f>
        <v>#NAME?</v>
      </c>
    </row>
    <row r="67" spans="1:60" s="27" customFormat="1" ht="57.75" customHeight="1">
      <c r="A67" s="165"/>
      <c r="B67" s="521">
        <v>44</v>
      </c>
      <c r="C67" s="496"/>
      <c r="D67" s="497" t="s">
        <v>599</v>
      </c>
      <c r="E67" s="496" t="s">
        <v>382</v>
      </c>
      <c r="F67" s="498" t="s">
        <v>322</v>
      </c>
      <c r="G67" s="498"/>
      <c r="H67" s="498" t="s">
        <v>190</v>
      </c>
      <c r="I67" s="498"/>
      <c r="J67" s="499" t="s">
        <v>23</v>
      </c>
      <c r="K67" s="499" t="s">
        <v>24</v>
      </c>
      <c r="L67" s="499" t="s">
        <v>25</v>
      </c>
      <c r="M67" s="500" t="str">
        <f>IF(OR(K67="",L67="",J67=""),"Data missing",IF(OR(K67="VH",L67="VH"),"VH",IF(OR(K67="H",L67="H"),"H",IF(OR(K67="M",L67="M"),"M",IF(OR(K67="L",L67="L"),"L",IF(OR(K67="VL",L67="VL"),"VL"))))))</f>
        <v>H</v>
      </c>
      <c r="N67" s="501" t="str">
        <f>IF(M67="Data missing","Data missing",IF(M67="VH","H",(IF(M67="H",HLOOKUP(J67,'3 - Prioritisation'!$D$16:$H$21,3,FALSE),IF(M67="M",HLOOKUP(J67,'3 - Prioritisation'!$D$16:$H$21,4,FALSE),IF(M67="L",HLOOKUP(J67,'3 - Prioritisation'!$D$16:$H$21,5,FALSE),IF(M67="VL",HLOOKUP(J67,'3 - Prioritisation'!$D$16:$H$21,6,FALSE))))))))</f>
        <v>M</v>
      </c>
      <c r="O67" s="502"/>
      <c r="P67" s="503" t="s">
        <v>371</v>
      </c>
      <c r="Q67" s="503" t="s">
        <v>372</v>
      </c>
      <c r="R67" s="504"/>
      <c r="S67" s="499"/>
      <c r="T67" s="505"/>
      <c r="U67" s="506">
        <v>0.05</v>
      </c>
      <c r="V67" s="499" t="s">
        <v>140</v>
      </c>
      <c r="W67" s="499" t="s">
        <v>140</v>
      </c>
      <c r="X67" s="499" t="s">
        <v>23</v>
      </c>
      <c r="Y67" s="500" t="str">
        <f>IF(OR(W67="",X67="",V67=""),"Data missing",IF(OR(W67="VH",X67="VH"),"VH",IF(OR(W67="H",X67="H"),"H",IF(OR(W67="M",X67="M"),"M",IF(OR(W67="L",X67="L"),"L",IF(OR(W67="VL",X67="VL"),"VL"))))))</f>
        <v>L</v>
      </c>
      <c r="Z67" s="501" t="str">
        <f>IF(Y67="Data missing","Data missing",IF(Y67="VH","H",(IF(Y67="H",HLOOKUP(V67,'3 - Prioritisation'!$D$16:$H$21,3,FALSE),IF(Y67="M",HLOOKUP(V67,'3 - Prioritisation'!$D$16:$H$21,4,FALSE),IF(Y67="L",HLOOKUP(V67,'3 - Prioritisation'!$D$16:$H$21,5,FALSE),IF(Y67="VL",HLOOKUP(V67,'3 - Prioritisation'!$D$16:$H$21,6,FALSE))))))))</f>
        <v>L</v>
      </c>
      <c r="AA67" s="507">
        <v>2000</v>
      </c>
      <c r="AB67" s="507">
        <v>20000</v>
      </c>
      <c r="AC67" s="507">
        <v>100000</v>
      </c>
      <c r="AD67" s="508">
        <f>U67*AB67</f>
        <v>1000</v>
      </c>
      <c r="AE67" s="509" t="e">
        <f>IF(AF67="Data missing","Data missing",IF(OR(U67="",AA67="",AB67="",AC67=""),"",_XLL.RISKBINOMIAL(1,U67)))</f>
        <v>#NAME?</v>
      </c>
      <c r="AF67" s="510" t="e">
        <f>IF(OR(U67="",AA67="",AB67="",AC67=""),"Data missing",_XLL.RISKPERT(AA67,AB67,AC67,_XLL.RISKNAME("Risk ID"&amp;B67),_XLL.RISKCOLLECT()))</f>
        <v>#NAME?</v>
      </c>
      <c r="AG67" s="511" t="e">
        <f>IF(AF67="Data missing","Data missing",IF(OR(U67="",AA67="",AB67="",AC67=""),"",AE67*AF67))</f>
        <v>#NAME?</v>
      </c>
      <c r="AH67" s="522" t="s">
        <v>682</v>
      </c>
      <c r="AI67" s="26"/>
      <c r="AJ67" s="34" t="e">
        <f>IF(AF67="Data missing","Data missing",IF(OR(U67="",AA67="",AB67="",AC67=""),"",_XLL.RISKBINOMIAL(1,U67)))</f>
        <v>#NAME?</v>
      </c>
      <c r="AK67" s="35">
        <f t="shared" si="52"/>
        <v>0</v>
      </c>
      <c r="AL67" s="35">
        <f t="shared" si="52"/>
        <v>0</v>
      </c>
      <c r="AM67" s="35">
        <f t="shared" si="52"/>
        <v>0</v>
      </c>
      <c r="AN67" s="35">
        <f t="shared" si="52"/>
        <v>0</v>
      </c>
      <c r="AO67" s="36">
        <f t="shared" si="52"/>
        <v>0</v>
      </c>
      <c r="AP67" s="37" t="e">
        <f>IF(AF67="Data missing","Data missing",IF(OR(U67="",AA67="",AB67="",AC67=""),"",_XLL.RISKBINOMIAL(1,U67)))</f>
        <v>#NAME?</v>
      </c>
      <c r="AR67" s="229"/>
      <c r="AS67" s="88"/>
      <c r="AT67" s="288">
        <f>IF(AS67="Yes",U67,0)</f>
        <v>0</v>
      </c>
      <c r="AU67" s="191">
        <v>1</v>
      </c>
      <c r="AV67" s="192">
        <v>3</v>
      </c>
      <c r="AW67" s="193">
        <v>5</v>
      </c>
      <c r="AX67" s="71" t="e">
        <f>IF(AY67="Data missing","Data missing",IF(OR(AT67="",AU67="",AV67="",AW67=""),"",_XLL.RISKBINOMIAL(1,AT67)))</f>
        <v>#NAME?</v>
      </c>
      <c r="AY67" s="95" t="e">
        <f>IF(OR(AT67="",AU67="",AV67="",AW67=""),"Data missing",_XLL.RISKPERT(AU67,AV67,AW67))</f>
        <v>#NAME?</v>
      </c>
      <c r="AZ67" s="96" t="e">
        <f>IF(AY67="Data missing","Data missing",IF(OR(AT67="",AU67="",AV67="",AW67=""),"",AX67*AY67))</f>
        <v>#NAME?</v>
      </c>
      <c r="BB67" s="283" t="e">
        <f t="shared" si="50"/>
        <v>#NAME?</v>
      </c>
      <c r="BC67" s="289">
        <f t="shared" si="50"/>
        <v>0</v>
      </c>
      <c r="BD67" s="289">
        <f t="shared" si="50"/>
        <v>0</v>
      </c>
      <c r="BE67" s="284">
        <f t="shared" si="51"/>
        <v>0</v>
      </c>
      <c r="BF67" s="284">
        <f t="shared" si="51"/>
        <v>0</v>
      </c>
      <c r="BG67" s="285">
        <f t="shared" si="51"/>
        <v>0</v>
      </c>
      <c r="BH67" s="286" t="e">
        <f>SUM(BB67:BG67)</f>
        <v>#NAME?</v>
      </c>
    </row>
    <row r="68" spans="1:60" s="377" customFormat="1" ht="35.25" customHeight="1">
      <c r="A68" s="165">
        <v>37</v>
      </c>
      <c r="B68" s="521"/>
      <c r="C68" s="512"/>
      <c r="D68" s="513" t="s">
        <v>549</v>
      </c>
      <c r="E68" s="512"/>
      <c r="F68" s="512"/>
      <c r="G68" s="512"/>
      <c r="H68" s="664"/>
      <c r="I68" s="512"/>
      <c r="J68" s="512"/>
      <c r="K68" s="512"/>
      <c r="L68" s="512"/>
      <c r="M68" s="512"/>
      <c r="N68" s="512"/>
      <c r="O68" s="512"/>
      <c r="P68" s="512"/>
      <c r="Q68" s="512"/>
      <c r="R68" s="512"/>
      <c r="S68" s="512"/>
      <c r="T68" s="512"/>
      <c r="U68" s="512"/>
      <c r="V68" s="512"/>
      <c r="W68" s="512"/>
      <c r="X68" s="512"/>
      <c r="Y68" s="512"/>
      <c r="Z68" s="512"/>
      <c r="AA68" s="664"/>
      <c r="AB68" s="512"/>
      <c r="AC68" s="664"/>
      <c r="AD68" s="664"/>
      <c r="AE68" s="664"/>
      <c r="AF68" s="664"/>
      <c r="AG68" s="664"/>
      <c r="AH68" s="753"/>
      <c r="AI68" s="492"/>
      <c r="AQ68" s="378"/>
      <c r="BA68" s="378"/>
      <c r="BH68" s="374"/>
    </row>
    <row r="69" spans="1:75" s="27" customFormat="1" ht="41.25" customHeight="1">
      <c r="A69" s="165">
        <v>38</v>
      </c>
      <c r="B69" s="521">
        <v>45</v>
      </c>
      <c r="C69" s="496"/>
      <c r="D69" s="497" t="s">
        <v>353</v>
      </c>
      <c r="E69" s="496" t="s">
        <v>429</v>
      </c>
      <c r="F69" s="498" t="s">
        <v>322</v>
      </c>
      <c r="G69" s="498"/>
      <c r="H69" s="498" t="s">
        <v>190</v>
      </c>
      <c r="I69" s="498"/>
      <c r="J69" s="499" t="s">
        <v>23</v>
      </c>
      <c r="K69" s="499" t="s">
        <v>23</v>
      </c>
      <c r="L69" s="499" t="s">
        <v>25</v>
      </c>
      <c r="M69" s="500" t="str">
        <f>IF(OR(K69="",L69="",J69=""),"Data missing",IF(OR(K69="VH",L69="VH"),"VH",IF(OR(K69="H",L69="H"),"H",IF(OR(K69="M",L69="M"),"M",IF(OR(K69="L",L69="L"),"L",IF(OR(K69="VL",L69="VL"),"VL"))))))</f>
        <v>H</v>
      </c>
      <c r="N69" s="501" t="str">
        <f>IF(M69="Data missing","Data missing",IF(M69="VH","H",(IF(M69="H",HLOOKUP(J69,'3 - Prioritisation'!$D$16:$H$21,3,FALSE),IF(M69="M",HLOOKUP(J69,'3 - Prioritisation'!$D$16:$H$21,4,FALSE),IF(M69="L",HLOOKUP(J69,'3 - Prioritisation'!$D$16:$H$21,5,FALSE),IF(M69="VL",HLOOKUP(J69,'3 - Prioritisation'!$D$16:$H$21,6,FALSE))))))))</f>
        <v>M</v>
      </c>
      <c r="O69" s="514"/>
      <c r="P69" s="503" t="s">
        <v>523</v>
      </c>
      <c r="Q69" s="503" t="s">
        <v>400</v>
      </c>
      <c r="R69" s="515"/>
      <c r="S69" s="516"/>
      <c r="T69" s="517"/>
      <c r="U69" s="506">
        <v>0.15</v>
      </c>
      <c r="V69" s="499" t="s">
        <v>23</v>
      </c>
      <c r="W69" s="499" t="s">
        <v>140</v>
      </c>
      <c r="X69" s="499" t="s">
        <v>24</v>
      </c>
      <c r="Y69" s="500" t="str">
        <f>IF(OR(W69="",X69="",V69=""),"Data missing",IF(OR(W69="VH",X69="VH"),"VH",IF(OR(W69="H",X69="H"),"H",IF(OR(W69="M",X69="M"),"M",IF(OR(W69="L",X69="L"),"L",IF(OR(W69="VL",X69="VL"),"VL"))))))</f>
        <v>M</v>
      </c>
      <c r="Z69" s="501" t="str">
        <f>IF(Y69="Data missing","Data missing",IF(Y69="VH","H",(IF(Y69="H",HLOOKUP(V69,'3 - Prioritisation'!$D$16:$H$21,3,FALSE),IF(Y69="M",HLOOKUP(V69,'3 - Prioritisation'!$D$16:$H$21,4,FALSE),IF(Y69="L",HLOOKUP(V69,'3 - Prioritisation'!$D$16:$H$21,5,FALSE),IF(Y69="VL",HLOOKUP(V69,'3 - Prioritisation'!$D$16:$H$21,6,FALSE))))))))</f>
        <v>M</v>
      </c>
      <c r="AA69" s="507">
        <v>25000</v>
      </c>
      <c r="AB69" s="507">
        <v>50000</v>
      </c>
      <c r="AC69" s="507">
        <v>75000</v>
      </c>
      <c r="AD69" s="508">
        <f>U69*AB69</f>
        <v>7500</v>
      </c>
      <c r="AE69" s="509" t="e">
        <f>IF(AF69="Data missing","Data missing",IF(OR(U69="",AA69="",AB69="",AC69=""),"",_XLL.RISKBINOMIAL(1,U69)))</f>
        <v>#NAME?</v>
      </c>
      <c r="AF69" s="510" t="e">
        <f>IF(OR(U69="",AA69="",AB69="",AC69=""),"Data missing",_XLL.RISKPERT(AA69,AB69,AC69,_XLL.RISKNAME("Risk ID"&amp;B69),_XLL.RISKCOLLECT()))</f>
        <v>#NAME?</v>
      </c>
      <c r="AG69" s="511" t="e">
        <f>IF(AF69="Data missing","Data missing",IF(OR(U69="",AA69="",AB69="",AC69=""),"",AE69*AF69))</f>
        <v>#NAME?</v>
      </c>
      <c r="AH69" s="522" t="s">
        <v>600</v>
      </c>
      <c r="AI69" s="435"/>
      <c r="AJ69" s="34" t="e">
        <f aca="true" t="shared" si="53" ref="AJ69:AO73">IF($H69="","Identify Risk Owner",IF($H69=AJ$16,$AG69,0))</f>
        <v>#NAME?</v>
      </c>
      <c r="AK69" s="35">
        <f t="shared" si="53"/>
        <v>0</v>
      </c>
      <c r="AL69" s="35">
        <f t="shared" si="53"/>
        <v>0</v>
      </c>
      <c r="AM69" s="35">
        <f t="shared" si="53"/>
        <v>0</v>
      </c>
      <c r="AN69" s="35">
        <f t="shared" si="53"/>
        <v>0</v>
      </c>
      <c r="AO69" s="36">
        <f t="shared" si="53"/>
        <v>0</v>
      </c>
      <c r="AP69" s="37" t="e">
        <f>SUM(AJ69:AO69)</f>
        <v>#NAME?</v>
      </c>
      <c r="AR69" s="229"/>
      <c r="AS69" s="88"/>
      <c r="AT69" s="288">
        <f>IF(AS69="Yes",U69,0)</f>
        <v>0</v>
      </c>
      <c r="AU69" s="191">
        <v>0</v>
      </c>
      <c r="AV69" s="192">
        <v>4</v>
      </c>
      <c r="AW69" s="193">
        <v>6</v>
      </c>
      <c r="AX69" s="71" t="e">
        <f>IF(AY69="Data missing","Data missing",IF(OR(AT69="",AU69="",AV69="",AW69=""),"",_XLL.RISKBINOMIAL(1,AT69)))</f>
        <v>#NAME?</v>
      </c>
      <c r="AY69" s="95" t="e">
        <f>IF(OR(AT69="",AU69="",AV69="",AW69=""),"Data missing",_XLL.RISKPERT(AU69,AV69,AW69))</f>
        <v>#NAME?</v>
      </c>
      <c r="AZ69" s="96" t="e">
        <f>IF(AY69="Data missing","Data missing",IF(OR(AT69="",AU69="",AV69="",AW69=""),"",AX69*AY69))</f>
        <v>#NAME?</v>
      </c>
      <c r="BB69" s="283" t="e">
        <f aca="true" t="shared" si="54" ref="BB69:BD73">IF($H69="","Identify Risk Owner",IF($H69=BB$16,$AZ69,0))</f>
        <v>#NAME?</v>
      </c>
      <c r="BC69" s="289">
        <f t="shared" si="54"/>
        <v>0</v>
      </c>
      <c r="BD69" s="289">
        <f t="shared" si="54"/>
        <v>0</v>
      </c>
      <c r="BE69" s="284">
        <f aca="true" t="shared" si="55" ref="BE69:BG73">IF($H69="","Identify risk owner",IF($H69=BE$16,$AZ69,0))</f>
        <v>0</v>
      </c>
      <c r="BF69" s="284">
        <f t="shared" si="55"/>
        <v>0</v>
      </c>
      <c r="BG69" s="285">
        <f t="shared" si="55"/>
        <v>0</v>
      </c>
      <c r="BH69" s="286" t="e">
        <f>SUM(BB69:BG69)</f>
        <v>#NAME?</v>
      </c>
      <c r="BI69" s="390"/>
      <c r="BJ69" s="390"/>
      <c r="BK69" s="390"/>
      <c r="BL69" s="390"/>
      <c r="BM69" s="390"/>
      <c r="BN69" s="390"/>
      <c r="BO69" s="390"/>
      <c r="BP69" s="390"/>
      <c r="BQ69" s="390"/>
      <c r="BR69" s="390"/>
      <c r="BS69" s="390"/>
      <c r="BT69" s="390"/>
      <c r="BU69" s="390"/>
      <c r="BV69" s="390"/>
      <c r="BW69" s="390"/>
    </row>
    <row r="70" spans="1:60" s="27" customFormat="1" ht="36" customHeight="1">
      <c r="A70" s="165">
        <v>39</v>
      </c>
      <c r="B70" s="521">
        <v>46</v>
      </c>
      <c r="C70" s="496"/>
      <c r="D70" s="681" t="s">
        <v>470</v>
      </c>
      <c r="E70" s="682" t="s">
        <v>128</v>
      </c>
      <c r="F70" s="498" t="s">
        <v>322</v>
      </c>
      <c r="G70" s="498"/>
      <c r="H70" s="498" t="s">
        <v>190</v>
      </c>
      <c r="I70" s="716"/>
      <c r="J70" s="669" t="s">
        <v>24</v>
      </c>
      <c r="K70" s="669" t="s">
        <v>23</v>
      </c>
      <c r="L70" s="669" t="s">
        <v>26</v>
      </c>
      <c r="M70" s="500" t="str">
        <f>IF(OR(K70="",L70="",J70=""),"Data missing",IF(OR(K70="VH",L70="VH"),"VH",IF(OR(K70="H",L70="H"),"H",IF(OR(K70="M",L70="M"),"M",IF(OR(K70="L",L70="L"),"L",IF(OR(K70="VL",L70="VL"),"VL"))))))</f>
        <v>VH</v>
      </c>
      <c r="N70" s="718" t="str">
        <f>IF(M70="Data missing","Data missing",IF(M70="VH","H",(IF(M70="H",HLOOKUP(J70,'3 - Prioritisation'!$D$16:$H$21,3,FALSE),IF(M70="M",HLOOKUP(J70,'3 - Prioritisation'!$D$16:$H$21,4,FALSE),IF(M70="L",HLOOKUP(J70,'3 - Prioritisation'!$D$16:$H$21,5,FALSE),IF(M70="VL",HLOOKUP(J70,'3 - Prioritisation'!$D$16:$H$21,6,FALSE))))))))</f>
        <v>H</v>
      </c>
      <c r="O70" s="719"/>
      <c r="P70" s="720" t="s">
        <v>409</v>
      </c>
      <c r="Q70" s="720" t="s">
        <v>532</v>
      </c>
      <c r="R70" s="721"/>
      <c r="S70" s="669"/>
      <c r="T70" s="722"/>
      <c r="U70" s="723">
        <v>0.3</v>
      </c>
      <c r="V70" s="669" t="s">
        <v>23</v>
      </c>
      <c r="W70" s="669" t="s">
        <v>140</v>
      </c>
      <c r="X70" s="669" t="s">
        <v>26</v>
      </c>
      <c r="Y70" s="717" t="str">
        <f>IF(OR(W70="",X70="",V70=""),"Data missing",IF(OR(W70="VH",X70="VH"),"VH",IF(OR(W70="H",X70="H"),"H",IF(OR(W70="M",X70="M"),"M",IF(OR(W70="L",X70="L"),"L",IF(OR(W70="VL",X70="VL"),"VL"))))))</f>
        <v>VH</v>
      </c>
      <c r="Z70" s="718" t="str">
        <f>IF(Y70="Data missing","Data missing",IF(Y70="VH","H",(IF(Y70="H",HLOOKUP(V70,'3 - Prioritisation'!$D$16:$H$21,3,FALSE),IF(Y70="M",HLOOKUP(V70,'3 - Prioritisation'!$D$16:$H$21,4,FALSE),IF(Y70="L",HLOOKUP(V70,'3 - Prioritisation'!$D$16:$H$21,5,FALSE),IF(Y70="VL",HLOOKUP(V70,'3 - Prioritisation'!$D$16:$H$21,6,FALSE))))))))</f>
        <v>H</v>
      </c>
      <c r="AA70" s="743">
        <v>25000</v>
      </c>
      <c r="AB70" s="743">
        <v>50000</v>
      </c>
      <c r="AC70" s="743">
        <v>75000</v>
      </c>
      <c r="AD70" s="508">
        <f>U70*AB70</f>
        <v>15000</v>
      </c>
      <c r="AE70" s="509" t="e">
        <f>IF(AF70="Data missing","Data missing",IF(OR(U70="",AA70="",AB70="",AC70=""),"",_XLL.RISKBINOMIAL(1,U70)))</f>
        <v>#NAME?</v>
      </c>
      <c r="AF70" s="510" t="e">
        <f>IF(OR(U70="",AA70="",AB70="",AC70=""),"Data missing",_XLL.RISKPERT(AA70,AB70,AC70,_XLL.RISKNAME("Risk ID"&amp;B70),_XLL.RISKCOLLECT()))</f>
        <v>#NAME?</v>
      </c>
      <c r="AG70" s="511" t="e">
        <f>IF(AF70="Data missing","Data missing",IF(OR(U70="",AA70="",AB70="",AC70=""),"",AE70*AF70))</f>
        <v>#NAME?</v>
      </c>
      <c r="AH70" s="522" t="s">
        <v>683</v>
      </c>
      <c r="AI70" s="26"/>
      <c r="AJ70" s="34" t="e">
        <f t="shared" si="53"/>
        <v>#NAME?</v>
      </c>
      <c r="AK70" s="35">
        <f t="shared" si="53"/>
        <v>0</v>
      </c>
      <c r="AL70" s="35">
        <f t="shared" si="53"/>
        <v>0</v>
      </c>
      <c r="AM70" s="35">
        <f t="shared" si="53"/>
        <v>0</v>
      </c>
      <c r="AN70" s="35">
        <f t="shared" si="53"/>
        <v>0</v>
      </c>
      <c r="AO70" s="36">
        <f t="shared" si="53"/>
        <v>0</v>
      </c>
      <c r="AP70" s="37" t="e">
        <f>SUM(AJ70:AO70)</f>
        <v>#NAME?</v>
      </c>
      <c r="AR70" s="229"/>
      <c r="AS70" s="88"/>
      <c r="AT70" s="288">
        <f>IF(AS70="Yes",U70,0)</f>
        <v>0</v>
      </c>
      <c r="AU70" s="191">
        <v>0</v>
      </c>
      <c r="AV70" s="192">
        <v>10</v>
      </c>
      <c r="AW70" s="193">
        <v>26</v>
      </c>
      <c r="AX70" s="71" t="e">
        <f>IF(AY70="Data missing","Data missing",IF(OR(AT70="",AU70="",AV70="",AW70=""),"",_XLL.RISKBINOMIAL(1,AT70)))</f>
        <v>#NAME?</v>
      </c>
      <c r="AY70" s="95" t="e">
        <f>IF(OR(AT70="",AU70="",AV70="",AW70=""),"Data missing",_XLL.RISKPERT(AU70,AV70,AW70))</f>
        <v>#NAME?</v>
      </c>
      <c r="AZ70" s="96" t="e">
        <f>IF(AY70="Data missing","Data missing",IF(OR(AT70="",AU70="",AV70="",AW70=""),"",AX70*AY70))</f>
        <v>#NAME?</v>
      </c>
      <c r="BB70" s="283" t="e">
        <f t="shared" si="54"/>
        <v>#NAME?</v>
      </c>
      <c r="BC70" s="289">
        <f t="shared" si="54"/>
        <v>0</v>
      </c>
      <c r="BD70" s="289">
        <f t="shared" si="54"/>
        <v>0</v>
      </c>
      <c r="BE70" s="284">
        <f t="shared" si="55"/>
        <v>0</v>
      </c>
      <c r="BF70" s="284">
        <f t="shared" si="55"/>
        <v>0</v>
      </c>
      <c r="BG70" s="285">
        <f t="shared" si="55"/>
        <v>0</v>
      </c>
      <c r="BH70" s="286" t="e">
        <f>SUM(BB70:BG70)</f>
        <v>#NAME?</v>
      </c>
    </row>
    <row r="71" spans="1:60" s="27" customFormat="1" ht="45">
      <c r="A71" s="755">
        <v>40</v>
      </c>
      <c r="B71" s="521">
        <v>47</v>
      </c>
      <c r="C71" s="496"/>
      <c r="D71" s="497" t="s">
        <v>355</v>
      </c>
      <c r="E71" s="496" t="s">
        <v>535</v>
      </c>
      <c r="F71" s="498" t="s">
        <v>322</v>
      </c>
      <c r="G71" s="498"/>
      <c r="H71" s="498" t="s">
        <v>190</v>
      </c>
      <c r="I71" s="498"/>
      <c r="J71" s="499" t="s">
        <v>24</v>
      </c>
      <c r="K71" s="499" t="s">
        <v>23</v>
      </c>
      <c r="L71" s="499" t="s">
        <v>24</v>
      </c>
      <c r="M71" s="500" t="str">
        <f>IF(OR(K71="",L71="",J71=""),"Data missing",IF(OR(K71="VH",L71="VH"),"VH",IF(OR(K71="H",L71="H"),"H",IF(OR(K71="M",L71="M"),"M",IF(OR(K71="L",L71="L"),"L",IF(OR(K71="VL",L71="VL"),"VL"))))))</f>
        <v>M</v>
      </c>
      <c r="N71" s="501" t="str">
        <f>IF(M71="Data missing","Data missing",IF(M71="VH","H",(IF(M71="H",HLOOKUP(J71,'3 - Prioritisation'!$D$16:$H$21,3,FALSE),IF(M71="M",HLOOKUP(J71,'3 - Prioritisation'!$D$16:$H$21,4,FALSE),IF(M71="L",HLOOKUP(J71,'3 - Prioritisation'!$D$16:$H$21,5,FALSE),IF(M71="VL",HLOOKUP(J71,'3 - Prioritisation'!$D$16:$H$21,6,FALSE))))))))</f>
        <v>M</v>
      </c>
      <c r="O71" s="502"/>
      <c r="P71" s="503" t="s">
        <v>478</v>
      </c>
      <c r="Q71" s="503" t="s">
        <v>477</v>
      </c>
      <c r="R71" s="504"/>
      <c r="S71" s="499"/>
      <c r="T71" s="505"/>
      <c r="U71" s="506">
        <v>0.3</v>
      </c>
      <c r="V71" s="669" t="s">
        <v>23</v>
      </c>
      <c r="W71" s="499" t="s">
        <v>24</v>
      </c>
      <c r="X71" s="669" t="s">
        <v>24</v>
      </c>
      <c r="Y71" s="500" t="str">
        <f>IF(OR(W71="",X71="",V71=""),"Data missing",IF(OR(W71="VH",X71="VH"),"VH",IF(OR(W71="H",X71="H"),"H",IF(OR(W71="M",X71="M"),"M",IF(OR(W71="L",X71="L"),"L",IF(OR(W71="VL",X71="VL"),"VL"))))))</f>
        <v>M</v>
      </c>
      <c r="Z71" s="501" t="str">
        <f>IF(Y71="Data missing","Data missing",IF(Y71="VH","H",(IF(Y71="H",HLOOKUP(V71,'3 - Prioritisation'!$D$16:$H$21,3,FALSE),IF(Y71="M",HLOOKUP(V71,'3 - Prioritisation'!$D$16:$H$21,4,FALSE),IF(Y71="L",HLOOKUP(V71,'3 - Prioritisation'!$D$16:$H$21,5,FALSE),IF(Y71="VL",HLOOKUP(V71,'3 - Prioritisation'!$D$16:$H$21,6,FALSE))))))))</f>
        <v>M</v>
      </c>
      <c r="AA71" s="507">
        <f>6*50000</f>
        <v>300000</v>
      </c>
      <c r="AB71" s="507">
        <f>12*50000</f>
        <v>600000</v>
      </c>
      <c r="AC71" s="507">
        <f>16*50000</f>
        <v>800000</v>
      </c>
      <c r="AD71" s="508">
        <f>U71*AB71</f>
        <v>180000</v>
      </c>
      <c r="AE71" s="509" t="e">
        <f>IF(AF71="Data missing","Data missing",IF(OR(U71="",AA71="",AB71="",AC71=""),"",_XLL.RISKBINOMIAL(1,U71)))</f>
        <v>#NAME?</v>
      </c>
      <c r="AF71" s="510" t="e">
        <f>IF(OR(U71="",AA71="",AB71="",AC71=""),"Data missing",_XLL.RISKPERT(AA71,AB71,AC71,_XLL.RISKNAME("Risk ID"&amp;B71),_XLL.RISKCOLLECT()))</f>
        <v>#NAME?</v>
      </c>
      <c r="AG71" s="511" t="e">
        <f>IF(AF71="Data missing","Data missing",IF(OR(U71="",AA71="",AB71="",AC71=""),"",AE71*AF71))</f>
        <v>#NAME?</v>
      </c>
      <c r="AH71" s="522" t="s">
        <v>587</v>
      </c>
      <c r="AI71" s="26"/>
      <c r="AJ71" s="34" t="e">
        <f t="shared" si="53"/>
        <v>#NAME?</v>
      </c>
      <c r="AK71" s="35">
        <f t="shared" si="53"/>
        <v>0</v>
      </c>
      <c r="AL71" s="35">
        <f t="shared" si="53"/>
        <v>0</v>
      </c>
      <c r="AM71" s="35">
        <f t="shared" si="53"/>
        <v>0</v>
      </c>
      <c r="AN71" s="35">
        <f t="shared" si="53"/>
        <v>0</v>
      </c>
      <c r="AO71" s="36">
        <f t="shared" si="53"/>
        <v>0</v>
      </c>
      <c r="AP71" s="37" t="e">
        <f>SUM(AJ71:AO71)</f>
        <v>#NAME?</v>
      </c>
      <c r="AR71" s="229"/>
      <c r="AS71" s="88"/>
      <c r="AT71" s="288">
        <f>IF(AS71="Yes",U71,0)</f>
        <v>0</v>
      </c>
      <c r="AU71" s="191">
        <v>2</v>
      </c>
      <c r="AV71" s="192">
        <v>5</v>
      </c>
      <c r="AW71" s="193">
        <v>10</v>
      </c>
      <c r="AX71" s="71" t="e">
        <f>IF(AY71="Data missing","Data missing",IF(OR(AT71="",AU71="",AV71="",AW71=""),"",_XLL.RISKBINOMIAL(1,AT71)))</f>
        <v>#NAME?</v>
      </c>
      <c r="AY71" s="95" t="e">
        <f>IF(OR(AT71="",AU71="",AV71="",AW71=""),"Data missing",_XLL.RISKPERT(AU71,AV71,AW71))</f>
        <v>#NAME?</v>
      </c>
      <c r="AZ71" s="96" t="e">
        <f>IF(AY71="Data missing","Data missing",IF(OR(AT71="",AU71="",AV71="",AW71=""),"",AX71*AY71))</f>
        <v>#NAME?</v>
      </c>
      <c r="BB71" s="283" t="e">
        <f t="shared" si="54"/>
        <v>#NAME?</v>
      </c>
      <c r="BC71" s="289">
        <f t="shared" si="54"/>
        <v>0</v>
      </c>
      <c r="BD71" s="289">
        <f t="shared" si="54"/>
        <v>0</v>
      </c>
      <c r="BE71" s="284">
        <f t="shared" si="55"/>
        <v>0</v>
      </c>
      <c r="BF71" s="284">
        <f t="shared" si="55"/>
        <v>0</v>
      </c>
      <c r="BG71" s="285">
        <f t="shared" si="55"/>
        <v>0</v>
      </c>
      <c r="BH71" s="286" t="e">
        <f>SUM(BB71:BG71)</f>
        <v>#NAME?</v>
      </c>
    </row>
    <row r="72" spans="1:60" s="390" customFormat="1" ht="64.5" customHeight="1">
      <c r="A72" s="165">
        <v>41</v>
      </c>
      <c r="B72" s="521">
        <v>48</v>
      </c>
      <c r="C72" s="496"/>
      <c r="D72" s="497" t="s">
        <v>495</v>
      </c>
      <c r="E72" s="496" t="s">
        <v>536</v>
      </c>
      <c r="F72" s="498" t="s">
        <v>322</v>
      </c>
      <c r="G72" s="498"/>
      <c r="H72" s="498" t="s">
        <v>190</v>
      </c>
      <c r="I72" s="498"/>
      <c r="J72" s="499" t="s">
        <v>26</v>
      </c>
      <c r="K72" s="499" t="s">
        <v>140</v>
      </c>
      <c r="L72" s="499" t="s">
        <v>23</v>
      </c>
      <c r="M72" s="500" t="str">
        <f>IF(OR(K72="",L72="",J72=""),"Data missing",IF(OR(K72="VH",L72="VH"),"VH",IF(OR(K72="H",L72="H"),"H",IF(OR(K72="M",L72="M"),"M",IF(OR(K72="L",L72="L"),"L",IF(OR(K72="VL",L72="VL"),"VL"))))))</f>
        <v>L</v>
      </c>
      <c r="N72" s="501" t="str">
        <f>IF(M72="Data missing","Data missing",IF(M72="VH","H",(IF(M72="H",HLOOKUP(J72,'3 - Prioritisation'!$D$16:$H$21,3,FALSE),IF(M72="M",HLOOKUP(J72,'3 - Prioritisation'!$D$16:$H$21,4,FALSE),IF(M72="L",HLOOKUP(J72,'3 - Prioritisation'!$D$16:$H$21,5,FALSE),IF(M72="VL",HLOOKUP(J72,'3 - Prioritisation'!$D$16:$H$21,6,FALSE))))))))</f>
        <v>M</v>
      </c>
      <c r="O72" s="514"/>
      <c r="P72" s="503" t="s">
        <v>496</v>
      </c>
      <c r="Q72" s="503" t="s">
        <v>496</v>
      </c>
      <c r="R72" s="515"/>
      <c r="S72" s="516"/>
      <c r="T72" s="517"/>
      <c r="U72" s="506"/>
      <c r="V72" s="499"/>
      <c r="W72" s="499"/>
      <c r="X72" s="499"/>
      <c r="Y72" s="500" t="str">
        <f>IF(OR(W72="",X72="",V72=""),"Data missing",IF(OR(W72="VH",X72="VH"),"VH",IF(OR(W72="H",X72="H"),"H",IF(OR(W72="M",X72="M"),"M",IF(OR(W72="L",X72="L"),"L",IF(OR(W72="VL",X72="VL"),"VL"))))))</f>
        <v>Data missing</v>
      </c>
      <c r="Z72" s="501" t="str">
        <f>IF(Y72="Data missing","Data missing",IF(Y72="VH","H",(IF(Y72="H",HLOOKUP(V72,'3 - Prioritisation'!$D$16:$H$21,3,FALSE),IF(Y72="M",HLOOKUP(V72,'3 - Prioritisation'!$D$16:$H$21,4,FALSE),IF(Y72="L",HLOOKUP(V72,'3 - Prioritisation'!$D$16:$H$21,5,FALSE),IF(Y72="VL",HLOOKUP(V72,'3 - Prioritisation'!$D$16:$H$21,6,FALSE))))))))</f>
        <v>Data missing</v>
      </c>
      <c r="AA72" s="507"/>
      <c r="AB72" s="507"/>
      <c r="AC72" s="507"/>
      <c r="AD72" s="508">
        <f>U72*AB72</f>
        <v>0</v>
      </c>
      <c r="AE72" s="509" t="str">
        <f>IF(AF72="Data missing","Data missing",IF(OR(U72="",AA72="",AB72="",AC72=""),"",_XLL.RISKBINOMIAL(1,U72)))</f>
        <v>Data missing</v>
      </c>
      <c r="AF72" s="510" t="str">
        <f>IF(OR(U72="",AA72="",AB72="",AC72=""),"Data missing",_XLL.RISKPERT(AA72,AB72,AC72,_XLL.RISKNAME("Risk ID"&amp;B72),_XLL.RISKCOLLECT()))</f>
        <v>Data missing</v>
      </c>
      <c r="AG72" s="511" t="str">
        <f>IF(AF72="Data missing","Data missing",IF(OR(U72="",AA72="",AB72="",AC72=""),"",AE72*AF72))</f>
        <v>Data missing</v>
      </c>
      <c r="AH72" s="522" t="s">
        <v>684</v>
      </c>
      <c r="AI72" s="26"/>
      <c r="AJ72" s="386" t="str">
        <f t="shared" si="53"/>
        <v>Data missing</v>
      </c>
      <c r="AK72" s="387">
        <f t="shared" si="53"/>
        <v>0</v>
      </c>
      <c r="AL72" s="387">
        <f t="shared" si="53"/>
        <v>0</v>
      </c>
      <c r="AM72" s="387">
        <f t="shared" si="53"/>
        <v>0</v>
      </c>
      <c r="AN72" s="387">
        <f t="shared" si="53"/>
        <v>0</v>
      </c>
      <c r="AO72" s="388">
        <f t="shared" si="53"/>
        <v>0</v>
      </c>
      <c r="AP72" s="389">
        <f>SUM(AJ72:AO72)</f>
        <v>0</v>
      </c>
      <c r="AQ72" s="27"/>
      <c r="AR72" s="385"/>
      <c r="AS72" s="363"/>
      <c r="AT72" s="288">
        <f>IF(AS72="Yes",U72,0)</f>
        <v>0</v>
      </c>
      <c r="AU72" s="382">
        <v>2</v>
      </c>
      <c r="AV72" s="383">
        <v>4</v>
      </c>
      <c r="AW72" s="384">
        <v>8</v>
      </c>
      <c r="AX72" s="364" t="e">
        <f>IF(AY72="Data missing","Data missing",IF(OR(AT72="",AU72="",AV72="",AW72=""),"",_XLL.RISKBINOMIAL(1,AT72)))</f>
        <v>#NAME?</v>
      </c>
      <c r="AY72" s="396" t="e">
        <f>IF(OR(AT72="",AU72="",AV72="",AW72=""),"Data missing",_XLL.RISKPERT(AU72,AV72,AW72))</f>
        <v>#NAME?</v>
      </c>
      <c r="AZ72" s="397" t="e">
        <f>IF(AY72="Data missing","Data missing",IF(OR(AT72="",AU72="",AV72="",AW72=""),"",AX72*AY72))</f>
        <v>#NAME?</v>
      </c>
      <c r="BA72" s="27"/>
      <c r="BB72" s="407" t="e">
        <f t="shared" si="54"/>
        <v>#NAME?</v>
      </c>
      <c r="BC72" s="338">
        <f t="shared" si="54"/>
        <v>0</v>
      </c>
      <c r="BD72" s="338">
        <f t="shared" si="54"/>
        <v>0</v>
      </c>
      <c r="BE72" s="408">
        <f t="shared" si="55"/>
        <v>0</v>
      </c>
      <c r="BF72" s="408">
        <f t="shared" si="55"/>
        <v>0</v>
      </c>
      <c r="BG72" s="409">
        <f t="shared" si="55"/>
        <v>0</v>
      </c>
      <c r="BH72" s="410" t="e">
        <f>SUM(BB72:BG72)</f>
        <v>#NAME?</v>
      </c>
    </row>
    <row r="73" spans="1:60" s="27" customFormat="1" ht="36" customHeight="1">
      <c r="A73" s="165" t="s">
        <v>642</v>
      </c>
      <c r="B73" s="521">
        <v>49</v>
      </c>
      <c r="C73" s="496"/>
      <c r="D73" s="496" t="s">
        <v>497</v>
      </c>
      <c r="E73" s="497" t="s">
        <v>498</v>
      </c>
      <c r="F73" s="498" t="s">
        <v>322</v>
      </c>
      <c r="G73" s="498"/>
      <c r="H73" s="498" t="s">
        <v>190</v>
      </c>
      <c r="I73" s="498"/>
      <c r="J73" s="499" t="s">
        <v>25</v>
      </c>
      <c r="K73" s="499" t="s">
        <v>23</v>
      </c>
      <c r="L73" s="499" t="s">
        <v>25</v>
      </c>
      <c r="M73" s="500" t="str">
        <f>IF(OR(K73="",L73="",J73=""),"Data missing",IF(OR(K73="VH",L73="VH"),"VH",IF(OR(K73="H",L73="H"),"H",IF(OR(K73="M",L73="M"),"M",IF(OR(K73="L",L73="L"),"L",IF(OR(K73="VL",L73="VL"),"VL"))))))</f>
        <v>H</v>
      </c>
      <c r="N73" s="501" t="str">
        <f>IF(M73="Data missing","Data missing",IF(M73="VH","H",(IF(M73="H",HLOOKUP(J73,'3 - Prioritisation'!$D$16:$H$21,3,FALSE),IF(M73="M",HLOOKUP(J73,'3 - Prioritisation'!$D$16:$H$21,4,FALSE),IF(M73="L",HLOOKUP(J73,'3 - Prioritisation'!$D$16:$H$21,5,FALSE),IF(M73="VL",HLOOKUP(J73,'3 - Prioritisation'!$D$16:$H$21,6,FALSE))))))))</f>
        <v>H</v>
      </c>
      <c r="O73" s="502"/>
      <c r="P73" s="503" t="s">
        <v>537</v>
      </c>
      <c r="Q73" s="503" t="s">
        <v>538</v>
      </c>
      <c r="R73" s="504"/>
      <c r="S73" s="499"/>
      <c r="T73" s="505"/>
      <c r="U73" s="506"/>
      <c r="V73" s="499"/>
      <c r="W73" s="499"/>
      <c r="X73" s="499"/>
      <c r="Y73" s="500" t="str">
        <f>IF(OR(W73="",X73="",V73=""),"Data missing",IF(OR(W73="VH",X73="VH"),"VH",IF(OR(W73="H",X73="H"),"H",IF(OR(W73="M",X73="M"),"M",IF(OR(W73="L",X73="L"),"L",IF(OR(W73="VL",X73="VL"),"VL"))))))</f>
        <v>Data missing</v>
      </c>
      <c r="Z73" s="501" t="str">
        <f>IF(Y73="Data missing","Data missing",IF(Y73="VH","H",(IF(Y73="H",HLOOKUP(V73,'3 - Prioritisation'!$D$16:$H$21,3,FALSE),IF(Y73="M",HLOOKUP(V73,'3 - Prioritisation'!$D$16:$H$21,4,FALSE),IF(Y73="L",HLOOKUP(V73,'3 - Prioritisation'!$D$16:$H$21,5,FALSE),IF(Y73="VL",HLOOKUP(V73,'3 - Prioritisation'!$D$16:$H$21,6,FALSE))))))))</f>
        <v>Data missing</v>
      </c>
      <c r="AA73" s="507"/>
      <c r="AB73" s="507"/>
      <c r="AC73" s="507"/>
      <c r="AD73" s="508">
        <f>U73*AB73</f>
        <v>0</v>
      </c>
      <c r="AE73" s="509" t="str">
        <f>IF(AF73="Data missing","Data missing",IF(OR(U73="",AA73="",AB73="",AC73=""),"",_XLL.RISKBINOMIAL(1,U73)))</f>
        <v>Data missing</v>
      </c>
      <c r="AF73" s="510" t="str">
        <f>IF(OR(U73="",AA73="",AB73="",AC73=""),"Data missing",_XLL.RISKPERT(AA73,AB73,AC73,_XLL.RISKNAME("Risk ID"&amp;B73),_XLL.RISKCOLLECT()))</f>
        <v>Data missing</v>
      </c>
      <c r="AG73" s="511" t="str">
        <f>IF(AF73="Data missing","Data missing",IF(OR(U73="",AA73="",AB73="",AC73=""),"",AE73*AF73))</f>
        <v>Data missing</v>
      </c>
      <c r="AH73" s="522" t="s">
        <v>684</v>
      </c>
      <c r="AI73" s="26"/>
      <c r="AJ73" s="386" t="str">
        <f t="shared" si="53"/>
        <v>Data missing</v>
      </c>
      <c r="AK73" s="387">
        <f t="shared" si="53"/>
        <v>0</v>
      </c>
      <c r="AL73" s="387">
        <f t="shared" si="53"/>
        <v>0</v>
      </c>
      <c r="AM73" s="387">
        <f t="shared" si="53"/>
        <v>0</v>
      </c>
      <c r="AN73" s="387">
        <f t="shared" si="53"/>
        <v>0</v>
      </c>
      <c r="AO73" s="388">
        <f t="shared" si="53"/>
        <v>0</v>
      </c>
      <c r="AP73" s="389">
        <f>SUM(AJ73:AO73)</f>
        <v>0</v>
      </c>
      <c r="AR73" s="385"/>
      <c r="AS73" s="363"/>
      <c r="AT73" s="288">
        <f>IF(AS73="Yes",U73,0)</f>
        <v>0</v>
      </c>
      <c r="AU73" s="382">
        <v>2</v>
      </c>
      <c r="AV73" s="383">
        <v>4</v>
      </c>
      <c r="AW73" s="384">
        <v>8</v>
      </c>
      <c r="AX73" s="364" t="e">
        <f>IF(AY73="Data missing","Data missing",IF(OR(AT73="",AU73="",AV73="",AW73=""),"",_XLL.RISKBINOMIAL(1,AT73)))</f>
        <v>#NAME?</v>
      </c>
      <c r="AY73" s="396" t="e">
        <f>IF(OR(AT73="",AU73="",AV73="",AW73=""),"Data missing",_XLL.RISKPERT(AU73,AV73,AW73))</f>
        <v>#NAME?</v>
      </c>
      <c r="AZ73" s="397" t="e">
        <f>IF(AY73="Data missing","Data missing",IF(OR(AT73="",AU73="",AV73="",AW73=""),"",AX73*AY73))</f>
        <v>#NAME?</v>
      </c>
      <c r="BB73" s="407" t="e">
        <f t="shared" si="54"/>
        <v>#NAME?</v>
      </c>
      <c r="BC73" s="338">
        <f t="shared" si="54"/>
        <v>0</v>
      </c>
      <c r="BD73" s="338">
        <f t="shared" si="54"/>
        <v>0</v>
      </c>
      <c r="BE73" s="408">
        <f t="shared" si="55"/>
        <v>0</v>
      </c>
      <c r="BF73" s="408">
        <f t="shared" si="55"/>
        <v>0</v>
      </c>
      <c r="BG73" s="409">
        <f t="shared" si="55"/>
        <v>0</v>
      </c>
      <c r="BH73" s="410" t="e">
        <f>SUM(BB73:BG73)</f>
        <v>#NAME?</v>
      </c>
    </row>
    <row r="74" spans="1:60" s="377" customFormat="1" ht="35.25" customHeight="1">
      <c r="A74" s="165">
        <v>42</v>
      </c>
      <c r="B74" s="521"/>
      <c r="C74" s="512"/>
      <c r="D74" s="513" t="s">
        <v>342</v>
      </c>
      <c r="E74" s="512"/>
      <c r="F74" s="512"/>
      <c r="G74" s="512"/>
      <c r="H74" s="664"/>
      <c r="I74" s="512"/>
      <c r="J74" s="512"/>
      <c r="K74" s="512"/>
      <c r="L74" s="512"/>
      <c r="M74" s="512"/>
      <c r="N74" s="512"/>
      <c r="O74" s="512"/>
      <c r="P74" s="512"/>
      <c r="Q74" s="512"/>
      <c r="R74" s="512"/>
      <c r="S74" s="512"/>
      <c r="T74" s="512"/>
      <c r="U74" s="512"/>
      <c r="V74" s="512"/>
      <c r="W74" s="512"/>
      <c r="X74" s="512"/>
      <c r="Y74" s="512"/>
      <c r="Z74" s="512"/>
      <c r="AA74" s="664"/>
      <c r="AB74" s="512"/>
      <c r="AC74" s="664"/>
      <c r="AD74" s="664"/>
      <c r="AE74" s="664"/>
      <c r="AF74" s="664"/>
      <c r="AG74" s="664"/>
      <c r="AH74" s="753"/>
      <c r="AI74" s="492"/>
      <c r="AQ74" s="378"/>
      <c r="BA74" s="378"/>
      <c r="BH74" s="374"/>
    </row>
    <row r="75" spans="1:60" s="27" customFormat="1" ht="57.75" customHeight="1">
      <c r="A75" s="165">
        <v>43</v>
      </c>
      <c r="B75" s="521">
        <v>50</v>
      </c>
      <c r="C75" s="496"/>
      <c r="D75" s="497" t="s">
        <v>465</v>
      </c>
      <c r="E75" s="496" t="s">
        <v>529</v>
      </c>
      <c r="F75" s="498" t="s">
        <v>322</v>
      </c>
      <c r="G75" s="498"/>
      <c r="H75" s="498" t="s">
        <v>190</v>
      </c>
      <c r="I75" s="498"/>
      <c r="J75" s="499" t="s">
        <v>24</v>
      </c>
      <c r="K75" s="499" t="s">
        <v>23</v>
      </c>
      <c r="L75" s="499" t="s">
        <v>26</v>
      </c>
      <c r="M75" s="500" t="str">
        <f>IF(OR(K75="",L75="",J75=""),"Data missing",IF(OR(K75="VH",L75="VH"),"VH",IF(OR(K75="H",L75="H"),"H",IF(OR(K75="M",L75="M"),"M",IF(OR(K75="L",L75="L"),"L",IF(OR(K75="VL",L75="VL"),"VL"))))))</f>
        <v>VH</v>
      </c>
      <c r="N75" s="501" t="str">
        <f>IF(M75="Data missing","Data missing",IF(M75="VH","H",(IF(M75="H",HLOOKUP(J75,'3 - Prioritisation'!$D$16:$H$21,3,FALSE),IF(M75="M",HLOOKUP(J75,'3 - Prioritisation'!$D$16:$H$21,4,FALSE),IF(M75="L",HLOOKUP(J75,'3 - Prioritisation'!$D$16:$H$21,5,FALSE),IF(M75="VL",HLOOKUP(J75,'3 - Prioritisation'!$D$16:$H$21,6,FALSE))))))))</f>
        <v>H</v>
      </c>
      <c r="O75" s="502"/>
      <c r="P75" s="503" t="s">
        <v>601</v>
      </c>
      <c r="Q75" s="503" t="s">
        <v>613</v>
      </c>
      <c r="R75" s="504"/>
      <c r="S75" s="499"/>
      <c r="T75" s="505"/>
      <c r="U75" s="506">
        <v>0.25</v>
      </c>
      <c r="V75" s="669" t="s">
        <v>23</v>
      </c>
      <c r="W75" s="669" t="s">
        <v>24</v>
      </c>
      <c r="X75" s="669" t="s">
        <v>25</v>
      </c>
      <c r="Y75" s="500" t="str">
        <f>IF(OR(W75="",X75="",V75=""),"Data missing",IF(OR(W75="VH",X75="VH"),"VH",IF(OR(W75="H",X75="H"),"H",IF(OR(W75="M",X75="M"),"M",IF(OR(W75="L",X75="L"),"L",IF(OR(W75="VL",X75="VL"),"VL"))))))</f>
        <v>H</v>
      </c>
      <c r="Z75" s="501" t="str">
        <f>IF(Y75="Data missing","Data missing",IF(Y75="VH","H",(IF(Y75="H",HLOOKUP(V75,'3 - Prioritisation'!$D$16:$H$21,3,FALSE),IF(Y75="M",HLOOKUP(V75,'3 - Prioritisation'!$D$16:$H$21,4,FALSE),IF(Y75="L",HLOOKUP(V75,'3 - Prioritisation'!$D$16:$H$21,5,FALSE),IF(Y75="VL",HLOOKUP(V75,'3 - Prioritisation'!$D$16:$H$21,6,FALSE))))))))</f>
        <v>M</v>
      </c>
      <c r="AA75" s="507">
        <v>300000</v>
      </c>
      <c r="AB75" s="507">
        <f>5*4*30000</f>
        <v>600000</v>
      </c>
      <c r="AC75" s="507">
        <v>900000</v>
      </c>
      <c r="AD75" s="508">
        <f>U75*AB75</f>
        <v>150000</v>
      </c>
      <c r="AE75" s="509" t="e">
        <f>IF(AF75="Data missing","Data missing",IF(OR(U75="",AA75="",AB75="",AC75=""),"",_XLL.RISKBINOMIAL(1,U75)))</f>
        <v>#NAME?</v>
      </c>
      <c r="AF75" s="510" t="e">
        <f>IF(OR(U75="",AA75="",AB75="",AC75=""),"Data missing",_XLL.RISKPERT(AA75,AB75,AC75,_XLL.RISKNAME("Risk ID"&amp;B75),_XLL.RISKCOLLECT()))</f>
        <v>#NAME?</v>
      </c>
      <c r="AG75" s="511" t="e">
        <f>IF(AF75="Data missing","Data missing",IF(OR(U75="",AA75="",AB75="",AC75=""),"",AE75*AF75))</f>
        <v>#NAME?</v>
      </c>
      <c r="AH75" s="522" t="s">
        <v>581</v>
      </c>
      <c r="AI75" s="26"/>
      <c r="AJ75" s="34" t="e">
        <f aca="true" t="shared" si="56" ref="AJ75:AO78">IF($H75="","Identify Risk Owner",IF($H75=AJ$16,$AG75,0))</f>
        <v>#NAME?</v>
      </c>
      <c r="AK75" s="35">
        <f t="shared" si="56"/>
        <v>0</v>
      </c>
      <c r="AL75" s="35">
        <f t="shared" si="56"/>
        <v>0</v>
      </c>
      <c r="AM75" s="35">
        <f t="shared" si="56"/>
        <v>0</v>
      </c>
      <c r="AN75" s="35">
        <f t="shared" si="56"/>
        <v>0</v>
      </c>
      <c r="AO75" s="36">
        <f t="shared" si="56"/>
        <v>0</v>
      </c>
      <c r="AP75" s="37" t="e">
        <f>SUM(AJ75:AO75)</f>
        <v>#NAME?</v>
      </c>
      <c r="AR75" s="229"/>
      <c r="AS75" s="88"/>
      <c r="AT75" s="288">
        <f>IF(AS75="Yes",U75,0)</f>
        <v>0</v>
      </c>
      <c r="AU75" s="191">
        <v>0</v>
      </c>
      <c r="AV75" s="192">
        <v>13</v>
      </c>
      <c r="AW75" s="193">
        <v>26</v>
      </c>
      <c r="AX75" s="71" t="e">
        <f>IF(AY75="Data missing","Data missing",IF(OR(AT75="",AU75="",AV75="",AW75=""),"",_XLL.RISKBINOMIAL(1,AT75)))</f>
        <v>#NAME?</v>
      </c>
      <c r="AY75" s="95" t="e">
        <f>IF(OR(AT75="",AU75="",AV75="",AW75=""),"Data missing",_XLL.RISKPERT(AU75,AV75,AW75))</f>
        <v>#NAME?</v>
      </c>
      <c r="AZ75" s="96" t="e">
        <f>IF(AY75="Data missing","Data missing",IF(OR(AT75="",AU75="",AV75="",AW75=""),"",AX75*AY75))</f>
        <v>#NAME?</v>
      </c>
      <c r="BB75" s="283" t="e">
        <f>IF($H75="","Identify Risk Owner",IF($H75=BB$16,$AZ75,0))</f>
        <v>#NAME?</v>
      </c>
      <c r="BC75" s="289">
        <f>IF($H75="","Identify Risk Owner",IF($H75=BC$16,$AZ75,0))</f>
        <v>0</v>
      </c>
      <c r="BD75" s="289">
        <f>IF($H75="","Identify Risk Owner",IF($H75=BD$16,$AZ75,0))</f>
        <v>0</v>
      </c>
      <c r="BE75" s="284">
        <f>IF($H75="","Identify risk owner",IF($H75=BE$16,$AZ75,0))</f>
        <v>0</v>
      </c>
      <c r="BF75" s="284">
        <f>IF($H75="","Identify risk owner",IF($H75=BF$16,$AZ75,0))</f>
        <v>0</v>
      </c>
      <c r="BG75" s="285">
        <f>IF($H75="","Identify risk owner",IF($H75=BG$16,$AZ75,0))</f>
        <v>0</v>
      </c>
      <c r="BH75" s="286" t="e">
        <f>SUM(BB75:BG75)</f>
        <v>#NAME?</v>
      </c>
    </row>
    <row r="76" spans="1:75" s="27" customFormat="1" ht="57.75" customHeight="1">
      <c r="A76" s="165">
        <v>44</v>
      </c>
      <c r="B76" s="521">
        <v>51</v>
      </c>
      <c r="C76" s="496"/>
      <c r="D76" s="497" t="s">
        <v>602</v>
      </c>
      <c r="E76" s="496" t="s">
        <v>466</v>
      </c>
      <c r="F76" s="498" t="s">
        <v>322</v>
      </c>
      <c r="G76" s="498"/>
      <c r="H76" s="498" t="s">
        <v>190</v>
      </c>
      <c r="I76" s="498"/>
      <c r="J76" s="499" t="s">
        <v>24</v>
      </c>
      <c r="K76" s="499" t="s">
        <v>23</v>
      </c>
      <c r="L76" s="499" t="s">
        <v>24</v>
      </c>
      <c r="M76" s="500" t="str">
        <f>IF(OR(K76="",L76="",J76=""),"Data missing",IF(OR(K76="VH",L76="VH"),"VH",IF(OR(K76="H",L76="H"),"H",IF(OR(K76="M",L76="M"),"M",IF(OR(K76="L",L76="L"),"L",IF(OR(K76="VL",L76="VL"),"VL"))))))</f>
        <v>M</v>
      </c>
      <c r="N76" s="501" t="str">
        <f>IF(M76="Data missing","Data missing",IF(M76="VH","H",(IF(M76="H",HLOOKUP(J76,'3 - Prioritisation'!$D$16:$H$21,3,FALSE),IF(M76="M",HLOOKUP(J76,'3 - Prioritisation'!$D$16:$H$21,4,FALSE),IF(M76="L",HLOOKUP(J76,'3 - Prioritisation'!$D$16:$H$21,5,FALSE),IF(M76="VL",HLOOKUP(J76,'3 - Prioritisation'!$D$16:$H$21,6,FALSE))))))))</f>
        <v>M</v>
      </c>
      <c r="O76" s="514"/>
      <c r="P76" s="503" t="s">
        <v>467</v>
      </c>
      <c r="Q76" s="503" t="s">
        <v>530</v>
      </c>
      <c r="R76" s="515"/>
      <c r="S76" s="516"/>
      <c r="T76" s="517"/>
      <c r="U76" s="506">
        <v>0.5</v>
      </c>
      <c r="V76" s="499" t="s">
        <v>24</v>
      </c>
      <c r="W76" s="499" t="s">
        <v>140</v>
      </c>
      <c r="X76" s="499" t="s">
        <v>23</v>
      </c>
      <c r="Y76" s="500" t="str">
        <f>IF(OR(W76="",X76="",V76=""),"Data missing",IF(OR(W76="VH",X76="VH"),"VH",IF(OR(W76="H",X76="H"),"H",IF(OR(W76="M",X76="M"),"M",IF(OR(W76="L",X76="L"),"L",IF(OR(W76="VL",X76="VL"),"VL"))))))</f>
        <v>L</v>
      </c>
      <c r="Z76" s="501" t="str">
        <f>IF(Y76="Data missing","Data missing",IF(Y76="VH","H",(IF(Y76="H",HLOOKUP(V76,'3 - Prioritisation'!$D$16:$H$21,3,FALSE),IF(Y76="M",HLOOKUP(V76,'3 - Prioritisation'!$D$16:$H$21,4,FALSE),IF(Y76="L",HLOOKUP(V76,'3 - Prioritisation'!$D$16:$H$21,5,FALSE),IF(Y76="VL",HLOOKUP(V76,'3 - Prioritisation'!$D$16:$H$21,6,FALSE))))))))</f>
        <v>L</v>
      </c>
      <c r="AA76" s="507">
        <v>25000</v>
      </c>
      <c r="AB76" s="507">
        <v>50000</v>
      </c>
      <c r="AC76" s="507">
        <v>75000</v>
      </c>
      <c r="AD76" s="508">
        <f>U76*AB76</f>
        <v>25000</v>
      </c>
      <c r="AE76" s="509" t="e">
        <f>IF(AF76="Data missing","Data missing",IF(OR(U76="",AA76="",AB76="",AC76=""),"",_XLL.RISKBINOMIAL(1,U76)))</f>
        <v>#NAME?</v>
      </c>
      <c r="AF76" s="510" t="e">
        <f>IF(OR(U76="",AA76="",AB76="",AC76=""),"Data missing",_XLL.RISKPERT(AA76,AB76,AC76,_XLL.RISKNAME("Risk ID"&amp;B76),_XLL.RISKCOLLECT()))</f>
        <v>#NAME?</v>
      </c>
      <c r="AG76" s="511" t="e">
        <f>IF(AF76="Data missing","Data missing",IF(OR(U76="",AA76="",AB76="",AC76=""),"",AE76*AF76))</f>
        <v>#NAME?</v>
      </c>
      <c r="AH76" s="522" t="s">
        <v>685</v>
      </c>
      <c r="AI76" s="435"/>
      <c r="AJ76" s="34" t="e">
        <f t="shared" si="56"/>
        <v>#NAME?</v>
      </c>
      <c r="AK76" s="35">
        <f t="shared" si="56"/>
        <v>0</v>
      </c>
      <c r="AL76" s="35">
        <f t="shared" si="56"/>
        <v>0</v>
      </c>
      <c r="AM76" s="35">
        <f t="shared" si="56"/>
        <v>0</v>
      </c>
      <c r="AN76" s="35">
        <f t="shared" si="56"/>
        <v>0</v>
      </c>
      <c r="AO76" s="36">
        <f t="shared" si="56"/>
        <v>0</v>
      </c>
      <c r="AP76" s="37" t="e">
        <f>SUM(AJ76:AO76)</f>
        <v>#NAME?</v>
      </c>
      <c r="AR76" s="229"/>
      <c r="AS76" s="88"/>
      <c r="AT76" s="288">
        <f>IF(AS76="Yes",U76,0)</f>
        <v>0</v>
      </c>
      <c r="AU76" s="191">
        <v>0</v>
      </c>
      <c r="AV76" s="192">
        <v>4</v>
      </c>
      <c r="AW76" s="193">
        <v>6</v>
      </c>
      <c r="AX76" s="71" t="e">
        <f>IF(AY76="Data missing","Data missing",IF(OR(AT76="",AU76="",AV76="",AW76=""),"",_XLL.RISKBINOMIAL(1,AT76)))</f>
        <v>#NAME?</v>
      </c>
      <c r="AY76" s="95" t="e">
        <f>IF(OR(AT76="",AU76="",AV76="",AW76=""),"Data missing",_XLL.RISKPERT(AU76,AV76,AW76))</f>
        <v>#NAME?</v>
      </c>
      <c r="AZ76" s="96" t="e">
        <f>IF(AY76="Data missing","Data missing",IF(OR(AT76="",AU76="",AV76="",AW76=""),"",AX76*AY76))</f>
        <v>#NAME?</v>
      </c>
      <c r="BB76" s="283" t="e">
        <f aca="true" t="shared" si="57" ref="BB76:BD77">IF($H76="","Identify Risk Owner",IF($H76=BB$16,$AZ76,0))</f>
        <v>#NAME?</v>
      </c>
      <c r="BC76" s="289">
        <f t="shared" si="57"/>
        <v>0</v>
      </c>
      <c r="BD76" s="289">
        <f t="shared" si="57"/>
        <v>0</v>
      </c>
      <c r="BE76" s="284">
        <f aca="true" t="shared" si="58" ref="BE76:BG77">IF($H76="","Identify risk owner",IF($H76=BE$16,$AZ76,0))</f>
        <v>0</v>
      </c>
      <c r="BF76" s="284">
        <f t="shared" si="58"/>
        <v>0</v>
      </c>
      <c r="BG76" s="285">
        <f t="shared" si="58"/>
        <v>0</v>
      </c>
      <c r="BH76" s="286" t="e">
        <f>SUM(BB76:BG76)</f>
        <v>#NAME?</v>
      </c>
      <c r="BI76" s="390"/>
      <c r="BJ76" s="390"/>
      <c r="BK76" s="390"/>
      <c r="BL76" s="390"/>
      <c r="BM76" s="390"/>
      <c r="BN76" s="390"/>
      <c r="BO76" s="390"/>
      <c r="BP76" s="390"/>
      <c r="BQ76" s="390"/>
      <c r="BR76" s="390"/>
      <c r="BS76" s="390"/>
      <c r="BT76" s="390"/>
      <c r="BU76" s="390"/>
      <c r="BV76" s="390"/>
      <c r="BW76" s="390"/>
    </row>
    <row r="77" spans="1:75" s="27" customFormat="1" ht="105">
      <c r="A77" s="165">
        <v>45</v>
      </c>
      <c r="B77" s="521">
        <v>52</v>
      </c>
      <c r="C77" s="496"/>
      <c r="D77" s="497" t="s">
        <v>643</v>
      </c>
      <c r="E77" s="496" t="s">
        <v>644</v>
      </c>
      <c r="F77" s="498" t="s">
        <v>322</v>
      </c>
      <c r="G77" s="498"/>
      <c r="H77" s="498" t="s">
        <v>190</v>
      </c>
      <c r="I77" s="498"/>
      <c r="J77" s="499" t="s">
        <v>24</v>
      </c>
      <c r="K77" s="499" t="s">
        <v>25</v>
      </c>
      <c r="L77" s="499" t="s">
        <v>26</v>
      </c>
      <c r="M77" s="500" t="str">
        <f>IF(OR(K77="",L77="",J77=""),"Data missing",IF(OR(K77="VH",L77="VH"),"VH",IF(OR(K77="H",L77="H"),"H",IF(OR(K77="M",L77="M"),"M",IF(OR(K77="L",L77="L"),"L",IF(OR(K77="VL",L77="VL"),"VL"))))))</f>
        <v>VH</v>
      </c>
      <c r="N77" s="501" t="str">
        <f>IF(M77="Data missing","Data missing",IF(M77="VH","H",(IF(M77="H",HLOOKUP(J77,'3 - Prioritisation'!$D$16:$H$21,3,FALSE),IF(M77="M",HLOOKUP(J77,'3 - Prioritisation'!$D$16:$H$21,4,FALSE),IF(M77="L",HLOOKUP(J77,'3 - Prioritisation'!$D$16:$H$21,5,FALSE),IF(M77="VL",HLOOKUP(J77,'3 - Prioritisation'!$D$16:$H$21,6,FALSE))))))))</f>
        <v>H</v>
      </c>
      <c r="O77" s="514"/>
      <c r="P77" s="503" t="s">
        <v>658</v>
      </c>
      <c r="Q77" s="503" t="s">
        <v>91</v>
      </c>
      <c r="R77" s="515"/>
      <c r="S77" s="516"/>
      <c r="T77" s="517"/>
      <c r="U77" s="506">
        <v>0.6</v>
      </c>
      <c r="V77" s="499" t="s">
        <v>25</v>
      </c>
      <c r="W77" s="499" t="s">
        <v>24</v>
      </c>
      <c r="X77" s="499" t="s">
        <v>26</v>
      </c>
      <c r="Y77" s="500" t="str">
        <f>IF(OR(W77="",X77="",V77=""),"Data missing",IF(OR(W77="VH",X77="VH"),"VH",IF(OR(W77="H",X77="H"),"H",IF(OR(W77="M",X77="M"),"M",IF(OR(W77="L",X77="L"),"L",IF(OR(W77="VL",X77="VL"),"VL"))))))</f>
        <v>VH</v>
      </c>
      <c r="Z77" s="501" t="str">
        <f>IF(Y77="Data missing","Data missing",IF(Y77="VH","H",(IF(Y77="H",HLOOKUP(V77,'3 - Prioritisation'!$D$16:$H$21,3,FALSE),IF(Y77="M",HLOOKUP(V77,'3 - Prioritisation'!$D$16:$H$21,4,FALSE),IF(Y77="L",HLOOKUP(V77,'3 - Prioritisation'!$D$16:$H$21,5,FALSE),IF(Y77="VL",HLOOKUP(V77,'3 - Prioritisation'!$D$16:$H$21,6,FALSE))))))))</f>
        <v>H</v>
      </c>
      <c r="AA77" s="507">
        <v>860000</v>
      </c>
      <c r="AB77" s="507">
        <v>1360000</v>
      </c>
      <c r="AC77" s="507">
        <v>1540000</v>
      </c>
      <c r="AD77" s="508">
        <f>U77*AB77</f>
        <v>816000</v>
      </c>
      <c r="AE77" s="509" t="e">
        <f>IF(AF77="Data missing","Data missing",IF(OR(U77="",AA77="",AB77="",AC77=""),"",_XLL.RISKBINOMIAL(1,U77)))</f>
        <v>#NAME?</v>
      </c>
      <c r="AF77" s="510" t="e">
        <f>IF(OR(U77="",AA77="",AB77="",AC77=""),"Data missing",_XLL.RISKPERT(AA77,AB77,AC77,_XLL.RISKNAME("Risk ID"&amp;B77),_XLL.RISKCOLLECT()))</f>
        <v>#NAME?</v>
      </c>
      <c r="AG77" s="511" t="e">
        <f>IF(AF77="Data missing","Data missing",IF(OR(U77="",AA77="",AB77="",AC77=""),"",AE77*AF77))</f>
        <v>#NAME?</v>
      </c>
      <c r="AH77" s="522" t="s">
        <v>694</v>
      </c>
      <c r="AI77" s="435"/>
      <c r="AJ77" s="34" t="e">
        <f t="shared" si="56"/>
        <v>#NAME?</v>
      </c>
      <c r="AK77" s="35">
        <f t="shared" si="56"/>
        <v>0</v>
      </c>
      <c r="AL77" s="35">
        <f t="shared" si="56"/>
        <v>0</v>
      </c>
      <c r="AM77" s="35">
        <f t="shared" si="56"/>
        <v>0</v>
      </c>
      <c r="AN77" s="35">
        <f t="shared" si="56"/>
        <v>0</v>
      </c>
      <c r="AO77" s="36">
        <f t="shared" si="56"/>
        <v>0</v>
      </c>
      <c r="AP77" s="37" t="e">
        <f>SUM(AJ77:AO77)</f>
        <v>#NAME?</v>
      </c>
      <c r="AR77" s="229"/>
      <c r="AS77" s="88" t="s">
        <v>364</v>
      </c>
      <c r="AT77" s="288">
        <f>IF(AS77="Yes",U77,0)</f>
        <v>0.6</v>
      </c>
      <c r="AU77" s="191">
        <v>0</v>
      </c>
      <c r="AV77" s="192">
        <v>75</v>
      </c>
      <c r="AW77" s="193">
        <v>120</v>
      </c>
      <c r="AX77" s="71" t="e">
        <f>IF(AY77="Data missing","Data missing",IF(OR(AT77="",AU77="",AV77="",AW77=""),"",_XLL.RISKBINOMIAL(1,AT77)))</f>
        <v>#NAME?</v>
      </c>
      <c r="AY77" s="95" t="e">
        <f>IF(OR(AT77="",AU77="",AV77="",AW77=""),"Data missing",_XLL.RISKPERT(AU77,AV77,AW77))</f>
        <v>#NAME?</v>
      </c>
      <c r="AZ77" s="96" t="e">
        <f>IF(AY77="Data missing","Data missing",IF(OR(AT77="",AU77="",AV77="",AW77=""),"",AX77*AY77))</f>
        <v>#NAME?</v>
      </c>
      <c r="BB77" s="283" t="e">
        <f t="shared" si="57"/>
        <v>#NAME?</v>
      </c>
      <c r="BC77" s="289">
        <f t="shared" si="57"/>
        <v>0</v>
      </c>
      <c r="BD77" s="289">
        <f t="shared" si="57"/>
        <v>0</v>
      </c>
      <c r="BE77" s="284">
        <f t="shared" si="58"/>
        <v>0</v>
      </c>
      <c r="BF77" s="284">
        <f t="shared" si="58"/>
        <v>0</v>
      </c>
      <c r="BG77" s="285">
        <f t="shared" si="58"/>
        <v>0</v>
      </c>
      <c r="BH77" s="286" t="e">
        <f>SUM(BB77:BG77)</f>
        <v>#NAME?</v>
      </c>
      <c r="BI77" s="390"/>
      <c r="BJ77" s="390"/>
      <c r="BK77" s="390"/>
      <c r="BL77" s="390"/>
      <c r="BM77" s="390"/>
      <c r="BN77" s="390"/>
      <c r="BO77" s="390"/>
      <c r="BP77" s="390"/>
      <c r="BQ77" s="390"/>
      <c r="BR77" s="390"/>
      <c r="BS77" s="390"/>
      <c r="BT77" s="390"/>
      <c r="BU77" s="390"/>
      <c r="BV77" s="390"/>
      <c r="BW77" s="390"/>
    </row>
    <row r="78" spans="1:60" s="27" customFormat="1" ht="45" customHeight="1">
      <c r="A78" s="165" t="s">
        <v>645</v>
      </c>
      <c r="B78" s="521">
        <v>53</v>
      </c>
      <c r="C78" s="496"/>
      <c r="D78" s="497" t="s">
        <v>414</v>
      </c>
      <c r="E78" s="496" t="s">
        <v>324</v>
      </c>
      <c r="F78" s="498" t="s">
        <v>322</v>
      </c>
      <c r="G78" s="498"/>
      <c r="H78" s="498" t="s">
        <v>190</v>
      </c>
      <c r="I78" s="498"/>
      <c r="J78" s="499" t="s">
        <v>140</v>
      </c>
      <c r="K78" s="499" t="s">
        <v>25</v>
      </c>
      <c r="L78" s="499" t="s">
        <v>26</v>
      </c>
      <c r="M78" s="500" t="str">
        <f>IF(OR(K78="",L78="",J78=""),"Data missing",IF(OR(K78="VH",L78="VH"),"VH",IF(OR(K78="H",L78="H"),"H",IF(OR(K78="M",L78="M"),"M",IF(OR(K78="L",L78="L"),"L",IF(OR(K78="VL",L78="VL"),"VL"))))))</f>
        <v>VH</v>
      </c>
      <c r="N78" s="501" t="str">
        <f>IF(M78="Data missing","Data missing",IF(M78="VH","H",(IF(M78="H",HLOOKUP(J78,'3 - Prioritisation'!$D$16:$H$21,3,FALSE),IF(M78="M",HLOOKUP(J78,'3 - Prioritisation'!$D$16:$H$21,4,FALSE),IF(M78="L",HLOOKUP(J78,'3 - Prioritisation'!$D$16:$H$21,5,FALSE),IF(M78="VL",HLOOKUP(J78,'3 - Prioritisation'!$D$16:$H$21,6,FALSE))))))))</f>
        <v>H</v>
      </c>
      <c r="O78" s="502"/>
      <c r="P78" s="503" t="s">
        <v>373</v>
      </c>
      <c r="Q78" s="503" t="s">
        <v>374</v>
      </c>
      <c r="R78" s="504"/>
      <c r="S78" s="499"/>
      <c r="T78" s="505"/>
      <c r="U78" s="506">
        <v>0.6</v>
      </c>
      <c r="V78" s="499" t="s">
        <v>25</v>
      </c>
      <c r="W78" s="565" t="s">
        <v>23</v>
      </c>
      <c r="X78" s="499" t="s">
        <v>25</v>
      </c>
      <c r="Y78" s="500" t="str">
        <f>IF(OR(W78="",X78="",V78=""),"Data missing",IF(OR(W78="VH",X78="VH"),"VH",IF(OR(W78="H",X78="H"),"H",IF(OR(W78="M",X78="M"),"M",IF(OR(W78="L",X78="L"),"L",IF(OR(W78="VL",X78="VL"),"VL"))))))</f>
        <v>H</v>
      </c>
      <c r="Z78" s="501" t="str">
        <f>IF(Y78="Data missing","Data missing",IF(Y78="VH","H",(IF(Y78="H",HLOOKUP(V78,'3 - Prioritisation'!$D$16:$H$21,3,FALSE),IF(Y78="M",HLOOKUP(V78,'3 - Prioritisation'!$D$16:$H$21,4,FALSE),IF(Y78="L",HLOOKUP(V78,'3 - Prioritisation'!$D$16:$H$21,5,FALSE),IF(Y78="VL",HLOOKUP(V78,'3 - Prioritisation'!$D$16:$H$21,6,FALSE))))))))</f>
        <v>H</v>
      </c>
      <c r="AA78" s="507">
        <v>80000</v>
      </c>
      <c r="AB78" s="507">
        <v>200000</v>
      </c>
      <c r="AC78" s="507">
        <v>450000</v>
      </c>
      <c r="AD78" s="508">
        <f>U78*AB78</f>
        <v>120000</v>
      </c>
      <c r="AE78" s="509" t="e">
        <f>IF(AF78="Data missing","Data missing",IF(OR(U78="",AA78="",AB78="",AC78=""),"",_XLL.RISKBINOMIAL(1,U78)))</f>
        <v>#NAME?</v>
      </c>
      <c r="AF78" s="510" t="e">
        <f>IF(OR(U78="",AA78="",AB78="",AC78=""),"Data missing",_XLL.RISKPERT(AA78,AB78,AC78,_XLL.RISKNAME("Risk ID"&amp;B78),_XLL.RISKCOLLECT()))</f>
        <v>#NAME?</v>
      </c>
      <c r="AG78" s="511" t="e">
        <f>IF(AF78="Data missing","Data missing",IF(OR(U78="",AA78="",AB78="",AC78=""),"",AE78*AF78))</f>
        <v>#NAME?</v>
      </c>
      <c r="AH78" s="522" t="s">
        <v>375</v>
      </c>
      <c r="AI78" s="26"/>
      <c r="AJ78" s="34" t="e">
        <f t="shared" si="56"/>
        <v>#NAME?</v>
      </c>
      <c r="AK78" s="35">
        <f t="shared" si="56"/>
        <v>0</v>
      </c>
      <c r="AL78" s="35">
        <f t="shared" si="56"/>
        <v>0</v>
      </c>
      <c r="AM78" s="35">
        <f t="shared" si="56"/>
        <v>0</v>
      </c>
      <c r="AN78" s="35">
        <f t="shared" si="56"/>
        <v>0</v>
      </c>
      <c r="AO78" s="36">
        <f t="shared" si="56"/>
        <v>0</v>
      </c>
      <c r="AP78" s="37" t="e">
        <f>SUM(AJ78:AO78)</f>
        <v>#NAME?</v>
      </c>
      <c r="AR78" s="229"/>
      <c r="AS78" s="88" t="s">
        <v>364</v>
      </c>
      <c r="AT78" s="288">
        <f>IF(AS78="Yes",U78,0)</f>
        <v>0.6</v>
      </c>
      <c r="AU78" s="191">
        <v>0</v>
      </c>
      <c r="AV78" s="192">
        <v>20</v>
      </c>
      <c r="AW78" s="193">
        <v>40</v>
      </c>
      <c r="AX78" s="71" t="e">
        <f>IF(AY78="Data missing","Data missing",IF(OR(AT78="",AU78="",AV78="",AW78=""),"",_XLL.RISKBINOMIAL(1,AT78)))</f>
        <v>#NAME?</v>
      </c>
      <c r="AY78" s="95" t="e">
        <f>IF(OR(AT78="",AU78="",AV78="",AW78=""),"Data missing",_XLL.RISKPERT(AU78,AV78,AW78))</f>
        <v>#NAME?</v>
      </c>
      <c r="AZ78" s="96" t="e">
        <f>IF(AY78="Data missing","Data missing",IF(OR(AT78="",AU78="",AV78="",AW78=""),"",AX78*AY78))</f>
        <v>#NAME?</v>
      </c>
      <c r="BB78" s="283" t="e">
        <f>IF($H78="","Identify Risk Owner",IF($H78=BB$16,$AZ78,0))</f>
        <v>#NAME?</v>
      </c>
      <c r="BC78" s="289">
        <f>IF($H78="","Identify Risk Owner",IF($H78=BC$16,$AZ78,0))</f>
        <v>0</v>
      </c>
      <c r="BD78" s="289">
        <f>IF($H78="","Identify Risk Owner",IF($H78=BD$16,$AZ78,0))</f>
        <v>0</v>
      </c>
      <c r="BE78" s="284">
        <f>IF($H78="","Identify risk owner",IF($H78=BE$16,$AZ78,0))</f>
        <v>0</v>
      </c>
      <c r="BF78" s="284">
        <f>IF($H78="","Identify risk owner",IF($H78=BF$16,$AZ78,0))</f>
        <v>0</v>
      </c>
      <c r="BG78" s="285">
        <f>IF($H78="","Identify risk owner",IF($H78=BG$16,$AZ78,0))</f>
        <v>0</v>
      </c>
      <c r="BH78" s="286" t="e">
        <f>SUM(BB78:BG78)</f>
        <v>#NAME?</v>
      </c>
    </row>
    <row r="79" spans="1:60" s="377" customFormat="1" ht="35.25" customHeight="1">
      <c r="A79" s="755">
        <v>46</v>
      </c>
      <c r="B79" s="521"/>
      <c r="C79" s="512"/>
      <c r="D79" s="513" t="s">
        <v>557</v>
      </c>
      <c r="E79" s="512"/>
      <c r="F79" s="512"/>
      <c r="G79" s="512"/>
      <c r="H79" s="664"/>
      <c r="I79" s="512"/>
      <c r="J79" s="512"/>
      <c r="K79" s="512"/>
      <c r="L79" s="512"/>
      <c r="M79" s="512"/>
      <c r="N79" s="512"/>
      <c r="O79" s="512"/>
      <c r="P79" s="512"/>
      <c r="Q79" s="512"/>
      <c r="R79" s="512"/>
      <c r="S79" s="512"/>
      <c r="T79" s="512"/>
      <c r="U79" s="512"/>
      <c r="V79" s="512"/>
      <c r="W79" s="512"/>
      <c r="X79" s="512"/>
      <c r="Y79" s="512"/>
      <c r="Z79" s="512"/>
      <c r="AA79" s="664"/>
      <c r="AB79" s="512"/>
      <c r="AC79" s="664"/>
      <c r="AD79" s="664"/>
      <c r="AE79" s="664"/>
      <c r="AF79" s="664"/>
      <c r="AG79" s="664"/>
      <c r="AH79" s="753"/>
      <c r="AI79" s="492"/>
      <c r="AQ79" s="378"/>
      <c r="BA79" s="378"/>
      <c r="BH79" s="374"/>
    </row>
    <row r="80" spans="1:60" s="390" customFormat="1" ht="53.25" customHeight="1">
      <c r="A80" s="165">
        <v>47</v>
      </c>
      <c r="B80" s="521">
        <v>54</v>
      </c>
      <c r="C80" s="518"/>
      <c r="D80" s="665" t="s">
        <v>588</v>
      </c>
      <c r="E80" s="496"/>
      <c r="F80" s="498" t="s">
        <v>322</v>
      </c>
      <c r="G80" s="498"/>
      <c r="H80" s="498" t="s">
        <v>190</v>
      </c>
      <c r="I80" s="498"/>
      <c r="J80" s="499" t="s">
        <v>25</v>
      </c>
      <c r="K80" s="499" t="s">
        <v>24</v>
      </c>
      <c r="L80" s="499" t="s">
        <v>24</v>
      </c>
      <c r="M80" s="500" t="str">
        <f>IF(OR(K80="",L80="",J80=""),"Data missing",IF(OR(K80="VH",L80="VH"),"VH",IF(OR(K80="H",L80="H"),"H",IF(OR(K80="M",L80="M"),"M",IF(OR(K80="L",L80="L"),"L",IF(OR(K80="VL",L80="VL"),"VL"))))))</f>
        <v>M</v>
      </c>
      <c r="N80" s="501" t="str">
        <f>IF(M80="Data missing","Data missing",IF(M80="VH","H",(IF(M80="H",HLOOKUP(J80,'3 - Prioritisation'!$D$16:$H$21,3,FALSE),IF(M80="M",HLOOKUP(J80,'3 - Prioritisation'!$D$16:$H$21,4,FALSE),IF(M80="L",HLOOKUP(J80,'3 - Prioritisation'!$D$16:$H$21,5,FALSE),IF(M80="VL",HLOOKUP(J80,'3 - Prioritisation'!$D$16:$H$21,6,FALSE))))))))</f>
        <v>M</v>
      </c>
      <c r="O80" s="502"/>
      <c r="P80" s="503"/>
      <c r="Q80" s="503"/>
      <c r="R80" s="504"/>
      <c r="S80" s="499"/>
      <c r="T80" s="505"/>
      <c r="U80" s="506"/>
      <c r="V80" s="499"/>
      <c r="W80" s="499"/>
      <c r="X80" s="499"/>
      <c r="Y80" s="500" t="str">
        <f>IF(OR(W80="",X80="",V80=""),"Data missing",IF(OR(W80="VH",X80="VH"),"VH",IF(OR(W80="H",X80="H"),"H",IF(OR(W80="M",X80="M"),"M",IF(OR(W80="L",X80="L"),"L",IF(OR(W80="VL",X80="VL"),"VL"))))))</f>
        <v>Data missing</v>
      </c>
      <c r="Z80" s="501" t="str">
        <f>IF(Y80="Data missing","Data missing",IF(Y80="VH","H",(IF(Y80="H",HLOOKUP(V80,'3 - Prioritisation'!$D$16:$H$21,3,FALSE),IF(Y80="M",HLOOKUP(V80,'3 - Prioritisation'!$D$16:$H$21,4,FALSE),IF(Y80="L",HLOOKUP(V80,'3 - Prioritisation'!$D$16:$H$21,5,FALSE),IF(Y80="VL",HLOOKUP(V80,'3 - Prioritisation'!$D$16:$H$21,6,FALSE))))))))</f>
        <v>Data missing</v>
      </c>
      <c r="AA80" s="507">
        <v>0</v>
      </c>
      <c r="AB80" s="644">
        <v>0</v>
      </c>
      <c r="AC80" s="507">
        <v>0</v>
      </c>
      <c r="AD80" s="508">
        <f>U80*AB80</f>
        <v>0</v>
      </c>
      <c r="AE80" s="509" t="str">
        <f>IF(AF80="Data missing","Data missing",IF(OR(U80="",AA80="",AB80="",AC80=""),"",_XLL.RISKBINOMIAL(1,U80)))</f>
        <v>Data missing</v>
      </c>
      <c r="AF80" s="510" t="str">
        <f>IF(OR(U80="",AA80="",AB80="",AC80=""),"Data missing",_XLL.RISKPERT(AA80,AB80,AC80,_XLL.RISKNAME("Risk ID"&amp;B80),_XLL.RISKCOLLECT()))</f>
        <v>Data missing</v>
      </c>
      <c r="AG80" s="511" t="str">
        <f>IF(AF80="Data missing","Data missing",IF(OR(U80="",AA80="",AB80="",AC80=""),"",AE80*AF80))</f>
        <v>Data missing</v>
      </c>
      <c r="AH80" s="522" t="s">
        <v>684</v>
      </c>
      <c r="AI80" s="26"/>
      <c r="AJ80" s="34" t="str">
        <f aca="true" t="shared" si="59" ref="AJ80:AO81">IF($H80="","Identify Risk Owner",IF($H80=AJ$16,$AG80,0))</f>
        <v>Data missing</v>
      </c>
      <c r="AK80" s="35">
        <f t="shared" si="59"/>
        <v>0</v>
      </c>
      <c r="AL80" s="35">
        <f t="shared" si="59"/>
        <v>0</v>
      </c>
      <c r="AM80" s="35">
        <f t="shared" si="59"/>
        <v>0</v>
      </c>
      <c r="AN80" s="35">
        <f t="shared" si="59"/>
        <v>0</v>
      </c>
      <c r="AO80" s="36">
        <f t="shared" si="59"/>
        <v>0</v>
      </c>
      <c r="AP80" s="37">
        <f>SUM(AJ80:AO80)</f>
        <v>0</v>
      </c>
      <c r="AQ80" s="27"/>
      <c r="AR80" s="229"/>
      <c r="AS80" s="88"/>
      <c r="AT80" s="288">
        <f>IF(AS80="Yes",U80,0)</f>
        <v>0</v>
      </c>
      <c r="AU80" s="191">
        <v>1</v>
      </c>
      <c r="AV80" s="192">
        <v>3</v>
      </c>
      <c r="AW80" s="193">
        <v>4</v>
      </c>
      <c r="AX80" s="71" t="e">
        <f>IF(AY80="Data missing","Data missing",IF(OR(AT80="",AU80="",AV80="",AW80=""),"",_XLL.RISKBINOMIAL(1,AT80)))</f>
        <v>#NAME?</v>
      </c>
      <c r="AY80" s="95" t="e">
        <f>IF(OR(AT80="",AU80="",AV80="",AW80=""),"Data missing",_XLL.RISKPERT(AU80,AV80,AW80))</f>
        <v>#NAME?</v>
      </c>
      <c r="AZ80" s="96" t="e">
        <f>IF(AY80="Data missing","Data missing",IF(OR(AT80="",AU80="",AV80="",AW80=""),"",AX80*AY80))</f>
        <v>#NAME?</v>
      </c>
      <c r="BA80" s="27"/>
      <c r="BB80" s="283" t="e">
        <f aca="true" t="shared" si="60" ref="BB80:BD81">IF($H80="","Identify Risk Owner",IF($H80=BB$16,$AZ80,0))</f>
        <v>#NAME?</v>
      </c>
      <c r="BC80" s="289">
        <f t="shared" si="60"/>
        <v>0</v>
      </c>
      <c r="BD80" s="289">
        <f t="shared" si="60"/>
        <v>0</v>
      </c>
      <c r="BE80" s="284">
        <f aca="true" t="shared" si="61" ref="BE80:BG81">IF($H80="","Identify risk owner",IF($H80=BE$16,$AZ80,0))</f>
        <v>0</v>
      </c>
      <c r="BF80" s="284">
        <f t="shared" si="61"/>
        <v>0</v>
      </c>
      <c r="BG80" s="285">
        <f t="shared" si="61"/>
        <v>0</v>
      </c>
      <c r="BH80" s="286" t="e">
        <f>SUM(BB80:BG80)</f>
        <v>#NAME?</v>
      </c>
    </row>
    <row r="81" spans="1:60" s="27" customFormat="1" ht="47.25" customHeight="1">
      <c r="A81" s="165"/>
      <c r="B81" s="521">
        <v>55</v>
      </c>
      <c r="C81" s="496"/>
      <c r="D81" s="665" t="s">
        <v>588</v>
      </c>
      <c r="E81" s="496"/>
      <c r="F81" s="498" t="s">
        <v>322</v>
      </c>
      <c r="G81" s="498"/>
      <c r="H81" s="498" t="s">
        <v>190</v>
      </c>
      <c r="I81" s="498"/>
      <c r="J81" s="499" t="s">
        <v>23</v>
      </c>
      <c r="K81" s="499" t="s">
        <v>26</v>
      </c>
      <c r="L81" s="499" t="s">
        <v>26</v>
      </c>
      <c r="M81" s="500" t="str">
        <f>IF(OR(K81="",L81="",J81=""),"Data missing",IF(OR(K81="VH",L81="VH"),"VH",IF(OR(K81="H",L81="H"),"H",IF(OR(K81="M",L81="M"),"M",IF(OR(K81="L",L81="L"),"L",IF(OR(K81="VL",L81="VL"),"VL"))))))</f>
        <v>VH</v>
      </c>
      <c r="N81" s="501" t="str">
        <f>IF(M81="Data missing","Data missing",IF(M81="VH","H",(IF(M81="H",HLOOKUP(J81,'3 - Prioritisation'!$D$16:$H$21,3,FALSE),IF(M81="M",HLOOKUP(J81,'3 - Prioritisation'!$D$16:$H$21,4,FALSE),IF(M81="L",HLOOKUP(J81,'3 - Prioritisation'!$D$16:$H$21,5,FALSE),IF(M81="VL",HLOOKUP(J81,'3 - Prioritisation'!$D$16:$H$21,6,FALSE))))))))</f>
        <v>H</v>
      </c>
      <c r="O81" s="502"/>
      <c r="P81" s="503"/>
      <c r="Q81" s="503"/>
      <c r="R81" s="504"/>
      <c r="S81" s="499"/>
      <c r="T81" s="505"/>
      <c r="U81" s="506"/>
      <c r="V81" s="499"/>
      <c r="W81" s="499"/>
      <c r="X81" s="499"/>
      <c r="Y81" s="500" t="str">
        <f>IF(OR(W81="",X81="",V81=""),"Data missing",IF(OR(W81="VH",X81="VH"),"VH",IF(OR(W81="H",X81="H"),"H",IF(OR(W81="M",X81="M"),"M",IF(OR(W81="L",X81="L"),"L",IF(OR(W81="VL",X81="VL"),"VL"))))))</f>
        <v>Data missing</v>
      </c>
      <c r="Z81" s="501" t="str">
        <f>IF(Y81="Data missing","Data missing",IF(Y81="VH","H",(IF(Y81="H",HLOOKUP(V81,'3 - Prioritisation'!$D$16:$H$21,3,FALSE),IF(Y81="M",HLOOKUP(V81,'3 - Prioritisation'!$D$16:$H$21,4,FALSE),IF(Y81="L",HLOOKUP(V81,'3 - Prioritisation'!$D$16:$H$21,5,FALSE),IF(Y81="VL",HLOOKUP(V81,'3 - Prioritisation'!$D$16:$H$21,6,FALSE))))))))</f>
        <v>Data missing</v>
      </c>
      <c r="AA81" s="507">
        <v>0</v>
      </c>
      <c r="AB81" s="644">
        <v>0</v>
      </c>
      <c r="AC81" s="507">
        <v>0</v>
      </c>
      <c r="AD81" s="508">
        <f>U81*AB81</f>
        <v>0</v>
      </c>
      <c r="AE81" s="509" t="str">
        <f>IF(AF81="Data missing","Data missing",IF(OR(U81="",AA81="",AB81="",AC81=""),"",_XLL.RISKBINOMIAL(1,U81)))</f>
        <v>Data missing</v>
      </c>
      <c r="AF81" s="510" t="str">
        <f>IF(OR(U81="",AA81="",AB81="",AC81=""),"Data missing",_XLL.RISKPERT(AA81,AB81,AC81,_XLL.RISKNAME("Risk ID"&amp;B81),_XLL.RISKCOLLECT()))</f>
        <v>Data missing</v>
      </c>
      <c r="AG81" s="511" t="str">
        <f>IF(AF81="Data missing","Data missing",IF(OR(U81="",AA81="",AB81="",AC81=""),"",AE81*AF81))</f>
        <v>Data missing</v>
      </c>
      <c r="AH81" s="522" t="s">
        <v>684</v>
      </c>
      <c r="AI81" s="26"/>
      <c r="AJ81" s="34" t="str">
        <f t="shared" si="59"/>
        <v>Data missing</v>
      </c>
      <c r="AK81" s="35">
        <f t="shared" si="59"/>
        <v>0</v>
      </c>
      <c r="AL81" s="35">
        <f t="shared" si="59"/>
        <v>0</v>
      </c>
      <c r="AM81" s="35">
        <f t="shared" si="59"/>
        <v>0</v>
      </c>
      <c r="AN81" s="35">
        <f t="shared" si="59"/>
        <v>0</v>
      </c>
      <c r="AO81" s="36">
        <f t="shared" si="59"/>
        <v>0</v>
      </c>
      <c r="AP81" s="37">
        <f>SUM(AJ81:AO81)</f>
        <v>0</v>
      </c>
      <c r="AR81" s="229"/>
      <c r="AS81" s="88"/>
      <c r="AT81" s="288">
        <f>IF(AS81="Yes",U81,0)</f>
        <v>0</v>
      </c>
      <c r="AU81" s="191">
        <v>1</v>
      </c>
      <c r="AV81" s="192">
        <v>3</v>
      </c>
      <c r="AW81" s="193">
        <v>4</v>
      </c>
      <c r="AX81" s="71" t="e">
        <f>IF(AY81="Data missing","Data missing",IF(OR(AT81="",AU81="",AV81="",AW81=""),"",_XLL.RISKBINOMIAL(1,AT81)))</f>
        <v>#NAME?</v>
      </c>
      <c r="AY81" s="95" t="e">
        <f>IF(OR(AT81="",AU81="",AV81="",AW81=""),"Data missing",_XLL.RISKPERT(AU81,AV81,AW81))</f>
        <v>#NAME?</v>
      </c>
      <c r="AZ81" s="96" t="e">
        <f>IF(AY81="Data missing","Data missing",IF(OR(AT81="",AU81="",AV81="",AW81=""),"",AX81*AY81))</f>
        <v>#NAME?</v>
      </c>
      <c r="BB81" s="283" t="e">
        <f t="shared" si="60"/>
        <v>#NAME?</v>
      </c>
      <c r="BC81" s="289">
        <f t="shared" si="60"/>
        <v>0</v>
      </c>
      <c r="BD81" s="289">
        <f t="shared" si="60"/>
        <v>0</v>
      </c>
      <c r="BE81" s="284">
        <f t="shared" si="61"/>
        <v>0</v>
      </c>
      <c r="BF81" s="284">
        <f t="shared" si="61"/>
        <v>0</v>
      </c>
      <c r="BG81" s="285">
        <f t="shared" si="61"/>
        <v>0</v>
      </c>
      <c r="BH81" s="286" t="e">
        <f>SUM(BB81:BG81)</f>
        <v>#NAME?</v>
      </c>
    </row>
    <row r="82" spans="1:60" s="377" customFormat="1" ht="35.25" customHeight="1">
      <c r="A82" s="165">
        <v>48</v>
      </c>
      <c r="B82" s="521"/>
      <c r="C82" s="512"/>
      <c r="D82" s="513" t="s">
        <v>486</v>
      </c>
      <c r="E82" s="512"/>
      <c r="F82" s="512"/>
      <c r="G82" s="512"/>
      <c r="H82" s="664"/>
      <c r="I82" s="512"/>
      <c r="J82" s="512"/>
      <c r="K82" s="512"/>
      <c r="L82" s="512"/>
      <c r="M82" s="512"/>
      <c r="N82" s="512"/>
      <c r="O82" s="512"/>
      <c r="P82" s="512"/>
      <c r="Q82" s="512"/>
      <c r="R82" s="512"/>
      <c r="S82" s="512"/>
      <c r="T82" s="512"/>
      <c r="U82" s="512"/>
      <c r="V82" s="512"/>
      <c r="W82" s="512"/>
      <c r="X82" s="512"/>
      <c r="Y82" s="512"/>
      <c r="Z82" s="512"/>
      <c r="AA82" s="664"/>
      <c r="AB82" s="512"/>
      <c r="AC82" s="664"/>
      <c r="AD82" s="664"/>
      <c r="AE82" s="664"/>
      <c r="AF82" s="664"/>
      <c r="AG82" s="664"/>
      <c r="AH82" s="753"/>
      <c r="AI82" s="492"/>
      <c r="AQ82" s="378"/>
      <c r="BA82" s="378"/>
      <c r="BH82" s="374"/>
    </row>
    <row r="83" spans="1:60" s="27" customFormat="1" ht="85.5" customHeight="1">
      <c r="A83" s="165"/>
      <c r="B83" s="521">
        <v>56</v>
      </c>
      <c r="C83" s="496"/>
      <c r="D83" s="497" t="s">
        <v>560</v>
      </c>
      <c r="E83" s="496" t="s">
        <v>491</v>
      </c>
      <c r="F83" s="498" t="s">
        <v>322</v>
      </c>
      <c r="G83" s="498"/>
      <c r="H83" s="498" t="s">
        <v>190</v>
      </c>
      <c r="I83" s="498"/>
      <c r="J83" s="499" t="s">
        <v>23</v>
      </c>
      <c r="K83" s="499" t="s">
        <v>23</v>
      </c>
      <c r="L83" s="499" t="s">
        <v>26</v>
      </c>
      <c r="M83" s="500" t="str">
        <f>IF(OR(K83="",L83="",J83=""),"Data missing",IF(OR(K83="VH",L83="VH"),"VH",IF(OR(K83="H",L83="H"),"H",IF(OR(K83="M",L83="M"),"M",IF(OR(K83="L",L83="L"),"L",IF(OR(K83="VL",L83="VL"),"VL"))))))</f>
        <v>VH</v>
      </c>
      <c r="N83" s="501" t="str">
        <f>IF(M83="Data missing","Data missing",IF(M83="VH","H",(IF(M83="H",HLOOKUP(J83,'3 - Prioritisation'!$D$16:$H$21,3,FALSE),IF(M83="M",HLOOKUP(J83,'3 - Prioritisation'!$D$16:$H$21,4,FALSE),IF(M83="L",HLOOKUP(J83,'3 - Prioritisation'!$D$16:$H$21,5,FALSE),IF(M83="VL",HLOOKUP(J83,'3 - Prioritisation'!$D$16:$H$21,6,FALSE))))))))</f>
        <v>H</v>
      </c>
      <c r="O83" s="502"/>
      <c r="P83" s="503" t="s">
        <v>489</v>
      </c>
      <c r="Q83" s="503" t="s">
        <v>490</v>
      </c>
      <c r="R83" s="504"/>
      <c r="S83" s="499"/>
      <c r="T83" s="505"/>
      <c r="U83" s="506">
        <v>0.05</v>
      </c>
      <c r="V83" s="499" t="s">
        <v>140</v>
      </c>
      <c r="W83" s="499" t="s">
        <v>25</v>
      </c>
      <c r="X83" s="499" t="s">
        <v>26</v>
      </c>
      <c r="Y83" s="574" t="str">
        <f>IF(OR(W83="",X83="",V83=""),"Data missing",IF(OR(W83="VH",X83="VH"),"VH",IF(OR(W83="H",X83="H"),"H",IF(OR(W83="M",X83="M"),"M",IF(OR(W83="L",X83="L"),"L",IF(OR(W83="VL",X83="VL"),"VL"))))))</f>
        <v>VH</v>
      </c>
      <c r="Z83" s="575" t="str">
        <f>IF(Y83="Data missing","Data missing",IF(Y83="VH","H",(IF(Y83="H",HLOOKUP(V83,'3 - Prioritisation'!$D$16:$H$21,3,FALSE),IF(Y83="M",HLOOKUP(V83,'3 - Prioritisation'!$D$16:$H$21,4,FALSE),IF(Y83="L",HLOOKUP(V83,'3 - Prioritisation'!$D$16:$H$21,5,FALSE),IF(Y83="VL",HLOOKUP(V83,'3 - Prioritisation'!$D$16:$H$21,6,FALSE))))))))</f>
        <v>H</v>
      </c>
      <c r="AA83" s="507">
        <f>(18*4*30000)*25%</f>
        <v>540000</v>
      </c>
      <c r="AB83" s="507">
        <f>(18*4*30000)*50%</f>
        <v>1080000</v>
      </c>
      <c r="AC83" s="507">
        <f>(18*4*30000)*75%</f>
        <v>1620000</v>
      </c>
      <c r="AD83" s="508">
        <f>U83*AB83</f>
        <v>54000</v>
      </c>
      <c r="AE83" s="509" t="e">
        <f>IF(AF83="Data missing","Data missing",IF(OR(U83="",AA83="",AB83="",AC83=""),"",_XLL.RISKBINOMIAL(1,U83)))</f>
        <v>#NAME?</v>
      </c>
      <c r="AF83" s="509" t="e">
        <f>IF(OR(U83="",AA83="",AB83="",AC83=""),"Data missing",_XLL.RISKPERT(AA83,AB83,AC83,_XLL.RISKNAME("Risk ID"&amp;B83),_XLL.RISKCOLLECT()))</f>
        <v>#NAME?</v>
      </c>
      <c r="AG83" s="511" t="e">
        <f>IF(AF83="Data missing","Data missing",IF(OR(U83="",AA83="",AB83="",AC83=""),"",AE83*AF83))</f>
        <v>#NAME?</v>
      </c>
      <c r="AH83" s="522" t="s">
        <v>583</v>
      </c>
      <c r="AI83" s="26"/>
      <c r="AJ83" s="587" t="e">
        <f aca="true" t="shared" si="62" ref="AJ83:AO83">IF($H83="","Identify Risk Owner",IF($H83=AJ$16,$AG83,0))</f>
        <v>#NAME?</v>
      </c>
      <c r="AK83" s="588">
        <f t="shared" si="62"/>
        <v>0</v>
      </c>
      <c r="AL83" s="588">
        <f t="shared" si="62"/>
        <v>0</v>
      </c>
      <c r="AM83" s="588">
        <f t="shared" si="62"/>
        <v>0</v>
      </c>
      <c r="AN83" s="588">
        <f t="shared" si="62"/>
        <v>0</v>
      </c>
      <c r="AO83" s="589">
        <f t="shared" si="62"/>
        <v>0</v>
      </c>
      <c r="AP83" s="590" t="e">
        <f>SUM(AJ83:AO83)</f>
        <v>#NAME?</v>
      </c>
      <c r="AQ83" s="591"/>
      <c r="AR83" s="592"/>
      <c r="AS83" s="593"/>
      <c r="AT83" s="594">
        <f>IF(AS83="Yes",U83,0)</f>
        <v>0</v>
      </c>
      <c r="AU83" s="595">
        <v>1</v>
      </c>
      <c r="AV83" s="596">
        <v>3</v>
      </c>
      <c r="AW83" s="597">
        <v>4</v>
      </c>
      <c r="AX83" s="598" t="e">
        <f>IF(AY83="Data missing","Data missing",IF(OR(AT83="",AU83="",AV83="",AW83=""),"",_XLL.RISKBINOMIAL(1,AT83)))</f>
        <v>#NAME?</v>
      </c>
      <c r="AY83" s="599" t="e">
        <f>IF(OR(AT83="",AU83="",AV83="",AW83=""),"Data missing",_XLL.RISKPERT(AU83,AV83,AW83))</f>
        <v>#NAME?</v>
      </c>
      <c r="AZ83" s="600" t="e">
        <f>IF(AY83="Data missing","Data missing",IF(OR(AT83="",AU83="",AV83="",AW83=""),"",AX83*AY83))</f>
        <v>#NAME?</v>
      </c>
      <c r="BA83" s="591"/>
      <c r="BB83" s="601" t="e">
        <f>IF($H83="","Identify Risk Owner",IF($H83=BB$16,$AZ83,0))</f>
        <v>#NAME?</v>
      </c>
      <c r="BC83" s="602">
        <f>IF($H83="","Identify Risk Owner",IF($H83=BC$16,$AZ83,0))</f>
        <v>0</v>
      </c>
      <c r="BD83" s="602">
        <f>IF($H83="","Identify Risk Owner",IF($H83=BD$16,$AZ83,0))</f>
        <v>0</v>
      </c>
      <c r="BE83" s="603">
        <f>IF($H83="","Identify risk owner",IF($H83=BE$16,$AZ83,0))</f>
        <v>0</v>
      </c>
      <c r="BF83" s="603">
        <f>IF($H83="","Identify risk owner",IF($H83=BF$16,$AZ83,0))</f>
        <v>0</v>
      </c>
      <c r="BG83" s="604">
        <f>IF($H83="","Identify risk owner",IF($H83=BG$16,$AZ83,0))</f>
        <v>0</v>
      </c>
      <c r="BH83" s="605" t="e">
        <f>SUM(BB83:BG83)</f>
        <v>#NAME?</v>
      </c>
    </row>
    <row r="84" spans="1:60" s="377" customFormat="1" ht="35.25" customHeight="1">
      <c r="A84" s="165">
        <v>49</v>
      </c>
      <c r="B84" s="521"/>
      <c r="C84" s="512"/>
      <c r="D84" s="513" t="s">
        <v>492</v>
      </c>
      <c r="E84" s="512"/>
      <c r="F84" s="512"/>
      <c r="G84" s="512"/>
      <c r="H84" s="664"/>
      <c r="I84" s="512"/>
      <c r="J84" s="512"/>
      <c r="K84" s="512"/>
      <c r="L84" s="512"/>
      <c r="M84" s="512"/>
      <c r="N84" s="512"/>
      <c r="O84" s="512"/>
      <c r="P84" s="512"/>
      <c r="Q84" s="512"/>
      <c r="R84" s="512"/>
      <c r="S84" s="512"/>
      <c r="T84" s="512"/>
      <c r="U84" s="512"/>
      <c r="V84" s="512"/>
      <c r="W84" s="512"/>
      <c r="X84" s="512"/>
      <c r="Y84" s="512"/>
      <c r="Z84" s="512"/>
      <c r="AA84" s="664"/>
      <c r="AB84" s="512"/>
      <c r="AC84" s="664"/>
      <c r="AD84" s="664"/>
      <c r="AE84" s="664"/>
      <c r="AF84" s="664"/>
      <c r="AG84" s="664"/>
      <c r="AH84" s="753"/>
      <c r="AI84" s="492"/>
      <c r="AQ84" s="378"/>
      <c r="BA84" s="378"/>
      <c r="BH84" s="374"/>
    </row>
    <row r="85" spans="1:60" s="27" customFormat="1" ht="47.25" customHeight="1">
      <c r="A85" s="165"/>
      <c r="B85" s="521">
        <v>57</v>
      </c>
      <c r="C85" s="496"/>
      <c r="D85" s="497" t="s">
        <v>493</v>
      </c>
      <c r="E85" s="496" t="s">
        <v>491</v>
      </c>
      <c r="F85" s="498" t="s">
        <v>322</v>
      </c>
      <c r="G85" s="498"/>
      <c r="H85" s="498" t="s">
        <v>190</v>
      </c>
      <c r="I85" s="498"/>
      <c r="J85" s="499" t="s">
        <v>25</v>
      </c>
      <c r="K85" s="499" t="s">
        <v>23</v>
      </c>
      <c r="L85" s="499" t="s">
        <v>24</v>
      </c>
      <c r="M85" s="500" t="str">
        <f>IF(OR(K85="",L85="",J85=""),"Data missing",IF(OR(K85="VH",L85="VH"),"VH",IF(OR(K85="H",L85="H"),"H",IF(OR(K85="M",L85="M"),"M",IF(OR(K85="L",L85="L"),"L",IF(OR(K85="VL",L85="VL"),"VL"))))))</f>
        <v>M</v>
      </c>
      <c r="N85" s="501" t="str">
        <f>IF(M85="Data missing","Data missing",IF(M85="VH","H",(IF(M85="H",HLOOKUP(J85,'3 - Prioritisation'!$D$16:$H$21,3,FALSE),IF(M85="M",HLOOKUP(J85,'3 - Prioritisation'!$D$16:$H$21,4,FALSE),IF(M85="L",HLOOKUP(J85,'3 - Prioritisation'!$D$16:$H$21,5,FALSE),IF(M85="VL",HLOOKUP(J85,'3 - Prioritisation'!$D$16:$H$21,6,FALSE))))))))</f>
        <v>M</v>
      </c>
      <c r="O85" s="502"/>
      <c r="P85" s="503" t="s">
        <v>494</v>
      </c>
      <c r="Q85" s="503" t="s">
        <v>426</v>
      </c>
      <c r="R85" s="504"/>
      <c r="S85" s="499"/>
      <c r="T85" s="505"/>
      <c r="U85" s="506">
        <v>0.1</v>
      </c>
      <c r="V85" s="499" t="s">
        <v>140</v>
      </c>
      <c r="W85" s="499" t="s">
        <v>140</v>
      </c>
      <c r="X85" s="499" t="s">
        <v>140</v>
      </c>
      <c r="Y85" s="574" t="str">
        <f>IF(OR(W85="",X85="",V85=""),"Data missing",IF(OR(W85="VH",X85="VH"),"VH",IF(OR(W85="H",X85="H"),"H",IF(OR(W85="M",X85="M"),"M",IF(OR(W85="L",X85="L"),"L",IF(OR(W85="VL",X85="VL"),"VL"))))))</f>
        <v>VL</v>
      </c>
      <c r="Z85" s="575" t="str">
        <f>IF(Y85="Data missing","Data missing",IF(Y85="VH","H",(IF(Y85="H",HLOOKUP(V85,'3 - Prioritisation'!$D$16:$H$21,3,FALSE),IF(Y85="M",HLOOKUP(V85,'3 - Prioritisation'!$D$16:$H$21,4,FALSE),IF(Y85="L",HLOOKUP(V85,'3 - Prioritisation'!$D$16:$H$21,5,FALSE),IF(Y85="VL",HLOOKUP(V85,'3 - Prioritisation'!$D$16:$H$21,6,FALSE))))))))</f>
        <v>L</v>
      </c>
      <c r="AA85" s="507">
        <v>10000</v>
      </c>
      <c r="AB85" s="507">
        <v>25000</v>
      </c>
      <c r="AC85" s="507">
        <v>50000</v>
      </c>
      <c r="AD85" s="508">
        <f>U85*AB85</f>
        <v>2500</v>
      </c>
      <c r="AE85" s="509" t="e">
        <f>IF(AF85="Data missing","Data missing",IF(OR(U85="",AA85="",AB85="",AC85=""),"",_XLL.RISKBINOMIAL(1,U85)))</f>
        <v>#NAME?</v>
      </c>
      <c r="AF85" s="509" t="e">
        <f>IF(OR(U85="",AA85="",AB85="",AC85=""),"Data missing",_XLL.RISKPERT(AA85,AB85,AC85,_XLL.RISKNAME("Risk ID"&amp;B85),_XLL.RISKCOLLECT()))</f>
        <v>#NAME?</v>
      </c>
      <c r="AG85" s="511" t="e">
        <f>IF(AF85="Data missing","Data missing",IF(OR(U85="",AA85="",AB85="",AC85=""),"",AE85*AF85))</f>
        <v>#NAME?</v>
      </c>
      <c r="AH85" s="522" t="s">
        <v>589</v>
      </c>
      <c r="AI85" s="26"/>
      <c r="AJ85" s="587" t="e">
        <f aca="true" t="shared" si="63" ref="AJ85:AO85">IF($H85="","Identify Risk Owner",IF($H85=AJ$16,$AG85,0))</f>
        <v>#NAME?</v>
      </c>
      <c r="AK85" s="588">
        <f t="shared" si="63"/>
        <v>0</v>
      </c>
      <c r="AL85" s="588">
        <f t="shared" si="63"/>
        <v>0</v>
      </c>
      <c r="AM85" s="588">
        <f t="shared" si="63"/>
        <v>0</v>
      </c>
      <c r="AN85" s="588">
        <f t="shared" si="63"/>
        <v>0</v>
      </c>
      <c r="AO85" s="589">
        <f t="shared" si="63"/>
        <v>0</v>
      </c>
      <c r="AP85" s="590" t="e">
        <f>SUM(AJ85:AO85)</f>
        <v>#NAME?</v>
      </c>
      <c r="AQ85" s="591"/>
      <c r="AR85" s="592"/>
      <c r="AS85" s="593"/>
      <c r="AT85" s="594">
        <f>IF(AS85="Yes",U85,0)</f>
        <v>0</v>
      </c>
      <c r="AU85" s="595">
        <v>1</v>
      </c>
      <c r="AV85" s="596">
        <v>3</v>
      </c>
      <c r="AW85" s="597">
        <v>4</v>
      </c>
      <c r="AX85" s="598" t="e">
        <f>IF(AY85="Data missing","Data missing",IF(OR(AT85="",AU85="",AV85="",AW85=""),"",_XLL.RISKBINOMIAL(1,AT85)))</f>
        <v>#NAME?</v>
      </c>
      <c r="AY85" s="599" t="e">
        <f>IF(OR(AT85="",AU85="",AV85="",AW85=""),"Data missing",_XLL.RISKPERT(AU85,AV85,AW85))</f>
        <v>#NAME?</v>
      </c>
      <c r="AZ85" s="600" t="e">
        <f>IF(AY85="Data missing","Data missing",IF(OR(AT85="",AU85="",AV85="",AW85=""),"",AX85*AY85))</f>
        <v>#NAME?</v>
      </c>
      <c r="BA85" s="591"/>
      <c r="BB85" s="601" t="e">
        <f>IF($H85="","Identify Risk Owner",IF($H85=BB$16,$AZ85,0))</f>
        <v>#NAME?</v>
      </c>
      <c r="BC85" s="602">
        <f>IF($H85="","Identify Risk Owner",IF($H85=BC$16,$AZ85,0))</f>
        <v>0</v>
      </c>
      <c r="BD85" s="602">
        <f>IF($H85="","Identify Risk Owner",IF($H85=BD$16,$AZ85,0))</f>
        <v>0</v>
      </c>
      <c r="BE85" s="603">
        <f>IF($H85="","Identify risk owner",IF($H85=BE$16,$AZ85,0))</f>
        <v>0</v>
      </c>
      <c r="BF85" s="603">
        <f>IF($H85="","Identify risk owner",IF($H85=BF$16,$AZ85,0))</f>
        <v>0</v>
      </c>
      <c r="BG85" s="604">
        <f>IF($H85="","Identify risk owner",IF($H85=BG$16,$AZ85,0))</f>
        <v>0</v>
      </c>
      <c r="BH85" s="605" t="e">
        <f>SUM(BB85:BG85)</f>
        <v>#NAME?</v>
      </c>
    </row>
    <row r="86" spans="1:60" s="377" customFormat="1" ht="35.25" customHeight="1">
      <c r="A86" s="165">
        <v>50</v>
      </c>
      <c r="B86" s="521"/>
      <c r="C86" s="512"/>
      <c r="D86" s="513" t="s">
        <v>323</v>
      </c>
      <c r="E86" s="512"/>
      <c r="F86" s="512"/>
      <c r="G86" s="512"/>
      <c r="H86" s="664"/>
      <c r="I86" s="512"/>
      <c r="J86" s="512"/>
      <c r="K86" s="512"/>
      <c r="L86" s="512"/>
      <c r="M86" s="512"/>
      <c r="N86" s="512"/>
      <c r="O86" s="512"/>
      <c r="P86" s="512"/>
      <c r="Q86" s="512"/>
      <c r="R86" s="512"/>
      <c r="S86" s="512"/>
      <c r="T86" s="512"/>
      <c r="U86" s="512"/>
      <c r="V86" s="512"/>
      <c r="W86" s="512"/>
      <c r="X86" s="512"/>
      <c r="Y86" s="512"/>
      <c r="Z86" s="512"/>
      <c r="AA86" s="664"/>
      <c r="AB86" s="512"/>
      <c r="AC86" s="664"/>
      <c r="AD86" s="664"/>
      <c r="AE86" s="664"/>
      <c r="AF86" s="664"/>
      <c r="AG86" s="664"/>
      <c r="AH86" s="753"/>
      <c r="AI86" s="492"/>
      <c r="AQ86" s="378"/>
      <c r="BA86" s="378"/>
      <c r="BH86" s="374"/>
    </row>
    <row r="87" spans="1:60" s="27" customFormat="1" ht="48.75" customHeight="1">
      <c r="A87" s="165">
        <v>51</v>
      </c>
      <c r="B87" s="521">
        <v>58</v>
      </c>
      <c r="C87" s="496"/>
      <c r="D87" s="497" t="s">
        <v>559</v>
      </c>
      <c r="E87" s="496" t="s">
        <v>388</v>
      </c>
      <c r="F87" s="498" t="s">
        <v>322</v>
      </c>
      <c r="G87" s="498"/>
      <c r="H87" s="498" t="s">
        <v>190</v>
      </c>
      <c r="I87" s="498"/>
      <c r="J87" s="499" t="s">
        <v>140</v>
      </c>
      <c r="K87" s="499" t="s">
        <v>25</v>
      </c>
      <c r="L87" s="499" t="s">
        <v>25</v>
      </c>
      <c r="M87" s="500" t="str">
        <f aca="true" t="shared" si="64" ref="M87:M94">IF(OR(K87="",L87="",J87=""),"Data missing",IF(OR(K87="VH",L87="VH"),"VH",IF(OR(K87="H",L87="H"),"H",IF(OR(K87="M",L87="M"),"M",IF(OR(K87="L",L87="L"),"L",IF(OR(K87="VL",L87="VL"),"VL"))))))</f>
        <v>H</v>
      </c>
      <c r="N87" s="501" t="str">
        <f>IF(M87="Data missing","Data missing",IF(M87="VH","H",(IF(M87="H",HLOOKUP(J87,'3 - Prioritisation'!$D$16:$H$21,3,FALSE),IF(M87="M",HLOOKUP(J87,'3 - Prioritisation'!$D$16:$H$21,4,FALSE),IF(M87="L",HLOOKUP(J87,'3 - Prioritisation'!$D$16:$H$21,5,FALSE),IF(M87="VL",HLOOKUP(J87,'3 - Prioritisation'!$D$16:$H$21,6,FALSE))))))))</f>
        <v>M</v>
      </c>
      <c r="O87" s="502"/>
      <c r="P87" s="503" t="s">
        <v>397</v>
      </c>
      <c r="Q87" s="503" t="s">
        <v>398</v>
      </c>
      <c r="R87" s="504"/>
      <c r="S87" s="499"/>
      <c r="T87" s="505"/>
      <c r="U87" s="506">
        <v>0.5</v>
      </c>
      <c r="V87" s="499" t="s">
        <v>24</v>
      </c>
      <c r="W87" s="669" t="s">
        <v>140</v>
      </c>
      <c r="X87" s="499" t="s">
        <v>24</v>
      </c>
      <c r="Y87" s="500" t="str">
        <f aca="true" t="shared" si="65" ref="Y87:Y94">IF(OR(W87="",X87="",V87=""),"Data missing",IF(OR(W87="VH",X87="VH"),"VH",IF(OR(W87="H",X87="H"),"H",IF(OR(W87="M",X87="M"),"M",IF(OR(W87="L",X87="L"),"L",IF(OR(W87="VL",X87="VL"),"VL"))))))</f>
        <v>M</v>
      </c>
      <c r="Z87" s="501" t="str">
        <f>IF(Y87="Data missing","Data missing",IF(Y87="VH","H",(IF(Y87="H",HLOOKUP(V87,'3 - Prioritisation'!$D$16:$H$21,3,FALSE),IF(Y87="M",HLOOKUP(V87,'3 - Prioritisation'!$D$16:$H$21,4,FALSE),IF(Y87="L",HLOOKUP(V87,'3 - Prioritisation'!$D$16:$H$21,5,FALSE),IF(Y87="VL",HLOOKUP(V87,'3 - Prioritisation'!$D$16:$H$21,6,FALSE))))))))</f>
        <v>M</v>
      </c>
      <c r="AA87" s="507">
        <v>25000</v>
      </c>
      <c r="AB87" s="507">
        <v>50000</v>
      </c>
      <c r="AC87" s="507">
        <v>75000</v>
      </c>
      <c r="AD87" s="508">
        <f aca="true" t="shared" si="66" ref="AD87:AD94">U87*AB87</f>
        <v>25000</v>
      </c>
      <c r="AE87" s="509" t="e">
        <f>IF(AF87="Data missing","Data missing",IF(OR(U87="",AA87="",AB87="",AC87=""),"",_XLL.RISKBINOMIAL(1,U87)))</f>
        <v>#NAME?</v>
      </c>
      <c r="AF87" s="509" t="e">
        <f>IF(OR(U87="",AA87="",AB87="",AC87=""),"Data missing",_XLL.RISKPERT(AA87,AB87,AC87,_XLL.RISKNAME("Risk ID"&amp;B87),_XLL.RISKCOLLECT()))</f>
        <v>#NAME?</v>
      </c>
      <c r="AG87" s="511" t="e">
        <f aca="true" t="shared" si="67" ref="AG87:AG94">IF(AF87="Data missing","Data missing",IF(OR(U87="",AA87="",AB87="",AC87=""),"",AE87*AF87))</f>
        <v>#NAME?</v>
      </c>
      <c r="AH87" s="522" t="s">
        <v>590</v>
      </c>
      <c r="AI87" s="26"/>
      <c r="AJ87" s="34" t="e">
        <f aca="true" t="shared" si="68" ref="AJ87:AO95">IF($H87="","Identify Risk Owner",IF($H87=AJ$16,$AG87,0))</f>
        <v>#NAME?</v>
      </c>
      <c r="AK87" s="35">
        <f t="shared" si="68"/>
        <v>0</v>
      </c>
      <c r="AL87" s="35">
        <f t="shared" si="68"/>
        <v>0</v>
      </c>
      <c r="AM87" s="35">
        <f t="shared" si="68"/>
        <v>0</v>
      </c>
      <c r="AN87" s="35">
        <f t="shared" si="68"/>
        <v>0</v>
      </c>
      <c r="AO87" s="36">
        <f t="shared" si="68"/>
        <v>0</v>
      </c>
      <c r="AP87" s="37" t="e">
        <f aca="true" t="shared" si="69" ref="AP87:AP95">SUM(AJ87:AO87)</f>
        <v>#NAME?</v>
      </c>
      <c r="AR87" s="229"/>
      <c r="AS87" s="88"/>
      <c r="AT87" s="288">
        <f aca="true" t="shared" si="70" ref="AT87:AT96">IF(AS87="Yes",U87,0)</f>
        <v>0</v>
      </c>
      <c r="AU87" s="191">
        <v>4</v>
      </c>
      <c r="AV87" s="192">
        <v>6</v>
      </c>
      <c r="AW87" s="193">
        <v>10</v>
      </c>
      <c r="AX87" s="71" t="e">
        <f>IF(AY87="Data missing","Data missing",IF(OR(AT87="",AU87="",AV87="",AW87=""),"",_XLL.RISKBINOMIAL(1,AT87)))</f>
        <v>#NAME?</v>
      </c>
      <c r="AY87" s="95" t="e">
        <f>IF(OR(AT87="",AU87="",AV87="",AW87=""),"Data missing",_XLL.RISKPERT(AU87,AV87,AW87))</f>
        <v>#NAME?</v>
      </c>
      <c r="AZ87" s="96" t="e">
        <f aca="true" t="shared" si="71" ref="AZ87:AZ95">IF(AY87="Data missing","Data missing",IF(OR(AT87="",AU87="",AV87="",AW87=""),"",AX87*AY87))</f>
        <v>#NAME?</v>
      </c>
      <c r="BB87" s="283" t="e">
        <f aca="true" t="shared" si="72" ref="BB87:BD95">IF($H87="","Identify Risk Owner",IF($H87=BB$16,$AZ87,0))</f>
        <v>#NAME?</v>
      </c>
      <c r="BC87" s="289">
        <f t="shared" si="72"/>
        <v>0</v>
      </c>
      <c r="BD87" s="289">
        <f t="shared" si="72"/>
        <v>0</v>
      </c>
      <c r="BE87" s="284">
        <f aca="true" t="shared" si="73" ref="BE87:BG95">IF($H87="","Identify risk owner",IF($H87=BE$16,$AZ87,0))</f>
        <v>0</v>
      </c>
      <c r="BF87" s="284">
        <f t="shared" si="73"/>
        <v>0</v>
      </c>
      <c r="BG87" s="285">
        <f t="shared" si="73"/>
        <v>0</v>
      </c>
      <c r="BH87" s="286" t="e">
        <f aca="true" t="shared" si="74" ref="BH87:BH96">SUM(BB87:BG87)</f>
        <v>#NAME?</v>
      </c>
    </row>
    <row r="88" spans="1:60" s="27" customFormat="1" ht="75.75" customHeight="1">
      <c r="A88" s="165">
        <v>52</v>
      </c>
      <c r="B88" s="521">
        <v>59</v>
      </c>
      <c r="C88" s="496"/>
      <c r="D88" s="497" t="s">
        <v>472</v>
      </c>
      <c r="E88" s="496" t="s">
        <v>471</v>
      </c>
      <c r="F88" s="498" t="s">
        <v>322</v>
      </c>
      <c r="G88" s="498"/>
      <c r="H88" s="498" t="s">
        <v>190</v>
      </c>
      <c r="I88" s="498"/>
      <c r="J88" s="499" t="s">
        <v>24</v>
      </c>
      <c r="K88" s="499" t="s">
        <v>23</v>
      </c>
      <c r="L88" s="499" t="s">
        <v>26</v>
      </c>
      <c r="M88" s="500" t="str">
        <f t="shared" si="64"/>
        <v>VH</v>
      </c>
      <c r="N88" s="501" t="str">
        <f>IF(M88="Data missing","Data missing",IF(M88="VH","H",(IF(M88="H",HLOOKUP(J88,'3 - Prioritisation'!$D$16:$H$21,3,FALSE),IF(M88="M",HLOOKUP(J88,'3 - Prioritisation'!$D$16:$H$21,4,FALSE),IF(M88="L",HLOOKUP(J88,'3 - Prioritisation'!$D$16:$H$21,5,FALSE),IF(M88="VL",HLOOKUP(J88,'3 - Prioritisation'!$D$16:$H$21,6,FALSE))))))))</f>
        <v>H</v>
      </c>
      <c r="O88" s="502"/>
      <c r="P88" s="503" t="s">
        <v>473</v>
      </c>
      <c r="Q88" s="503" t="s">
        <v>533</v>
      </c>
      <c r="R88" s="504"/>
      <c r="S88" s="499"/>
      <c r="T88" s="505"/>
      <c r="U88" s="723">
        <v>0.2</v>
      </c>
      <c r="V88" s="499" t="s">
        <v>23</v>
      </c>
      <c r="W88" s="669" t="s">
        <v>23</v>
      </c>
      <c r="X88" s="499" t="s">
        <v>24</v>
      </c>
      <c r="Y88" s="500" t="str">
        <f t="shared" si="65"/>
        <v>M</v>
      </c>
      <c r="Z88" s="501" t="str">
        <f>IF(Y88="Data missing","Data missing",IF(Y88="VH","H",(IF(Y88="H",HLOOKUP(V88,'3 - Prioritisation'!$D$16:$H$21,3,FALSE),IF(Y88="M",HLOOKUP(V88,'3 - Prioritisation'!$D$16:$H$21,4,FALSE),IF(Y88="L",HLOOKUP(V88,'3 - Prioritisation'!$D$16:$H$21,5,FALSE),IF(Y88="VL",HLOOKUP(V88,'3 - Prioritisation'!$D$16:$H$21,6,FALSE))))))))</f>
        <v>M</v>
      </c>
      <c r="AA88" s="507">
        <v>100000</v>
      </c>
      <c r="AB88" s="507">
        <v>1250000</v>
      </c>
      <c r="AC88" s="507">
        <v>2500000</v>
      </c>
      <c r="AD88" s="508">
        <f t="shared" si="66"/>
        <v>250000</v>
      </c>
      <c r="AE88" s="509" t="e">
        <f>IF(AF88="Data missing","Data missing",IF(OR(U88="",AA88="",AB88="",AC88=""),"",_XLL.RISKBINOMIAL(1,U88)))</f>
        <v>#NAME?</v>
      </c>
      <c r="AF88" s="510" t="e">
        <f>IF(OR(U88="",AA88="",AB88="",AC88=""),"Data missing",_XLL.RISKPERT(AA88,AB88,AC88,_XLL.RISKNAME("Risk ID"&amp;B88),_XLL.RISKCOLLECT()))</f>
        <v>#NAME?</v>
      </c>
      <c r="AG88" s="511" t="e">
        <f t="shared" si="67"/>
        <v>#NAME?</v>
      </c>
      <c r="AH88" s="522" t="s">
        <v>686</v>
      </c>
      <c r="AI88" s="26"/>
      <c r="AJ88" s="34" t="e">
        <f t="shared" si="68"/>
        <v>#NAME?</v>
      </c>
      <c r="AK88" s="35">
        <f t="shared" si="68"/>
        <v>0</v>
      </c>
      <c r="AL88" s="35">
        <f t="shared" si="68"/>
        <v>0</v>
      </c>
      <c r="AM88" s="35">
        <f t="shared" si="68"/>
        <v>0</v>
      </c>
      <c r="AN88" s="35">
        <f t="shared" si="68"/>
        <v>0</v>
      </c>
      <c r="AO88" s="36">
        <f t="shared" si="68"/>
        <v>0</v>
      </c>
      <c r="AP88" s="37" t="e">
        <f t="shared" si="69"/>
        <v>#NAME?</v>
      </c>
      <c r="AR88" s="229"/>
      <c r="AS88" s="88"/>
      <c r="AT88" s="288">
        <f t="shared" si="70"/>
        <v>0</v>
      </c>
      <c r="AU88" s="191">
        <v>5</v>
      </c>
      <c r="AV88" s="192">
        <v>7</v>
      </c>
      <c r="AW88" s="193">
        <v>10</v>
      </c>
      <c r="AX88" s="71" t="e">
        <f>IF(AY88="Data missing","Data missing",IF(OR(AT88="",AU88="",AV88="",AW88=""),"",_XLL.RISKBINOMIAL(1,AT88)))</f>
        <v>#NAME?</v>
      </c>
      <c r="AY88" s="95" t="e">
        <f>IF(OR(AT88="",AU88="",AV88="",AW88=""),"Data missing",_XLL.RISKPERT(AU88,AV88,AW88))</f>
        <v>#NAME?</v>
      </c>
      <c r="AZ88" s="96" t="e">
        <f t="shared" si="71"/>
        <v>#NAME?</v>
      </c>
      <c r="BB88" s="283" t="e">
        <f t="shared" si="72"/>
        <v>#NAME?</v>
      </c>
      <c r="BC88" s="289">
        <f t="shared" si="72"/>
        <v>0</v>
      </c>
      <c r="BD88" s="289">
        <f t="shared" si="72"/>
        <v>0</v>
      </c>
      <c r="BE88" s="284">
        <f t="shared" si="73"/>
        <v>0</v>
      </c>
      <c r="BF88" s="284">
        <f t="shared" si="73"/>
        <v>0</v>
      </c>
      <c r="BG88" s="285">
        <f t="shared" si="73"/>
        <v>0</v>
      </c>
      <c r="BH88" s="286" t="e">
        <f t="shared" si="74"/>
        <v>#NAME?</v>
      </c>
    </row>
    <row r="89" spans="1:60" s="27" customFormat="1" ht="36" customHeight="1">
      <c r="A89" s="165">
        <v>53</v>
      </c>
      <c r="B89" s="521">
        <v>60</v>
      </c>
      <c r="C89" s="496"/>
      <c r="D89" s="497" t="s">
        <v>356</v>
      </c>
      <c r="E89" s="496" t="s">
        <v>380</v>
      </c>
      <c r="F89" s="498" t="s">
        <v>322</v>
      </c>
      <c r="G89" s="498"/>
      <c r="H89" s="498" t="s">
        <v>190</v>
      </c>
      <c r="I89" s="498"/>
      <c r="J89" s="499" t="s">
        <v>23</v>
      </c>
      <c r="K89" s="499" t="s">
        <v>23</v>
      </c>
      <c r="L89" s="499" t="s">
        <v>24</v>
      </c>
      <c r="M89" s="500" t="str">
        <f t="shared" si="64"/>
        <v>M</v>
      </c>
      <c r="N89" s="501" t="str">
        <f>IF(M89="Data missing","Data missing",IF(M89="VH","H",(IF(M89="H",HLOOKUP(J89,'3 - Prioritisation'!$D$16:$H$21,3,FALSE),IF(M89="M",HLOOKUP(J89,'3 - Prioritisation'!$D$16:$H$21,4,FALSE),IF(M89="L",HLOOKUP(J89,'3 - Prioritisation'!$D$16:$H$21,5,FALSE),IF(M89="VL",HLOOKUP(J89,'3 - Prioritisation'!$D$16:$H$21,6,FALSE))))))))</f>
        <v>M</v>
      </c>
      <c r="O89" s="502"/>
      <c r="P89" s="503" t="s">
        <v>406</v>
      </c>
      <c r="Q89" s="503"/>
      <c r="R89" s="504"/>
      <c r="S89" s="499"/>
      <c r="T89" s="505"/>
      <c r="U89" s="506">
        <v>0.15</v>
      </c>
      <c r="V89" s="499" t="s">
        <v>23</v>
      </c>
      <c r="W89" s="499" t="s">
        <v>140</v>
      </c>
      <c r="X89" s="499" t="s">
        <v>25</v>
      </c>
      <c r="Y89" s="500" t="str">
        <f t="shared" si="65"/>
        <v>H</v>
      </c>
      <c r="Z89" s="501" t="str">
        <f>IF(Y89="Data missing","Data missing",IF(Y89="VH","H",(IF(Y89="H",HLOOKUP(V89,'3 - Prioritisation'!$D$16:$H$21,3,FALSE),IF(Y89="M",HLOOKUP(V89,'3 - Prioritisation'!$D$16:$H$21,4,FALSE),IF(Y89="L",HLOOKUP(V89,'3 - Prioritisation'!$D$16:$H$21,5,FALSE),IF(Y89="VL",HLOOKUP(V89,'3 - Prioritisation'!$D$16:$H$21,6,FALSE))))))))</f>
        <v>M</v>
      </c>
      <c r="AA89" s="507">
        <v>10000</v>
      </c>
      <c r="AB89" s="507">
        <v>30000</v>
      </c>
      <c r="AC89" s="507">
        <v>50000</v>
      </c>
      <c r="AD89" s="508">
        <f t="shared" si="66"/>
        <v>4500</v>
      </c>
      <c r="AE89" s="509" t="e">
        <f>IF(AF89="Data missing","Data missing",IF(OR(U89="",AA89="",AB89="",AC89=""),"",_XLL.RISKBINOMIAL(1,U89)))</f>
        <v>#NAME?</v>
      </c>
      <c r="AF89" s="510" t="e">
        <f>IF(OR(U89="",AA89="",AB89="",AC89=""),"Data missing",_XLL.RISKPERT(AA89,AB89,AC89,_XLL.RISKNAME("Risk ID"&amp;B89),_XLL.RISKCOLLECT()))</f>
        <v>#NAME?</v>
      </c>
      <c r="AG89" s="511" t="e">
        <f t="shared" si="67"/>
        <v>#NAME?</v>
      </c>
      <c r="AH89" s="522" t="s">
        <v>416</v>
      </c>
      <c r="AI89" s="26"/>
      <c r="AJ89" s="34" t="e">
        <f t="shared" si="68"/>
        <v>#NAME?</v>
      </c>
      <c r="AK89" s="35">
        <f t="shared" si="68"/>
        <v>0</v>
      </c>
      <c r="AL89" s="35">
        <f t="shared" si="68"/>
        <v>0</v>
      </c>
      <c r="AM89" s="35">
        <f t="shared" si="68"/>
        <v>0</v>
      </c>
      <c r="AN89" s="35">
        <f t="shared" si="68"/>
        <v>0</v>
      </c>
      <c r="AO89" s="36">
        <f t="shared" si="68"/>
        <v>0</v>
      </c>
      <c r="AP89" s="37" t="e">
        <f t="shared" si="69"/>
        <v>#NAME?</v>
      </c>
      <c r="AR89" s="229"/>
      <c r="AS89" s="88"/>
      <c r="AT89" s="288">
        <f t="shared" si="70"/>
        <v>0</v>
      </c>
      <c r="AU89" s="191">
        <v>2</v>
      </c>
      <c r="AV89" s="192">
        <v>5</v>
      </c>
      <c r="AW89" s="193">
        <v>10</v>
      </c>
      <c r="AX89" s="71" t="e">
        <f>IF(AY89="Data missing","Data missing",IF(OR(AT89="",AU89="",AV89="",AW89=""),"",_XLL.RISKBINOMIAL(1,AT89)))</f>
        <v>#NAME?</v>
      </c>
      <c r="AY89" s="95" t="e">
        <f>IF(OR(AT89="",AU89="",AV89="",AW89=""),"Data missing",_XLL.RISKPERT(AU89,AV89,AW89))</f>
        <v>#NAME?</v>
      </c>
      <c r="AZ89" s="96" t="e">
        <f t="shared" si="71"/>
        <v>#NAME?</v>
      </c>
      <c r="BB89" s="283" t="e">
        <f t="shared" si="72"/>
        <v>#NAME?</v>
      </c>
      <c r="BC89" s="289">
        <f t="shared" si="72"/>
        <v>0</v>
      </c>
      <c r="BD89" s="289">
        <f t="shared" si="72"/>
        <v>0</v>
      </c>
      <c r="BE89" s="284">
        <f t="shared" si="73"/>
        <v>0</v>
      </c>
      <c r="BF89" s="284">
        <f t="shared" si="73"/>
        <v>0</v>
      </c>
      <c r="BG89" s="285">
        <f t="shared" si="73"/>
        <v>0</v>
      </c>
      <c r="BH89" s="286" t="e">
        <f t="shared" si="74"/>
        <v>#NAME?</v>
      </c>
    </row>
    <row r="90" spans="1:60" s="27" customFormat="1" ht="66.75" customHeight="1">
      <c r="A90" s="165">
        <v>54</v>
      </c>
      <c r="B90" s="521">
        <v>61</v>
      </c>
      <c r="C90" s="496"/>
      <c r="D90" s="497" t="s">
        <v>479</v>
      </c>
      <c r="E90" s="496" t="s">
        <v>480</v>
      </c>
      <c r="F90" s="498" t="s">
        <v>322</v>
      </c>
      <c r="G90" s="498"/>
      <c r="H90" s="498" t="s">
        <v>190</v>
      </c>
      <c r="I90" s="498"/>
      <c r="J90" s="499" t="s">
        <v>26</v>
      </c>
      <c r="K90" s="499" t="s">
        <v>24</v>
      </c>
      <c r="L90" s="499" t="s">
        <v>140</v>
      </c>
      <c r="M90" s="500" t="str">
        <f t="shared" si="64"/>
        <v>M</v>
      </c>
      <c r="N90" s="501" t="str">
        <f>IF(M90="Data missing","Data missing",IF(M90="VH","H",(IF(M90="H",HLOOKUP(J90,'3 - Prioritisation'!$D$16:$H$21,3,FALSE),IF(M90="M",HLOOKUP(J90,'3 - Prioritisation'!$D$16:$H$21,4,FALSE),IF(M90="L",HLOOKUP(J90,'3 - Prioritisation'!$D$16:$H$21,5,FALSE),IF(M90="VL",HLOOKUP(J90,'3 - Prioritisation'!$D$16:$H$21,6,FALSE))))))))</f>
        <v>H</v>
      </c>
      <c r="O90" s="502"/>
      <c r="P90" s="503" t="s">
        <v>482</v>
      </c>
      <c r="Q90" s="503" t="s">
        <v>481</v>
      </c>
      <c r="R90" s="504"/>
      <c r="S90" s="499"/>
      <c r="T90" s="505"/>
      <c r="U90" s="506">
        <v>0.5</v>
      </c>
      <c r="V90" s="499" t="s">
        <v>24</v>
      </c>
      <c r="W90" s="499" t="s">
        <v>23</v>
      </c>
      <c r="X90" s="499" t="s">
        <v>140</v>
      </c>
      <c r="Y90" s="500" t="str">
        <f t="shared" si="65"/>
        <v>L</v>
      </c>
      <c r="Z90" s="501" t="str">
        <f>IF(Y90="Data missing","Data missing",IF(Y90="VH","H",(IF(Y90="H",HLOOKUP(V90,'3 - Prioritisation'!$D$16:$H$21,3,FALSE),IF(Y90="M",HLOOKUP(V90,'3 - Prioritisation'!$D$16:$H$21,4,FALSE),IF(Y90="L",HLOOKUP(V90,'3 - Prioritisation'!$D$16:$H$21,5,FALSE),IF(Y90="VL",HLOOKUP(V90,'3 - Prioritisation'!$D$16:$H$21,6,FALSE))))))))</f>
        <v>L</v>
      </c>
      <c r="AA90" s="507">
        <v>150000</v>
      </c>
      <c r="AB90" s="507">
        <v>1250000</v>
      </c>
      <c r="AC90" s="507">
        <v>2500000</v>
      </c>
      <c r="AD90" s="508">
        <f t="shared" si="66"/>
        <v>625000</v>
      </c>
      <c r="AE90" s="509" t="e">
        <f>IF(AF90="Data missing","Data missing",IF(OR(U90="",AA90="",AB90="",AC90=""),"",_XLL.RISKBINOMIAL(1,U90)))</f>
        <v>#NAME?</v>
      </c>
      <c r="AF90" s="510" t="e">
        <f>IF(OR(U90="",AA90="",AB90="",AC90=""),"Data missing",_XLL.RISKPERT(AA90,AB90,AC90,_XLL.RISKNAME("Risk ID"&amp;B90),_XLL.RISKCOLLECT()))</f>
        <v>#NAME?</v>
      </c>
      <c r="AG90" s="511" t="e">
        <f t="shared" si="67"/>
        <v>#NAME?</v>
      </c>
      <c r="AH90" s="522" t="s">
        <v>687</v>
      </c>
      <c r="AI90" s="26"/>
      <c r="AJ90" s="34" t="e">
        <f t="shared" si="68"/>
        <v>#NAME?</v>
      </c>
      <c r="AK90" s="35">
        <f t="shared" si="68"/>
        <v>0</v>
      </c>
      <c r="AL90" s="35">
        <f t="shared" si="68"/>
        <v>0</v>
      </c>
      <c r="AM90" s="35">
        <f t="shared" si="68"/>
        <v>0</v>
      </c>
      <c r="AN90" s="35">
        <f t="shared" si="68"/>
        <v>0</v>
      </c>
      <c r="AO90" s="36">
        <f t="shared" si="68"/>
        <v>0</v>
      </c>
      <c r="AP90" s="37" t="e">
        <f t="shared" si="69"/>
        <v>#NAME?</v>
      </c>
      <c r="AR90" s="229"/>
      <c r="AS90" s="88"/>
      <c r="AT90" s="288">
        <f t="shared" si="70"/>
        <v>0</v>
      </c>
      <c r="AU90" s="191">
        <v>1</v>
      </c>
      <c r="AV90" s="192">
        <v>3</v>
      </c>
      <c r="AW90" s="193">
        <v>4</v>
      </c>
      <c r="AX90" s="71" t="e">
        <f>IF(AY90="Data missing","Data missing",IF(OR(AT90="",AU90="",AV90="",AW90=""),"",_XLL.RISKBINOMIAL(1,AT90)))</f>
        <v>#NAME?</v>
      </c>
      <c r="AY90" s="95" t="e">
        <f>IF(OR(AT90="",AU90="",AV90="",AW90=""),"Data missing",_XLL.RISKPERT(AU90,AV90,AW90))</f>
        <v>#NAME?</v>
      </c>
      <c r="AZ90" s="96" t="e">
        <f t="shared" si="71"/>
        <v>#NAME?</v>
      </c>
      <c r="BB90" s="283" t="e">
        <f t="shared" si="72"/>
        <v>#NAME?</v>
      </c>
      <c r="BC90" s="289">
        <f t="shared" si="72"/>
        <v>0</v>
      </c>
      <c r="BD90" s="289">
        <f t="shared" si="72"/>
        <v>0</v>
      </c>
      <c r="BE90" s="284">
        <f t="shared" si="73"/>
        <v>0</v>
      </c>
      <c r="BF90" s="284">
        <f t="shared" si="73"/>
        <v>0</v>
      </c>
      <c r="BG90" s="285">
        <f t="shared" si="73"/>
        <v>0</v>
      </c>
      <c r="BH90" s="286" t="e">
        <f t="shared" si="74"/>
        <v>#NAME?</v>
      </c>
    </row>
    <row r="91" spans="1:60" s="27" customFormat="1" ht="47.25" customHeight="1">
      <c r="A91" s="165">
        <v>55</v>
      </c>
      <c r="B91" s="521">
        <v>62</v>
      </c>
      <c r="C91" s="496"/>
      <c r="D91" s="497" t="s">
        <v>503</v>
      </c>
      <c r="E91" s="496" t="s">
        <v>504</v>
      </c>
      <c r="F91" s="498" t="s">
        <v>322</v>
      </c>
      <c r="G91" s="498"/>
      <c r="H91" s="498" t="s">
        <v>190</v>
      </c>
      <c r="I91" s="498"/>
      <c r="J91" s="499" t="s">
        <v>25</v>
      </c>
      <c r="K91" s="499" t="s">
        <v>25</v>
      </c>
      <c r="L91" s="499" t="s">
        <v>26</v>
      </c>
      <c r="M91" s="500" t="str">
        <f t="shared" si="64"/>
        <v>VH</v>
      </c>
      <c r="N91" s="501" t="str">
        <f>IF(M91="Data missing","Data missing",IF(M91="VH","H",(IF(M91="H",HLOOKUP(J91,'3 - Prioritisation'!$D$16:$H$21,3,FALSE),IF(M91="M",HLOOKUP(J91,'3 - Prioritisation'!$D$16:$H$21,4,FALSE),IF(M91="L",HLOOKUP(J91,'3 - Prioritisation'!$D$16:$H$21,5,FALSE),IF(M91="VL",HLOOKUP(J91,'3 - Prioritisation'!$D$16:$H$21,6,FALSE))))))))</f>
        <v>H</v>
      </c>
      <c r="O91" s="502"/>
      <c r="P91" s="503" t="s">
        <v>505</v>
      </c>
      <c r="Q91" s="503" t="s">
        <v>506</v>
      </c>
      <c r="R91" s="504"/>
      <c r="S91" s="499"/>
      <c r="T91" s="505"/>
      <c r="U91" s="506">
        <v>0.5</v>
      </c>
      <c r="V91" s="499" t="s">
        <v>24</v>
      </c>
      <c r="W91" s="499" t="s">
        <v>25</v>
      </c>
      <c r="X91" s="499" t="s">
        <v>25</v>
      </c>
      <c r="Y91" s="500" t="str">
        <f t="shared" si="65"/>
        <v>H</v>
      </c>
      <c r="Z91" s="501" t="str">
        <f>IF(Y91="Data missing","Data missing",IF(Y91="VH","H",(IF(Y91="H",HLOOKUP(V91,'3 - Prioritisation'!$D$16:$H$21,3,FALSE),IF(Y91="M",HLOOKUP(V91,'3 - Prioritisation'!$D$16:$H$21,4,FALSE),IF(Y91="L",HLOOKUP(V91,'3 - Prioritisation'!$D$16:$H$21,5,FALSE),IF(Y91="VL",HLOOKUP(V91,'3 - Prioritisation'!$D$16:$H$21,6,FALSE))))))))</f>
        <v>H</v>
      </c>
      <c r="AA91" s="507">
        <v>500000</v>
      </c>
      <c r="AB91" s="507">
        <v>1000000</v>
      </c>
      <c r="AC91" s="507">
        <v>1500000</v>
      </c>
      <c r="AD91" s="508">
        <f t="shared" si="66"/>
        <v>500000</v>
      </c>
      <c r="AE91" s="509" t="e">
        <f>IF(AF91="Data missing","Data missing",IF(OR(U91="",AA91="",AB91="",AC91=""),"",_XLL.RISKBINOMIAL(1,U91)))</f>
        <v>#NAME?</v>
      </c>
      <c r="AF91" s="510" t="e">
        <f>IF(OR(U91="",AA91="",AB91="",AC91=""),"Data missing",_XLL.RISKPERT(AA91,AB91,AC91,_XLL.RISKNAME("Risk ID"&amp;B91),_XLL.RISKCOLLECT()))</f>
        <v>#NAME?</v>
      </c>
      <c r="AG91" s="511" t="e">
        <f t="shared" si="67"/>
        <v>#NAME?</v>
      </c>
      <c r="AH91" s="522" t="s">
        <v>582</v>
      </c>
      <c r="AI91" s="26"/>
      <c r="AJ91" s="587" t="e">
        <f t="shared" si="68"/>
        <v>#NAME?</v>
      </c>
      <c r="AK91" s="588">
        <f t="shared" si="68"/>
        <v>0</v>
      </c>
      <c r="AL91" s="588">
        <f t="shared" si="68"/>
        <v>0</v>
      </c>
      <c r="AM91" s="588">
        <f t="shared" si="68"/>
        <v>0</v>
      </c>
      <c r="AN91" s="588">
        <f t="shared" si="68"/>
        <v>0</v>
      </c>
      <c r="AO91" s="589">
        <f t="shared" si="68"/>
        <v>0</v>
      </c>
      <c r="AP91" s="590" t="e">
        <f t="shared" si="69"/>
        <v>#NAME?</v>
      </c>
      <c r="AQ91" s="591"/>
      <c r="AR91" s="592"/>
      <c r="AS91" s="593"/>
      <c r="AT91" s="594">
        <f t="shared" si="70"/>
        <v>0</v>
      </c>
      <c r="AU91" s="595">
        <v>1</v>
      </c>
      <c r="AV91" s="596">
        <v>2</v>
      </c>
      <c r="AW91" s="597">
        <v>4</v>
      </c>
      <c r="AX91" s="598" t="e">
        <f>IF(AY91="Data missing","Data missing",IF(OR(AT91="",AU91="",AV91="",AW91=""),"",_XLL.RISKBINOMIAL(1,AT91)))</f>
        <v>#NAME?</v>
      </c>
      <c r="AY91" s="599" t="e">
        <f>IF(OR(AT91="",AU91="",AV91="",AW91=""),"Data missing",_XLL.RISKPERT(AU91,AV91,AW91))</f>
        <v>#NAME?</v>
      </c>
      <c r="AZ91" s="600" t="e">
        <f t="shared" si="71"/>
        <v>#NAME?</v>
      </c>
      <c r="BB91" s="601" t="e">
        <f t="shared" si="72"/>
        <v>#NAME?</v>
      </c>
      <c r="BC91" s="602">
        <f t="shared" si="72"/>
        <v>0</v>
      </c>
      <c r="BD91" s="602">
        <f t="shared" si="72"/>
        <v>0</v>
      </c>
      <c r="BE91" s="603">
        <f t="shared" si="73"/>
        <v>0</v>
      </c>
      <c r="BF91" s="603">
        <f t="shared" si="73"/>
        <v>0</v>
      </c>
      <c r="BG91" s="604">
        <f t="shared" si="73"/>
        <v>0</v>
      </c>
      <c r="BH91" s="605" t="e">
        <f t="shared" si="74"/>
        <v>#NAME?</v>
      </c>
    </row>
    <row r="92" spans="1:60" s="27" customFormat="1" ht="79.5" customHeight="1">
      <c r="A92" s="165">
        <v>56</v>
      </c>
      <c r="B92" s="521">
        <v>63</v>
      </c>
      <c r="C92" s="496"/>
      <c r="D92" s="685" t="s">
        <v>646</v>
      </c>
      <c r="E92" s="682" t="s">
        <v>491</v>
      </c>
      <c r="F92" s="498" t="s">
        <v>608</v>
      </c>
      <c r="G92" s="498"/>
      <c r="H92" s="498" t="s">
        <v>190</v>
      </c>
      <c r="I92" s="716"/>
      <c r="J92" s="669" t="s">
        <v>24</v>
      </c>
      <c r="K92" s="669" t="s">
        <v>24</v>
      </c>
      <c r="L92" s="669" t="s">
        <v>24</v>
      </c>
      <c r="M92" s="500" t="str">
        <f t="shared" si="64"/>
        <v>M</v>
      </c>
      <c r="N92" s="718" t="str">
        <f>IF(M92="Data missing","Data missing",IF(M92="VH","H",(IF(M92="H",HLOOKUP(J92,'3 - Prioritisation'!$D$16:$H$21,3,FALSE),IF(M92="M",HLOOKUP(J92,'3 - Prioritisation'!$D$16:$H$21,4,FALSE),IF(M92="L",HLOOKUP(J92,'3 - Prioritisation'!$D$16:$H$21,5,FALSE),IF(M92="VL",HLOOKUP(J92,'3 - Prioritisation'!$D$16:$H$21,6,FALSE))))))))</f>
        <v>M</v>
      </c>
      <c r="O92" s="719"/>
      <c r="P92" s="720" t="s">
        <v>510</v>
      </c>
      <c r="Q92" s="720" t="s">
        <v>511</v>
      </c>
      <c r="R92" s="721"/>
      <c r="S92" s="669"/>
      <c r="T92" s="722"/>
      <c r="U92" s="723">
        <v>0</v>
      </c>
      <c r="V92" s="669" t="s">
        <v>23</v>
      </c>
      <c r="W92" s="669" t="s">
        <v>25</v>
      </c>
      <c r="X92" s="669" t="s">
        <v>26</v>
      </c>
      <c r="Y92" s="717" t="str">
        <f t="shared" si="65"/>
        <v>VH</v>
      </c>
      <c r="Z92" s="718" t="str">
        <f>IF(Y92="Data missing","Data missing",IF(Y92="VH","H",(IF(Y92="H",HLOOKUP(V92,'3 - Prioritisation'!$D$16:$H$21,3,FALSE),IF(Y92="M",HLOOKUP(V92,'3 - Prioritisation'!$D$16:$H$21,4,FALSE),IF(Y92="L",HLOOKUP(V92,'3 - Prioritisation'!$D$16:$H$21,5,FALSE),IF(Y92="VL",HLOOKUP(V92,'3 - Prioritisation'!$D$16:$H$21,6,FALSE))))))))</f>
        <v>H</v>
      </c>
      <c r="AA92" s="743">
        <f>9*140000+100000</f>
        <v>1360000</v>
      </c>
      <c r="AB92" s="743">
        <f>12*140000+100000</f>
        <v>1780000</v>
      </c>
      <c r="AC92" s="743">
        <f>20*140000+100000</f>
        <v>2900000</v>
      </c>
      <c r="AD92" s="508"/>
      <c r="AE92" s="508"/>
      <c r="AF92" s="508"/>
      <c r="AG92" s="508"/>
      <c r="AH92" s="522" t="s">
        <v>661</v>
      </c>
      <c r="AI92" s="26"/>
      <c r="AJ92" s="587"/>
      <c r="AK92" s="588"/>
      <c r="AL92" s="588"/>
      <c r="AM92" s="588"/>
      <c r="AN92" s="588"/>
      <c r="AO92" s="589"/>
      <c r="AP92" s="590"/>
      <c r="AQ92" s="591"/>
      <c r="AR92" s="592"/>
      <c r="AS92" s="593"/>
      <c r="AT92" s="594">
        <f t="shared" si="70"/>
        <v>0</v>
      </c>
      <c r="AU92" s="595">
        <v>1</v>
      </c>
      <c r="AV92" s="596">
        <v>2</v>
      </c>
      <c r="AW92" s="597">
        <v>4</v>
      </c>
      <c r="AX92" s="598" t="e">
        <f>IF(AY92="Data missing","Data missing",IF(OR(AT92="",AU92="",AV92="",AW92=""),"",_XLL.RISKBINOMIAL(1,AT92)))</f>
        <v>#NAME?</v>
      </c>
      <c r="AY92" s="599" t="e">
        <f>IF(OR(AT92="",AU92="",AV92="",AW92=""),"Data missing",_XLL.RISKPERT(AU92,AV92,AW92))</f>
        <v>#NAME?</v>
      </c>
      <c r="AZ92" s="600" t="e">
        <f t="shared" si="71"/>
        <v>#NAME?</v>
      </c>
      <c r="BB92" s="601" t="e">
        <f t="shared" si="72"/>
        <v>#NAME?</v>
      </c>
      <c r="BC92" s="602">
        <f t="shared" si="72"/>
        <v>0</v>
      </c>
      <c r="BD92" s="602">
        <f t="shared" si="72"/>
        <v>0</v>
      </c>
      <c r="BE92" s="603">
        <f t="shared" si="73"/>
        <v>0</v>
      </c>
      <c r="BF92" s="603">
        <f t="shared" si="73"/>
        <v>0</v>
      </c>
      <c r="BG92" s="604">
        <f t="shared" si="73"/>
        <v>0</v>
      </c>
      <c r="BH92" s="605" t="e">
        <f t="shared" si="74"/>
        <v>#NAME?</v>
      </c>
    </row>
    <row r="93" spans="1:60" s="27" customFormat="1" ht="82.5" customHeight="1">
      <c r="A93" s="165"/>
      <c r="B93" s="634">
        <v>63</v>
      </c>
      <c r="C93" s="496"/>
      <c r="D93" s="685" t="s">
        <v>647</v>
      </c>
      <c r="E93" s="682" t="s">
        <v>648</v>
      </c>
      <c r="F93" s="498" t="s">
        <v>322</v>
      </c>
      <c r="G93" s="498"/>
      <c r="H93" s="498" t="s">
        <v>190</v>
      </c>
      <c r="I93" s="716"/>
      <c r="J93" s="669" t="s">
        <v>24</v>
      </c>
      <c r="K93" s="669" t="s">
        <v>24</v>
      </c>
      <c r="L93" s="669" t="s">
        <v>24</v>
      </c>
      <c r="M93" s="500" t="str">
        <f t="shared" si="64"/>
        <v>M</v>
      </c>
      <c r="N93" s="718" t="str">
        <f>IF(M93="Data missing","Data missing",IF(M93="VH","H",(IF(M93="H",HLOOKUP(J93,'3 - Prioritisation'!$D$16:$H$21,3,FALSE),IF(M93="M",HLOOKUP(J93,'3 - Prioritisation'!$D$16:$H$21,4,FALSE),IF(M93="L",HLOOKUP(J93,'3 - Prioritisation'!$D$16:$H$21,5,FALSE),IF(M93="VL",HLOOKUP(J93,'3 - Prioritisation'!$D$16:$H$21,6,FALSE))))))))</f>
        <v>M</v>
      </c>
      <c r="O93" s="719"/>
      <c r="P93" s="720" t="s">
        <v>510</v>
      </c>
      <c r="Q93" s="720" t="s">
        <v>511</v>
      </c>
      <c r="R93" s="721"/>
      <c r="S93" s="669"/>
      <c r="T93" s="722"/>
      <c r="U93" s="723">
        <v>0.8</v>
      </c>
      <c r="V93" s="669" t="s">
        <v>26</v>
      </c>
      <c r="W93" s="669" t="s">
        <v>25</v>
      </c>
      <c r="X93" s="669" t="s">
        <v>26</v>
      </c>
      <c r="Y93" s="717" t="str">
        <f t="shared" si="65"/>
        <v>VH</v>
      </c>
      <c r="Z93" s="718" t="str">
        <f>IF(Y93="Data missing","Data missing",IF(Y93="VH","H",(IF(Y93="H",HLOOKUP(V93,'3 - Prioritisation'!$D$16:$H$21,3,FALSE),IF(Y93="M",HLOOKUP(V93,'3 - Prioritisation'!$D$16:$H$21,4,FALSE),IF(Y93="L",HLOOKUP(V93,'3 - Prioritisation'!$D$16:$H$21,5,FALSE),IF(Y93="VL",HLOOKUP(V93,'3 - Prioritisation'!$D$16:$H$21,6,FALSE))))))))</f>
        <v>H</v>
      </c>
      <c r="AA93" s="743">
        <v>300000</v>
      </c>
      <c r="AB93" s="743">
        <v>4200000</v>
      </c>
      <c r="AC93" s="743">
        <v>5000000</v>
      </c>
      <c r="AD93" s="508">
        <f t="shared" si="66"/>
        <v>3360000</v>
      </c>
      <c r="AE93" s="509" t="e">
        <f>IF(AF93="Data missing","Data missing",IF(OR(U93="",AA93="",AB93="",AC93=""),"",_XLL.RISKBINOMIAL(1,U93)))</f>
        <v>#NAME?</v>
      </c>
      <c r="AF93" s="510" t="e">
        <f>IF(OR(U93="",AA93="",AB93="",AC93=""),"Data missing",_XLL.RISKPERT(AA93,AB93,AC93,_XLL.RISKNAME("Risk ID"&amp;B93),_XLL.RISKCOLLECT()))</f>
        <v>#NAME?</v>
      </c>
      <c r="AG93" s="511" t="e">
        <f t="shared" si="67"/>
        <v>#NAME?</v>
      </c>
      <c r="AH93" s="522" t="s">
        <v>695</v>
      </c>
      <c r="AI93" s="26"/>
      <c r="AJ93" s="587" t="e">
        <f t="shared" si="68"/>
        <v>#NAME?</v>
      </c>
      <c r="AK93" s="588">
        <f t="shared" si="68"/>
        <v>0</v>
      </c>
      <c r="AL93" s="588">
        <f t="shared" si="68"/>
        <v>0</v>
      </c>
      <c r="AM93" s="588">
        <f t="shared" si="68"/>
        <v>0</v>
      </c>
      <c r="AN93" s="588">
        <f t="shared" si="68"/>
        <v>0</v>
      </c>
      <c r="AO93" s="589">
        <f t="shared" si="68"/>
        <v>0</v>
      </c>
      <c r="AP93" s="590" t="e">
        <f t="shared" si="69"/>
        <v>#NAME?</v>
      </c>
      <c r="AQ93" s="591"/>
      <c r="AR93" s="592"/>
      <c r="AS93" s="593"/>
      <c r="AT93" s="594">
        <f t="shared" si="70"/>
        <v>0</v>
      </c>
      <c r="AU93" s="595">
        <v>1</v>
      </c>
      <c r="AV93" s="596">
        <v>2</v>
      </c>
      <c r="AW93" s="597">
        <v>4</v>
      </c>
      <c r="AX93" s="598" t="e">
        <f>IF(AY93="Data missing","Data missing",IF(OR(AT93="",AU93="",AV93="",AW93=""),"",_XLL.RISKBINOMIAL(1,AT93)))</f>
        <v>#NAME?</v>
      </c>
      <c r="AY93" s="599" t="e">
        <f>IF(OR(AT93="",AU93="",AV93="",AW93=""),"Data missing",_XLL.RISKPERT(AU93,AV93,AW93))</f>
        <v>#NAME?</v>
      </c>
      <c r="AZ93" s="600" t="e">
        <f t="shared" si="71"/>
        <v>#NAME?</v>
      </c>
      <c r="BB93" s="601" t="e">
        <f t="shared" si="72"/>
        <v>#NAME?</v>
      </c>
      <c r="BC93" s="602">
        <f t="shared" si="72"/>
        <v>0</v>
      </c>
      <c r="BD93" s="602">
        <f t="shared" si="72"/>
        <v>0</v>
      </c>
      <c r="BE93" s="603">
        <f t="shared" si="73"/>
        <v>0</v>
      </c>
      <c r="BF93" s="603">
        <f t="shared" si="73"/>
        <v>0</v>
      </c>
      <c r="BG93" s="604">
        <f t="shared" si="73"/>
        <v>0</v>
      </c>
      <c r="BH93" s="605" t="e">
        <f t="shared" si="74"/>
        <v>#NAME?</v>
      </c>
    </row>
    <row r="94" spans="1:60" s="27" customFormat="1" ht="47.25" customHeight="1">
      <c r="A94" s="165"/>
      <c r="B94" s="634">
        <v>64</v>
      </c>
      <c r="C94" s="635"/>
      <c r="D94" s="685" t="s">
        <v>649</v>
      </c>
      <c r="E94" s="682" t="s">
        <v>650</v>
      </c>
      <c r="F94" s="637" t="s">
        <v>322</v>
      </c>
      <c r="G94" s="637"/>
      <c r="H94" s="498" t="s">
        <v>190</v>
      </c>
      <c r="I94" s="716"/>
      <c r="J94" s="669" t="s">
        <v>24</v>
      </c>
      <c r="K94" s="669" t="s">
        <v>24</v>
      </c>
      <c r="L94" s="669" t="s">
        <v>24</v>
      </c>
      <c r="M94" s="500" t="str">
        <f t="shared" si="64"/>
        <v>M</v>
      </c>
      <c r="N94" s="718" t="str">
        <f>IF(M94="Data missing","Data missing",IF(M94="VH","H",(IF(M94="H",HLOOKUP(J94,'3 - Prioritisation'!$D$16:$H$21,3,FALSE),IF(M94="M",HLOOKUP(J94,'3 - Prioritisation'!$D$16:$H$21,4,FALSE),IF(M94="L",HLOOKUP(J94,'3 - Prioritisation'!$D$16:$H$21,5,FALSE),IF(M94="VL",HLOOKUP(J94,'3 - Prioritisation'!$D$16:$H$21,6,FALSE))))))))</f>
        <v>M</v>
      </c>
      <c r="O94" s="719"/>
      <c r="P94" s="720" t="s">
        <v>659</v>
      </c>
      <c r="Q94" s="720" t="s">
        <v>660</v>
      </c>
      <c r="R94" s="721"/>
      <c r="S94" s="669"/>
      <c r="T94" s="722"/>
      <c r="U94" s="723">
        <v>0.6</v>
      </c>
      <c r="V94" s="669" t="s">
        <v>24</v>
      </c>
      <c r="W94" s="669" t="s">
        <v>25</v>
      </c>
      <c r="X94" s="669" t="s">
        <v>26</v>
      </c>
      <c r="Y94" s="717" t="str">
        <f t="shared" si="65"/>
        <v>VH</v>
      </c>
      <c r="Z94" s="718" t="str">
        <f>IF(Y94="Data missing","Data missing",IF(Y94="VH","H",(IF(Y94="H",HLOOKUP(V94,'3 - Prioritisation'!$D$16:$H$21,3,FALSE),IF(Y94="M",HLOOKUP(V94,'3 - Prioritisation'!$D$16:$H$21,4,FALSE),IF(Y94="L",HLOOKUP(V94,'3 - Prioritisation'!$D$16:$H$21,5,FALSE),IF(Y94="VL",HLOOKUP(V94,'3 - Prioritisation'!$D$16:$H$21,6,FALSE))))))))</f>
        <v>H</v>
      </c>
      <c r="AA94" s="743">
        <v>1250000</v>
      </c>
      <c r="AB94" s="743">
        <v>1250000</v>
      </c>
      <c r="AC94" s="743">
        <v>1875000</v>
      </c>
      <c r="AD94" s="508">
        <f t="shared" si="66"/>
        <v>750000</v>
      </c>
      <c r="AE94" s="509" t="e">
        <f>IF(AF94="Data missing","Data missing",IF(OR(U94="",AA94="",AB94="",AC94=""),"",_XLL.RISKBINOMIAL(1,U94)))</f>
        <v>#NAME?</v>
      </c>
      <c r="AF94" s="510" t="e">
        <f>IF(OR(U94="",AA94="",AB94="",AC94=""),"Data missing",_XLL.RISKPERT(AA94,AB94,AC94,_XLL.RISKNAME("Risk ID"&amp;B94),_XLL.RISKCOLLECT()))</f>
        <v>#NAME?</v>
      </c>
      <c r="AG94" s="511" t="e">
        <f t="shared" si="67"/>
        <v>#NAME?</v>
      </c>
      <c r="AH94" s="522" t="s">
        <v>688</v>
      </c>
      <c r="AI94" s="26"/>
      <c r="AJ94" s="34" t="e">
        <f t="shared" si="68"/>
        <v>#NAME?</v>
      </c>
      <c r="AK94" s="35">
        <f t="shared" si="68"/>
        <v>0</v>
      </c>
      <c r="AL94" s="35">
        <f t="shared" si="68"/>
        <v>0</v>
      </c>
      <c r="AM94" s="35">
        <f t="shared" si="68"/>
        <v>0</v>
      </c>
      <c r="AN94" s="35">
        <f t="shared" si="68"/>
        <v>0</v>
      </c>
      <c r="AO94" s="36">
        <f t="shared" si="68"/>
        <v>0</v>
      </c>
      <c r="AP94" s="37" t="e">
        <f t="shared" si="69"/>
        <v>#NAME?</v>
      </c>
      <c r="AR94" s="229"/>
      <c r="AS94" s="88"/>
      <c r="AT94" s="288">
        <f t="shared" si="70"/>
        <v>0</v>
      </c>
      <c r="AU94" s="191">
        <v>1</v>
      </c>
      <c r="AV94" s="192">
        <v>2</v>
      </c>
      <c r="AW94" s="193">
        <v>4</v>
      </c>
      <c r="AX94" s="71" t="e">
        <f>IF(AY94="Data missing","Data missing",IF(OR(AT94="",AU94="",AV94="",AW94=""),"",_XLL.RISKBINOMIAL(1,AT94)))</f>
        <v>#NAME?</v>
      </c>
      <c r="AY94" s="95" t="e">
        <f>IF(OR(AT94="",AU94="",AV94="",AW94=""),"Data missing",_XLL.RISKPERT(AU94,AV94,AW94))</f>
        <v>#NAME?</v>
      </c>
      <c r="AZ94" s="96" t="e">
        <f t="shared" si="71"/>
        <v>#NAME?</v>
      </c>
      <c r="BB94" s="283" t="e">
        <f t="shared" si="72"/>
        <v>#NAME?</v>
      </c>
      <c r="BC94" s="289">
        <f t="shared" si="72"/>
        <v>0</v>
      </c>
      <c r="BD94" s="289">
        <f t="shared" si="72"/>
        <v>0</v>
      </c>
      <c r="BE94" s="284">
        <f t="shared" si="73"/>
        <v>0</v>
      </c>
      <c r="BF94" s="284">
        <f t="shared" si="73"/>
        <v>0</v>
      </c>
      <c r="BG94" s="285">
        <f t="shared" si="73"/>
        <v>0</v>
      </c>
      <c r="BH94" s="286" t="e">
        <f t="shared" si="74"/>
        <v>#NAME?</v>
      </c>
    </row>
    <row r="95" spans="1:60" s="27" customFormat="1" ht="47.25" customHeight="1" thickBot="1">
      <c r="A95" s="165"/>
      <c r="B95" s="634"/>
      <c r="C95" s="635"/>
      <c r="D95" s="636"/>
      <c r="E95" s="635"/>
      <c r="F95" s="637" t="s">
        <v>322</v>
      </c>
      <c r="G95" s="637"/>
      <c r="H95" s="637"/>
      <c r="I95" s="637"/>
      <c r="J95" s="638" t="s">
        <v>24</v>
      </c>
      <c r="K95" s="638" t="s">
        <v>26</v>
      </c>
      <c r="L95" s="638" t="s">
        <v>24</v>
      </c>
      <c r="M95" s="500" t="str">
        <f>IF(OR(K95="",L95="",J95=""),"Data missing",IF(OR(K95="VH",L95="VH"),"VH",IF(OR(K95="H",L95="H"),"H",IF(OR(K95="M",L95="M"),"M",IF(OR(K95="L",L95="L"),"L",IF(OR(K95="VL",L95="VL"),"VL"))))))</f>
        <v>VH</v>
      </c>
      <c r="N95" s="501" t="str">
        <f>IF(M95="Data missing","Data missing",IF(M95="VH","H",(IF(M95="H",HLOOKUP(J95,'3 - Prioritisation'!$D$16:$H$21,3,FALSE),IF(M95="M",HLOOKUP(J95,'3 - Prioritisation'!$D$16:$H$21,4,FALSE),IF(M95="L",HLOOKUP(J95,'3 - Prioritisation'!$D$16:$H$21,5,FALSE),IF(M95="VL",HLOOKUP(J95,'3 - Prioritisation'!$D$16:$H$21,6,FALSE))))))))</f>
        <v>H</v>
      </c>
      <c r="O95" s="639"/>
      <c r="P95" s="640"/>
      <c r="Q95" s="640"/>
      <c r="R95" s="641"/>
      <c r="S95" s="638"/>
      <c r="T95" s="642"/>
      <c r="U95" s="643"/>
      <c r="V95" s="638"/>
      <c r="W95" s="638"/>
      <c r="X95" s="638"/>
      <c r="Y95" s="500" t="str">
        <f>IF(OR(W95="",X95="",V95=""),"Data missing",IF(OR(W95="VH",X95="VH"),"VH",IF(OR(W95="H",X95="H"),"H",IF(OR(W95="M",X95="M"),"M",IF(OR(W95="L",X95="L"),"L",IF(OR(W95="VL",X95="VL"),"VL"))))))</f>
        <v>Data missing</v>
      </c>
      <c r="Z95" s="501" t="str">
        <f>IF(Y95="Data missing","Data missing",IF(Y95="VH","H",(IF(Y95="H",HLOOKUP(V95,'3 - Prioritisation'!$D$16:$H$21,3,FALSE),IF(Y95="M",HLOOKUP(V95,'3 - Prioritisation'!$D$16:$H$21,4,FALSE),IF(Y95="L",HLOOKUP(V95,'3 - Prioritisation'!$D$16:$H$21,5,FALSE),IF(Y95="VL",HLOOKUP(V95,'3 - Prioritisation'!$D$16:$H$21,6,FALSE))))))))</f>
        <v>Data missing</v>
      </c>
      <c r="AA95" s="507"/>
      <c r="AB95" s="644"/>
      <c r="AC95" s="507"/>
      <c r="AD95" s="508">
        <f>U95*AB95</f>
        <v>0</v>
      </c>
      <c r="AE95" s="509" t="str">
        <f>IF(AF95="Data missing","Data missing",IF(OR(U95="",AA95="",AB95="",AC95=""),"",_XLL.RISKBINOMIAL(1,U95)))</f>
        <v>Data missing</v>
      </c>
      <c r="AF95" s="510" t="str">
        <f>IF(OR(U95="",AA95="",AB95="",AC95=""),"Data missing",_XLL.RISKPERT(AA95,AB95,AC95,_XLL.RISKNAME("Risk ID"&amp;B95),_XLL.RISKCOLLECT()))</f>
        <v>Data missing</v>
      </c>
      <c r="AG95" s="511" t="str">
        <f>IF(AF95="Data missing","Data missing",IF(OR(U95="",AA95="",AB95="",AC95=""),"",AE95*AF95))</f>
        <v>Data missing</v>
      </c>
      <c r="AH95" s="522"/>
      <c r="AI95" s="26"/>
      <c r="AJ95" s="645" t="str">
        <f t="shared" si="68"/>
        <v>Identify Risk Owner</v>
      </c>
      <c r="AK95" s="646" t="str">
        <f t="shared" si="68"/>
        <v>Identify Risk Owner</v>
      </c>
      <c r="AL95" s="646" t="str">
        <f t="shared" si="68"/>
        <v>Identify Risk Owner</v>
      </c>
      <c r="AM95" s="646" t="str">
        <f t="shared" si="68"/>
        <v>Identify Risk Owner</v>
      </c>
      <c r="AN95" s="646" t="str">
        <f t="shared" si="68"/>
        <v>Identify Risk Owner</v>
      </c>
      <c r="AO95" s="647" t="str">
        <f t="shared" si="68"/>
        <v>Identify Risk Owner</v>
      </c>
      <c r="AP95" s="648">
        <f t="shared" si="69"/>
        <v>0</v>
      </c>
      <c r="AR95" s="649"/>
      <c r="AS95" s="650"/>
      <c r="AT95" s="651">
        <f t="shared" si="70"/>
        <v>0</v>
      </c>
      <c r="AU95" s="652">
        <v>1</v>
      </c>
      <c r="AV95" s="653">
        <v>2</v>
      </c>
      <c r="AW95" s="654">
        <v>4</v>
      </c>
      <c r="AX95" s="655" t="e">
        <f>IF(AY95="Data missing","Data missing",IF(OR(AT95="",AU95="",AV95="",AW95=""),"",_XLL.RISKBINOMIAL(1,AT95)))</f>
        <v>#NAME?</v>
      </c>
      <c r="AY95" s="656" t="e">
        <f>IF(OR(AT95="",AU95="",AV95="",AW95=""),"Data missing",_XLL.RISKPERT(AU95,AV95,AW95))</f>
        <v>#NAME?</v>
      </c>
      <c r="AZ95" s="657" t="e">
        <f t="shared" si="71"/>
        <v>#NAME?</v>
      </c>
      <c r="BB95" s="658" t="str">
        <f t="shared" si="72"/>
        <v>Identify Risk Owner</v>
      </c>
      <c r="BC95" s="659" t="str">
        <f t="shared" si="72"/>
        <v>Identify Risk Owner</v>
      </c>
      <c r="BD95" s="659" t="str">
        <f t="shared" si="72"/>
        <v>Identify Risk Owner</v>
      </c>
      <c r="BE95" s="660" t="str">
        <f t="shared" si="73"/>
        <v>Identify risk owner</v>
      </c>
      <c r="BF95" s="660" t="str">
        <f t="shared" si="73"/>
        <v>Identify risk owner</v>
      </c>
      <c r="BG95" s="661" t="str">
        <f t="shared" si="73"/>
        <v>Identify risk owner</v>
      </c>
      <c r="BH95" s="662">
        <f t="shared" si="74"/>
        <v>0</v>
      </c>
    </row>
    <row r="96" spans="1:60" s="27" customFormat="1" ht="60.75" thickTop="1">
      <c r="A96" s="165"/>
      <c r="B96" s="443" t="s">
        <v>310</v>
      </c>
      <c r="C96" s="444" t="s">
        <v>133</v>
      </c>
      <c r="D96" s="523" t="s">
        <v>317</v>
      </c>
      <c r="E96" s="445"/>
      <c r="F96" s="446" t="s">
        <v>322</v>
      </c>
      <c r="G96" s="524"/>
      <c r="H96" s="447" t="s">
        <v>190</v>
      </c>
      <c r="I96" s="448"/>
      <c r="J96" s="449" t="s">
        <v>24</v>
      </c>
      <c r="K96" s="449" t="s">
        <v>24</v>
      </c>
      <c r="L96" s="449" t="s">
        <v>24</v>
      </c>
      <c r="M96" s="457" t="str">
        <f>IF(OR(K96="",L96="",J96=""),"Data missing",IF(OR(K96="VH",L96="VH"),"VH",IF(OR(K96="H",L96="H"),"H",IF(OR(K96="M",L96="M"),"M",IF(OR(K96="L",L96="L"),"L",IF(OR(K96="VL",L96="VL"),"VL"))))))</f>
        <v>M</v>
      </c>
      <c r="N96" s="458" t="str">
        <f>IF(M96="Data missing","Data missing",IF(M96="VH","H",(IF(M96="H",HLOOKUP(J96,'3 - Prioritisation'!$D$16:$H$21,3,FALSE),IF(M96="M",HLOOKUP(J96,'3 - Prioritisation'!$D$16:$H$21,4,FALSE),IF(M96="L",HLOOKUP(J96,'3 - Prioritisation'!$D$16:$H$21,5,FALSE),IF(M96="VL",HLOOKUP(J96,'3 - Prioritisation'!$D$16:$H$21,6,FALSE))))))))</f>
        <v>M</v>
      </c>
      <c r="O96" s="450"/>
      <c r="P96" s="451"/>
      <c r="Q96" s="452"/>
      <c r="R96" s="453"/>
      <c r="S96" s="449"/>
      <c r="T96" s="454"/>
      <c r="U96" s="455">
        <v>0.35</v>
      </c>
      <c r="V96" s="456" t="s">
        <v>24</v>
      </c>
      <c r="W96" s="449" t="s">
        <v>24</v>
      </c>
      <c r="X96" s="449" t="s">
        <v>24</v>
      </c>
      <c r="Y96" s="457" t="str">
        <f>IF(OR(W96="",X96="",V96=""),"Data missing",IF(OR(W96="VH",X96="VH"),"VH",IF(OR(W96="H",X96="H"),"H",IF(OR(W96="M",X96="M"),"M",IF(OR(W96="L",X96="L"),"L",IF(OR(W96="VL",X96="VL"),"VL"))))))</f>
        <v>M</v>
      </c>
      <c r="Z96" s="458" t="str">
        <f>IF(Y96="Data missing","Data missing",IF(Y96="VH","H",(IF(Y96="H",HLOOKUP(V96,'3 - Prioritisation'!$D$16:$H$21,3,FALSE),IF(Y96="M",HLOOKUP(V96,'3 - Prioritisation'!$D$16:$H$21,4,FALSE),IF(Y96="L",HLOOKUP(V96,'3 - Prioritisation'!$D$16:$H$21,5,FALSE),IF(Y96="VL",HLOOKUP(V96,'3 - Prioritisation'!$D$16:$H$21,6,FALSE))))))))</f>
        <v>M</v>
      </c>
      <c r="AA96" s="459"/>
      <c r="AB96" s="460"/>
      <c r="AC96" s="461"/>
      <c r="AD96" s="462">
        <f>U96*AB96</f>
        <v>0</v>
      </c>
      <c r="AE96" s="525" t="str">
        <f>IF(AF96="Data missing","Data missing",IF(OR(U96="",AA96="",AB96="",AC96=""),"",_XLL.RISKBINOMIAL(1,U96)))</f>
        <v>Data missing</v>
      </c>
      <c r="AF96" s="463" t="str">
        <f>IF(OR(U96="",AA96="",AB96="",AC96=""),"Data missing",_XLL.RISKPERT(AA96,AB96,AC96,_XLL.RISKNAME("Risk ID"&amp;B96),_XLL.RISKCOLLECT()))</f>
        <v>Data missing</v>
      </c>
      <c r="AG96" s="464" t="str">
        <f>IF(AF96="Data missing","Data missing",IF(OR(U96="",AA96="",AB96="",AC96=""),"",AE96*AF96))</f>
        <v>Data missing</v>
      </c>
      <c r="AH96" s="526"/>
      <c r="AI96" s="26"/>
      <c r="AJ96" s="623" t="str">
        <f aca="true" t="shared" si="75" ref="AJ96:AJ102">IF($H96="","Identify Risk Owner",IF($H96=AJ$16,$AG96,0))</f>
        <v>Data missing</v>
      </c>
      <c r="AK96" s="624">
        <v>0</v>
      </c>
      <c r="AL96" s="624">
        <v>0</v>
      </c>
      <c r="AM96" s="624">
        <v>0</v>
      </c>
      <c r="AN96" s="624">
        <v>0</v>
      </c>
      <c r="AO96" s="625">
        <v>0</v>
      </c>
      <c r="AP96" s="626">
        <f>SUM(AJ96:AO96)</f>
        <v>0</v>
      </c>
      <c r="AR96" s="627"/>
      <c r="AS96" s="363"/>
      <c r="AT96" s="288">
        <f t="shared" si="70"/>
        <v>0</v>
      </c>
      <c r="AU96" s="382">
        <v>0</v>
      </c>
      <c r="AV96" s="383">
        <v>2</v>
      </c>
      <c r="AW96" s="384">
        <v>3</v>
      </c>
      <c r="AX96" s="364" t="e">
        <f>IF(AY96="Data missing","Data missing",IF(OR(AT96="",AU96="",AV96="",AW96=""),"",_XLL.RISKBINOMIAL(1,AT96)))</f>
        <v>#NAME?</v>
      </c>
      <c r="AY96" s="396" t="e">
        <f>IF(OR(AT96="",AU96="",AV96="",AW96=""),"Data missing",_XLL.RISKPERT(AU96,AV96,AW96))</f>
        <v>#NAME?</v>
      </c>
      <c r="AZ96" s="628" t="e">
        <f aca="true" t="shared" si="76" ref="AZ96:AZ102">IF(AY96="Data missing","Data missing",IF(OR(AT96="",AU96="",AV96="",AW96=""),"",AX96*AY96))</f>
        <v>#NAME?</v>
      </c>
      <c r="BB96" s="629" t="e">
        <f aca="true" t="shared" si="77" ref="BB96:BD102">IF($H96="","Identify Risk Owner",IF($H96=BB$16,$AZ96,0))</f>
        <v>#NAME?</v>
      </c>
      <c r="BC96" s="630">
        <f t="shared" si="77"/>
        <v>0</v>
      </c>
      <c r="BD96" s="630">
        <f t="shared" si="77"/>
        <v>0</v>
      </c>
      <c r="BE96" s="631">
        <f aca="true" t="shared" si="78" ref="BE96:BG102">IF($H96="","Identify risk owner",IF($H96=BE$16,$AZ96,0))</f>
        <v>0</v>
      </c>
      <c r="BF96" s="631">
        <f t="shared" si="78"/>
        <v>0</v>
      </c>
      <c r="BG96" s="632">
        <f t="shared" si="78"/>
        <v>0</v>
      </c>
      <c r="BH96" s="633" t="e">
        <f t="shared" si="74"/>
        <v>#NAME?</v>
      </c>
    </row>
    <row r="97" spans="1:60" s="27" customFormat="1" ht="63.75" customHeight="1">
      <c r="A97" s="165"/>
      <c r="B97" s="465" t="s">
        <v>311</v>
      </c>
      <c r="C97" s="143" t="s">
        <v>133</v>
      </c>
      <c r="D97" s="38" t="s">
        <v>318</v>
      </c>
      <c r="E97" s="381" t="s">
        <v>330</v>
      </c>
      <c r="F97" s="142" t="s">
        <v>322</v>
      </c>
      <c r="G97" s="238"/>
      <c r="H97" s="88" t="s">
        <v>190</v>
      </c>
      <c r="I97" s="239"/>
      <c r="J97" s="28" t="s">
        <v>24</v>
      </c>
      <c r="K97" s="28" t="s">
        <v>25</v>
      </c>
      <c r="L97" s="28" t="s">
        <v>25</v>
      </c>
      <c r="M97" s="375" t="str">
        <f aca="true" t="shared" si="79" ref="M97:M102">IF(OR(K97="",L97="",J97=""),"Data missing",IF(OR(K97="VH",L97="VH"),"VH",IF(OR(K97="H",L97="H"),"H",IF(OR(K97="M",L97="M"),"M",IF(OR(K97="L",L97="L"),"L",IF(OR(K97="VL",L97="VL"),"VL"))))))</f>
        <v>H</v>
      </c>
      <c r="N97" s="376" t="str">
        <f>IF(M97="Data missing","Data missing",IF(M97="VH","H",(IF(M97="H",HLOOKUP(J97,'3 - Prioritisation'!$D$16:$H$21,3,FALSE),IF(M97="M",HLOOKUP(J97,'3 - Prioritisation'!$D$16:$H$21,4,FALSE),IF(M97="L",HLOOKUP(J97,'3 - Prioritisation'!$D$16:$H$21,5,FALSE),IF(M97="VL",HLOOKUP(J97,'3 - Prioritisation'!$D$16:$H$21,6,FALSE))))))))</f>
        <v>H</v>
      </c>
      <c r="O97" s="379"/>
      <c r="P97" s="30" t="s">
        <v>543</v>
      </c>
      <c r="Q97" s="31" t="s">
        <v>544</v>
      </c>
      <c r="R97" s="146"/>
      <c r="S97" s="28"/>
      <c r="T97" s="92"/>
      <c r="U97" s="153">
        <v>0.4</v>
      </c>
      <c r="V97" s="152" t="s">
        <v>24</v>
      </c>
      <c r="W97" s="28" t="s">
        <v>25</v>
      </c>
      <c r="X97" s="28" t="s">
        <v>25</v>
      </c>
      <c r="Y97" s="91" t="str">
        <f aca="true" t="shared" si="80" ref="Y97:Y102">IF(OR(W97="",X97="",V97=""),"Data missing",IF(OR(W97="VH",X97="VH"),"VH",IF(OR(W97="H",X97="H"),"H",IF(OR(W97="M",X97="M"),"M",IF(OR(W97="L",X97="L"),"L",IF(OR(W97="VL",X97="VL"),"VL"))))))</f>
        <v>H</v>
      </c>
      <c r="Z97" s="29" t="str">
        <f>IF(Y97="Data missing","Data missing",IF(Y97="VH","H",(IF(Y97="H",HLOOKUP(V97,'3 - Prioritisation'!$D$16:$H$21,3,FALSE),IF(Y97="M",HLOOKUP(V97,'3 - Prioritisation'!$D$16:$H$21,4,FALSE),IF(Y97="L",HLOOKUP(V97,'3 - Prioritisation'!$D$16:$H$21,5,FALSE),IF(Y97="VL",HLOOKUP(V97,'3 - Prioritisation'!$D$16:$H$21,6,FALSE))))))))</f>
        <v>H</v>
      </c>
      <c r="AA97" s="178"/>
      <c r="AB97" s="179"/>
      <c r="AC97" s="180"/>
      <c r="AD97" s="277">
        <f aca="true" t="shared" si="81" ref="AD97:AD102">U97*AB97</f>
        <v>0</v>
      </c>
      <c r="AE97" s="71" t="str">
        <f>IF(AF97="Data missing","Data missing",IF(OR(U97="",AA97="",AB97="",AC97=""),"",_XLL.RISKBINOMIAL(1,U97)))</f>
        <v>Data missing</v>
      </c>
      <c r="AF97" s="32" t="str">
        <f>IF(OR(U97="",AA97="",AB97="",AC97=""),"Data missing",_XLL.RISKPERT(AA97,AB97,AC97,_XLL.RISKNAME("Risk ID"&amp;B97),_XLL.RISKCOLLECT()))</f>
        <v>Data missing</v>
      </c>
      <c r="AG97" s="33" t="str">
        <f aca="true" t="shared" si="82" ref="AG97:AG102">IF(AF97="Data missing","Data missing",IF(OR(U97="",AA97="",AB97="",AC97=""),"",AE97*AF97))</f>
        <v>Data missing</v>
      </c>
      <c r="AH97" s="466"/>
      <c r="AI97" s="26"/>
      <c r="AJ97" s="39" t="str">
        <f t="shared" si="75"/>
        <v>Data missing</v>
      </c>
      <c r="AK97" s="40">
        <v>0</v>
      </c>
      <c r="AL97" s="40">
        <v>0</v>
      </c>
      <c r="AM97" s="40">
        <v>0</v>
      </c>
      <c r="AN97" s="40">
        <v>0</v>
      </c>
      <c r="AO97" s="41">
        <v>0</v>
      </c>
      <c r="AP97" s="42">
        <f aca="true" t="shared" si="83" ref="AP97:AP102">SUM(AJ97:AO97)</f>
        <v>0</v>
      </c>
      <c r="AR97" s="230"/>
      <c r="AS97" s="88"/>
      <c r="AT97" s="288">
        <f aca="true" t="shared" si="84" ref="AT97:AT102">IF(AS97="Yes",U97,0)</f>
        <v>0</v>
      </c>
      <c r="AU97" s="191">
        <v>0</v>
      </c>
      <c r="AV97" s="192">
        <v>2</v>
      </c>
      <c r="AW97" s="193">
        <v>3</v>
      </c>
      <c r="AX97" s="71" t="e">
        <f>IF(AY97="Data missing","Data missing",IF(OR(AT97="",AU97="",AV97="",AW97=""),"",_XLL.RISKBINOMIAL(1,AT97)))</f>
        <v>#NAME?</v>
      </c>
      <c r="AY97" s="95" t="e">
        <f>IF(OR(AT97="",AU97="",AV97="",AW97=""),"Data missing",_XLL.RISKPERT(AU97,AV97,AW97))</f>
        <v>#NAME?</v>
      </c>
      <c r="AZ97" s="194" t="e">
        <f t="shared" si="76"/>
        <v>#NAME?</v>
      </c>
      <c r="BB97" s="351" t="e">
        <f t="shared" si="77"/>
        <v>#NAME?</v>
      </c>
      <c r="BC97" s="295">
        <f t="shared" si="77"/>
        <v>0</v>
      </c>
      <c r="BD97" s="295">
        <f t="shared" si="77"/>
        <v>0</v>
      </c>
      <c r="BE97" s="296">
        <f t="shared" si="78"/>
        <v>0</v>
      </c>
      <c r="BF97" s="296">
        <f t="shared" si="78"/>
        <v>0</v>
      </c>
      <c r="BG97" s="297">
        <f t="shared" si="78"/>
        <v>0</v>
      </c>
      <c r="BH97" s="352" t="e">
        <f aca="true" t="shared" si="85" ref="BH97:BH102">SUM(BB97:BG97)</f>
        <v>#NAME?</v>
      </c>
    </row>
    <row r="98" spans="1:60" s="27" customFormat="1" ht="30">
      <c r="A98" s="165"/>
      <c r="B98" s="465" t="s">
        <v>312</v>
      </c>
      <c r="C98" s="143" t="s">
        <v>133</v>
      </c>
      <c r="D98" s="38" t="s">
        <v>108</v>
      </c>
      <c r="E98" s="141" t="s">
        <v>331</v>
      </c>
      <c r="F98" s="142" t="s">
        <v>322</v>
      </c>
      <c r="G98" s="238"/>
      <c r="H98" s="88" t="s">
        <v>190</v>
      </c>
      <c r="I98" s="239"/>
      <c r="J98" s="28" t="s">
        <v>25</v>
      </c>
      <c r="K98" s="28" t="s">
        <v>25</v>
      </c>
      <c r="L98" s="28" t="s">
        <v>25</v>
      </c>
      <c r="M98" s="375" t="str">
        <f t="shared" si="79"/>
        <v>H</v>
      </c>
      <c r="N98" s="376" t="str">
        <f>IF(M98="Data missing","Data missing",IF(M98="VH","H",(IF(M98="H",HLOOKUP(J98,'3 - Prioritisation'!$D$16:$H$21,3,FALSE),IF(M98="M",HLOOKUP(J98,'3 - Prioritisation'!$D$16:$H$21,4,FALSE),IF(M98="L",HLOOKUP(J98,'3 - Prioritisation'!$D$16:$H$21,5,FALSE),IF(M98="VL",HLOOKUP(J98,'3 - Prioritisation'!$D$16:$H$21,6,FALSE))))))))</f>
        <v>H</v>
      </c>
      <c r="O98" s="31"/>
      <c r="P98" s="30" t="s">
        <v>332</v>
      </c>
      <c r="Q98" s="31" t="s">
        <v>326</v>
      </c>
      <c r="R98" s="146"/>
      <c r="S98" s="28"/>
      <c r="T98" s="92"/>
      <c r="U98" s="153">
        <v>0.3</v>
      </c>
      <c r="V98" s="152" t="s">
        <v>24</v>
      </c>
      <c r="W98" s="28" t="s">
        <v>26</v>
      </c>
      <c r="X98" s="28" t="s">
        <v>25</v>
      </c>
      <c r="Y98" s="91" t="str">
        <f t="shared" si="80"/>
        <v>VH</v>
      </c>
      <c r="Z98" s="29" t="str">
        <f>IF(Y98="Data missing","Data missing",IF(Y98="VH","H",(IF(Y98="H",HLOOKUP(V98,'3 - Prioritisation'!$D$16:$H$21,3,FALSE),IF(Y98="M",HLOOKUP(V98,'3 - Prioritisation'!$D$16:$H$21,4,FALSE),IF(Y98="L",HLOOKUP(V98,'3 - Prioritisation'!$D$16:$H$21,5,FALSE),IF(Y98="VL",HLOOKUP(V98,'3 - Prioritisation'!$D$16:$H$21,6,FALSE))))))))</f>
        <v>H</v>
      </c>
      <c r="AA98" s="178"/>
      <c r="AB98" s="179"/>
      <c r="AC98" s="180"/>
      <c r="AD98" s="277">
        <f t="shared" si="81"/>
        <v>0</v>
      </c>
      <c r="AE98" s="71" t="str">
        <f>IF(AF98="Data missing","Data missing",IF(OR(U98="",AA98="",AB98="",AC98=""),"",_XLL.RISKBINOMIAL(1,U98)))</f>
        <v>Data missing</v>
      </c>
      <c r="AF98" s="32" t="str">
        <f>IF(OR(U98="",AA98="",AB98="",AC98=""),"Data missing",_XLL.RISKPERT(AA98,AB98,AC98,_XLL.RISKNAME("Risk ID"&amp;B98),_XLL.RISKCOLLECT()))</f>
        <v>Data missing</v>
      </c>
      <c r="AG98" s="33" t="str">
        <f t="shared" si="82"/>
        <v>Data missing</v>
      </c>
      <c r="AH98" s="466"/>
      <c r="AI98" s="26"/>
      <c r="AJ98" s="39" t="str">
        <f t="shared" si="75"/>
        <v>Data missing</v>
      </c>
      <c r="AK98" s="40">
        <v>0</v>
      </c>
      <c r="AL98" s="40">
        <v>0</v>
      </c>
      <c r="AM98" s="40">
        <v>0</v>
      </c>
      <c r="AN98" s="40">
        <v>0</v>
      </c>
      <c r="AO98" s="41">
        <v>0</v>
      </c>
      <c r="AP98" s="42">
        <f t="shared" si="83"/>
        <v>0</v>
      </c>
      <c r="AR98" s="230"/>
      <c r="AS98" s="88"/>
      <c r="AT98" s="288">
        <f t="shared" si="84"/>
        <v>0</v>
      </c>
      <c r="AU98" s="191">
        <v>6</v>
      </c>
      <c r="AV98" s="192">
        <v>10</v>
      </c>
      <c r="AW98" s="193">
        <v>20</v>
      </c>
      <c r="AX98" s="71" t="e">
        <f>IF(AY98="Data missing","Data missing",IF(OR(AT98="",AU98="",AV98="",AW98=""),"",_XLL.RISKBINOMIAL(1,AT98)))</f>
        <v>#NAME?</v>
      </c>
      <c r="AY98" s="95" t="e">
        <f>IF(OR(AT98="",AU98="",AV98="",AW98=""),"Data missing",_XLL.RISKPERT(AU98,AV98,AW98))</f>
        <v>#NAME?</v>
      </c>
      <c r="AZ98" s="194" t="e">
        <f t="shared" si="76"/>
        <v>#NAME?</v>
      </c>
      <c r="BB98" s="351" t="e">
        <f t="shared" si="77"/>
        <v>#NAME?</v>
      </c>
      <c r="BC98" s="295">
        <f t="shared" si="77"/>
        <v>0</v>
      </c>
      <c r="BD98" s="295">
        <f t="shared" si="77"/>
        <v>0</v>
      </c>
      <c r="BE98" s="296">
        <f t="shared" si="78"/>
        <v>0</v>
      </c>
      <c r="BF98" s="296">
        <f t="shared" si="78"/>
        <v>0</v>
      </c>
      <c r="BG98" s="297">
        <f t="shared" si="78"/>
        <v>0</v>
      </c>
      <c r="BH98" s="352" t="e">
        <f t="shared" si="85"/>
        <v>#NAME?</v>
      </c>
    </row>
    <row r="99" spans="1:60" s="27" customFormat="1" ht="42.75" customHeight="1">
      <c r="A99" s="165"/>
      <c r="B99" s="465" t="s">
        <v>313</v>
      </c>
      <c r="C99" s="143" t="s">
        <v>133</v>
      </c>
      <c r="D99" s="38" t="s">
        <v>15</v>
      </c>
      <c r="E99" s="141" t="s">
        <v>108</v>
      </c>
      <c r="F99" s="142" t="s">
        <v>322</v>
      </c>
      <c r="G99" s="238"/>
      <c r="H99" s="88" t="s">
        <v>190</v>
      </c>
      <c r="I99" s="239"/>
      <c r="J99" s="28" t="s">
        <v>24</v>
      </c>
      <c r="K99" s="28" t="s">
        <v>25</v>
      </c>
      <c r="L99" s="28" t="s">
        <v>25</v>
      </c>
      <c r="M99" s="375" t="str">
        <f t="shared" si="79"/>
        <v>H</v>
      </c>
      <c r="N99" s="376" t="str">
        <f>IF(M99="Data missing","Data missing",IF(M99="VH","H",(IF(M99="H",HLOOKUP(J99,'3 - Prioritisation'!$D$16:$H$21,3,FALSE),IF(M99="M",HLOOKUP(J99,'3 - Prioritisation'!$D$16:$H$21,4,FALSE),IF(M99="L",HLOOKUP(J99,'3 - Prioritisation'!$D$16:$H$21,5,FALSE),IF(M99="VL",HLOOKUP(J99,'3 - Prioritisation'!$D$16:$H$21,6,FALSE))))))))</f>
        <v>H</v>
      </c>
      <c r="O99" s="31"/>
      <c r="P99" s="30" t="s">
        <v>333</v>
      </c>
      <c r="Q99" s="31" t="s">
        <v>327</v>
      </c>
      <c r="R99" s="146"/>
      <c r="S99" s="28"/>
      <c r="T99" s="92"/>
      <c r="U99" s="153">
        <v>0.35</v>
      </c>
      <c r="V99" s="152" t="s">
        <v>24</v>
      </c>
      <c r="W99" s="28" t="s">
        <v>25</v>
      </c>
      <c r="X99" s="28" t="s">
        <v>25</v>
      </c>
      <c r="Y99" s="91" t="str">
        <f t="shared" si="80"/>
        <v>H</v>
      </c>
      <c r="Z99" s="29" t="str">
        <f>IF(Y99="Data missing","Data missing",IF(Y99="VH","H",(IF(Y99="H",HLOOKUP(V99,'3 - Prioritisation'!$D$16:$H$21,3,FALSE),IF(Y99="M",HLOOKUP(V99,'3 - Prioritisation'!$D$16:$H$21,4,FALSE),IF(Y99="L",HLOOKUP(V99,'3 - Prioritisation'!$D$16:$H$21,5,FALSE),IF(Y99="VL",HLOOKUP(V99,'3 - Prioritisation'!$D$16:$H$21,6,FALSE))))))))</f>
        <v>H</v>
      </c>
      <c r="AA99" s="178"/>
      <c r="AB99" s="179"/>
      <c r="AC99" s="180"/>
      <c r="AD99" s="277">
        <f t="shared" si="81"/>
        <v>0</v>
      </c>
      <c r="AE99" s="71" t="str">
        <f>IF(AF99="Data missing","Data missing",IF(OR(U99="",AA99="",AB99="",AC99=""),"",_XLL.RISKBINOMIAL(1,U99)))</f>
        <v>Data missing</v>
      </c>
      <c r="AF99" s="32" t="str">
        <f>IF(OR(U99="",AA99="",AB99="",AC99=""),"Data missing",_XLL.RISKPERT(AA99,AB99,AC99,_XLL.RISKNAME("Risk ID"&amp;B99),_XLL.RISKCOLLECT()))</f>
        <v>Data missing</v>
      </c>
      <c r="AG99" s="33" t="str">
        <f t="shared" si="82"/>
        <v>Data missing</v>
      </c>
      <c r="AH99" s="467"/>
      <c r="AI99" s="442"/>
      <c r="AJ99" s="39" t="str">
        <f t="shared" si="75"/>
        <v>Data missing</v>
      </c>
      <c r="AK99" s="40">
        <v>0</v>
      </c>
      <c r="AL99" s="40">
        <v>0</v>
      </c>
      <c r="AM99" s="40">
        <v>0</v>
      </c>
      <c r="AN99" s="40">
        <v>0</v>
      </c>
      <c r="AO99" s="41">
        <v>0</v>
      </c>
      <c r="AP99" s="42">
        <f t="shared" si="83"/>
        <v>0</v>
      </c>
      <c r="AR99" s="230"/>
      <c r="AS99" s="88"/>
      <c r="AT99" s="288">
        <f t="shared" si="84"/>
        <v>0</v>
      </c>
      <c r="AU99" s="191">
        <v>1</v>
      </c>
      <c r="AV99" s="192">
        <v>3</v>
      </c>
      <c r="AW99" s="193">
        <v>5</v>
      </c>
      <c r="AX99" s="71" t="e">
        <f>IF(AY99="Data missing","Data missing",IF(OR(AT99="",AU99="",AV99="",AW99=""),"",_XLL.RISKBINOMIAL(1,AT99)))</f>
        <v>#NAME?</v>
      </c>
      <c r="AY99" s="95" t="e">
        <f>IF(OR(AT99="",AU99="",AV99="",AW99=""),"Data missing",_XLL.RISKPERT(AU99,AV99,AW99))</f>
        <v>#NAME?</v>
      </c>
      <c r="AZ99" s="194" t="e">
        <f t="shared" si="76"/>
        <v>#NAME?</v>
      </c>
      <c r="BB99" s="351" t="e">
        <f t="shared" si="77"/>
        <v>#NAME?</v>
      </c>
      <c r="BC99" s="295">
        <f t="shared" si="77"/>
        <v>0</v>
      </c>
      <c r="BD99" s="295">
        <f t="shared" si="77"/>
        <v>0</v>
      </c>
      <c r="BE99" s="296">
        <f t="shared" si="78"/>
        <v>0</v>
      </c>
      <c r="BF99" s="296">
        <f t="shared" si="78"/>
        <v>0</v>
      </c>
      <c r="BG99" s="297">
        <f t="shared" si="78"/>
        <v>0</v>
      </c>
      <c r="BH99" s="352" t="e">
        <f t="shared" si="85"/>
        <v>#NAME?</v>
      </c>
    </row>
    <row r="100" spans="1:60" s="27" customFormat="1" ht="30">
      <c r="A100" s="165"/>
      <c r="B100" s="465" t="s">
        <v>314</v>
      </c>
      <c r="C100" s="143" t="s">
        <v>133</v>
      </c>
      <c r="D100" s="38" t="s">
        <v>16</v>
      </c>
      <c r="E100" s="141" t="s">
        <v>324</v>
      </c>
      <c r="F100" s="142" t="s">
        <v>322</v>
      </c>
      <c r="G100" s="238"/>
      <c r="H100" s="88" t="s">
        <v>190</v>
      </c>
      <c r="I100" s="239"/>
      <c r="J100" s="28" t="s">
        <v>25</v>
      </c>
      <c r="K100" s="28" t="s">
        <v>24</v>
      </c>
      <c r="L100" s="28" t="s">
        <v>24</v>
      </c>
      <c r="M100" s="375" t="str">
        <f>IF(OR(K100="",L100="",J100=""),"Data missing",IF(OR(K100="VH",L100="VH"),"VH",IF(OR(K100="H",L100="H"),"H",IF(OR(K100="M",L100="M"),"M",IF(OR(K100="L",L100="L"),"L",IF(OR(K100="VL",L100="VL"),"VL"))))))</f>
        <v>M</v>
      </c>
      <c r="N100" s="376" t="str">
        <f>IF(M100="Data missing","Data missing",IF(M100="VH","H",(IF(M100="H",HLOOKUP(J100,'3 - Prioritisation'!$D$16:$H$21,3,FALSE),IF(M100="M",HLOOKUP(J100,'3 - Prioritisation'!$D$16:$H$21,4,FALSE),IF(M100="L",HLOOKUP(J100,'3 - Prioritisation'!$D$16:$H$21,5,FALSE),IF(M100="VL",HLOOKUP(J100,'3 - Prioritisation'!$D$16:$H$21,6,FALSE))))))))</f>
        <v>M</v>
      </c>
      <c r="O100" s="379"/>
      <c r="P100" s="30" t="s">
        <v>413</v>
      </c>
      <c r="Q100" s="31"/>
      <c r="R100" s="146"/>
      <c r="S100" s="28"/>
      <c r="T100" s="92"/>
      <c r="U100" s="153">
        <v>0.6</v>
      </c>
      <c r="V100" s="152" t="s">
        <v>25</v>
      </c>
      <c r="W100" s="28" t="s">
        <v>24</v>
      </c>
      <c r="X100" s="28" t="s">
        <v>24</v>
      </c>
      <c r="Y100" s="91" t="str">
        <f>IF(OR(W100="",X100="",V100=""),"Data missing",IF(OR(W100="VH",X100="VH"),"VH",IF(OR(W100="H",X100="H"),"H",IF(OR(W100="M",X100="M"),"M",IF(OR(W100="L",X100="L"),"L",IF(OR(W100="VL",X100="VL"),"VL"))))))</f>
        <v>M</v>
      </c>
      <c r="Z100" s="29" t="str">
        <f>IF(Y100="Data missing","Data missing",IF(Y100="VH","H",(IF(Y100="H",HLOOKUP(V100,'3 - Prioritisation'!$D$16:$H$21,3,FALSE),IF(Y100="M",HLOOKUP(V100,'3 - Prioritisation'!$D$16:$H$21,4,FALSE),IF(Y100="L",HLOOKUP(V100,'3 - Prioritisation'!$D$16:$H$21,5,FALSE),IF(Y100="VL",HLOOKUP(V100,'3 - Prioritisation'!$D$16:$H$21,6,FALSE))))))))</f>
        <v>M</v>
      </c>
      <c r="AA100" s="178"/>
      <c r="AB100" s="179"/>
      <c r="AC100" s="180"/>
      <c r="AD100" s="277">
        <f>U100*AB100</f>
        <v>0</v>
      </c>
      <c r="AE100" s="71" t="str">
        <f>IF(AF100="Data missing","Data missing",IF(OR(U100="",AA100="",AB100="",AC100=""),"",_XLL.RISKBINOMIAL(1,U100)))</f>
        <v>Data missing</v>
      </c>
      <c r="AF100" s="32" t="str">
        <f>IF(OR(U100="",AA100="",AB100="",AC100=""),"Data missing",_XLL.RISKPERT(AA100,AB100,AC100,_XLL.RISKNAME("Risk ID"&amp;B100),_XLL.RISKCOLLECT()))</f>
        <v>Data missing</v>
      </c>
      <c r="AG100" s="33" t="str">
        <f>IF(AF100="Data missing","Data missing",IF(OR(U100="",AA100="",AB100="",AC100=""),"",AE100*AF100))</f>
        <v>Data missing</v>
      </c>
      <c r="AH100" s="467"/>
      <c r="AI100" s="442"/>
      <c r="AJ100" s="39" t="str">
        <f t="shared" si="75"/>
        <v>Data missing</v>
      </c>
      <c r="AK100" s="40">
        <v>0</v>
      </c>
      <c r="AL100" s="40">
        <v>0</v>
      </c>
      <c r="AM100" s="40">
        <v>0</v>
      </c>
      <c r="AN100" s="40">
        <v>0</v>
      </c>
      <c r="AO100" s="41">
        <v>0</v>
      </c>
      <c r="AP100" s="42">
        <f>SUM(AJ100:AO100)</f>
        <v>0</v>
      </c>
      <c r="AR100" s="230"/>
      <c r="AS100" s="88"/>
      <c r="AT100" s="288">
        <f>IF(AS100="Yes",U100,0)</f>
        <v>0</v>
      </c>
      <c r="AU100" s="191">
        <v>0</v>
      </c>
      <c r="AV100" s="192">
        <v>2</v>
      </c>
      <c r="AW100" s="193">
        <v>3</v>
      </c>
      <c r="AX100" s="71" t="e">
        <f>IF(AY100="Data missing","Data missing",IF(OR(AT100="",AU100="",AV100="",AW100=""),"",_XLL.RISKBINOMIAL(1,AT100)))</f>
        <v>#NAME?</v>
      </c>
      <c r="AY100" s="95" t="e">
        <f>IF(OR(AT100="",AU100="",AV100="",AW100=""),"Data missing",_XLL.RISKPERT(AU100,AV100,AW100))</f>
        <v>#NAME?</v>
      </c>
      <c r="AZ100" s="194" t="e">
        <f t="shared" si="76"/>
        <v>#NAME?</v>
      </c>
      <c r="BB100" s="351" t="e">
        <f t="shared" si="77"/>
        <v>#NAME?</v>
      </c>
      <c r="BC100" s="295">
        <f t="shared" si="77"/>
        <v>0</v>
      </c>
      <c r="BD100" s="295">
        <f t="shared" si="77"/>
        <v>0</v>
      </c>
      <c r="BE100" s="296">
        <f t="shared" si="78"/>
        <v>0</v>
      </c>
      <c r="BF100" s="296">
        <f t="shared" si="78"/>
        <v>0</v>
      </c>
      <c r="BG100" s="297">
        <f t="shared" si="78"/>
        <v>0</v>
      </c>
      <c r="BH100" s="352" t="e">
        <f>SUM(BB100:BG100)</f>
        <v>#NAME?</v>
      </c>
    </row>
    <row r="101" spans="1:60" s="27" customFormat="1" ht="45">
      <c r="A101" s="165"/>
      <c r="B101" s="465" t="s">
        <v>315</v>
      </c>
      <c r="C101" s="143" t="s">
        <v>133</v>
      </c>
      <c r="D101" s="38" t="s">
        <v>319</v>
      </c>
      <c r="E101" s="380" t="s">
        <v>324</v>
      </c>
      <c r="F101" s="142" t="s">
        <v>322</v>
      </c>
      <c r="G101" s="238"/>
      <c r="H101" s="88" t="s">
        <v>190</v>
      </c>
      <c r="I101" s="239"/>
      <c r="J101" s="28" t="s">
        <v>24</v>
      </c>
      <c r="K101" s="28" t="s">
        <v>24</v>
      </c>
      <c r="L101" s="28" t="s">
        <v>24</v>
      </c>
      <c r="M101" s="375" t="str">
        <f>IF(OR(K101="",L101="",J101=""),"Data missing",IF(OR(K101="VH",L101="VH"),"VH",IF(OR(K101="H",L101="H"),"H",IF(OR(K101="M",L101="M"),"M",IF(OR(K101="L",L101="L"),"L",IF(OR(K101="VL",L101="VL"),"VL"))))))</f>
        <v>M</v>
      </c>
      <c r="N101" s="376" t="str">
        <f>IF(M101="Data missing","Data missing",IF(M101="VH","H",(IF(M101="H",HLOOKUP(J101,'3 - Prioritisation'!$D$16:$H$21,3,FALSE),IF(M101="M",HLOOKUP(J101,'3 - Prioritisation'!$D$16:$H$21,4,FALSE),IF(M101="L",HLOOKUP(J101,'3 - Prioritisation'!$D$16:$H$21,5,FALSE),IF(M101="VL",HLOOKUP(J101,'3 - Prioritisation'!$D$16:$H$21,6,FALSE))))))))</f>
        <v>M</v>
      </c>
      <c r="O101" s="379"/>
      <c r="P101" s="30" t="s">
        <v>545</v>
      </c>
      <c r="Q101" s="31" t="s">
        <v>412</v>
      </c>
      <c r="R101" s="146"/>
      <c r="S101" s="28"/>
      <c r="T101" s="92"/>
      <c r="U101" s="153">
        <v>0.4</v>
      </c>
      <c r="V101" s="152" t="s">
        <v>24</v>
      </c>
      <c r="W101" s="28" t="s">
        <v>24</v>
      </c>
      <c r="X101" s="28" t="s">
        <v>24</v>
      </c>
      <c r="Y101" s="91" t="str">
        <f>IF(OR(W101="",X101="",V101=""),"Data missing",IF(OR(W101="VH",X101="VH"),"VH",IF(OR(W101="H",X101="H"),"H",IF(OR(W101="M",X101="M"),"M",IF(OR(W101="L",X101="L"),"L",IF(OR(W101="VL",X101="VL"),"VL"))))))</f>
        <v>M</v>
      </c>
      <c r="Z101" s="29" t="str">
        <f>IF(Y101="Data missing","Data missing",IF(Y101="VH","H",(IF(Y101="H",HLOOKUP(V101,'3 - Prioritisation'!$D$16:$H$21,3,FALSE),IF(Y101="M",HLOOKUP(V101,'3 - Prioritisation'!$D$16:$H$21,4,FALSE),IF(Y101="L",HLOOKUP(V101,'3 - Prioritisation'!$D$16:$H$21,5,FALSE),IF(Y101="VL",HLOOKUP(V101,'3 - Prioritisation'!$D$16:$H$21,6,FALSE))))))))</f>
        <v>M</v>
      </c>
      <c r="AA101" s="178"/>
      <c r="AB101" s="179"/>
      <c r="AC101" s="180"/>
      <c r="AD101" s="277">
        <f>U101*AB101</f>
        <v>0</v>
      </c>
      <c r="AE101" s="71" t="str">
        <f>IF(AF101="Data missing","Data missing",IF(OR(U101="",AA101="",AB101="",AC101=""),"",_XLL.RISKBINOMIAL(1,U101)))</f>
        <v>Data missing</v>
      </c>
      <c r="AF101" s="32" t="str">
        <f>IF(OR(U101="",AA101="",AB101="",AC101=""),"Data missing",_XLL.RISKPERT(AA101,AB101,AC101,_XLL.RISKNAME("Risk ID"&amp;B101),_XLL.RISKCOLLECT()))</f>
        <v>Data missing</v>
      </c>
      <c r="AG101" s="33" t="str">
        <f>IF(AF101="Data missing","Data missing",IF(OR(U101="",AA101="",AB101="",AC101=""),"",AE101*AF101))</f>
        <v>Data missing</v>
      </c>
      <c r="AH101" s="466"/>
      <c r="AI101" s="26"/>
      <c r="AJ101" s="39" t="str">
        <f t="shared" si="75"/>
        <v>Data missing</v>
      </c>
      <c r="AK101" s="40">
        <v>0</v>
      </c>
      <c r="AL101" s="40">
        <v>0</v>
      </c>
      <c r="AM101" s="40">
        <v>0</v>
      </c>
      <c r="AN101" s="40">
        <v>0</v>
      </c>
      <c r="AO101" s="41">
        <v>0</v>
      </c>
      <c r="AP101" s="42">
        <f>SUM(AJ101:AO101)</f>
        <v>0</v>
      </c>
      <c r="AR101" s="230"/>
      <c r="AS101" s="88"/>
      <c r="AT101" s="288">
        <f>IF(AS101="Yes",U101,0)</f>
        <v>0</v>
      </c>
      <c r="AU101" s="191">
        <v>0</v>
      </c>
      <c r="AV101" s="192">
        <v>2</v>
      </c>
      <c r="AW101" s="193">
        <v>3</v>
      </c>
      <c r="AX101" s="71" t="e">
        <f>IF(AY101="Data missing","Data missing",IF(OR(AT101="",AU101="",AV101="",AW101=""),"",_XLL.RISKBINOMIAL(1,AT101)))</f>
        <v>#NAME?</v>
      </c>
      <c r="AY101" s="95" t="e">
        <f>IF(OR(AT101="",AU101="",AV101="",AW101=""),"Data missing",_XLL.RISKPERT(AU101,AV101,AW101))</f>
        <v>#NAME?</v>
      </c>
      <c r="AZ101" s="194" t="e">
        <f t="shared" si="76"/>
        <v>#NAME?</v>
      </c>
      <c r="BB101" s="351" t="e">
        <f t="shared" si="77"/>
        <v>#NAME?</v>
      </c>
      <c r="BC101" s="295">
        <f t="shared" si="77"/>
        <v>0</v>
      </c>
      <c r="BD101" s="295">
        <f t="shared" si="77"/>
        <v>0</v>
      </c>
      <c r="BE101" s="296">
        <f t="shared" si="78"/>
        <v>0</v>
      </c>
      <c r="BF101" s="296">
        <f t="shared" si="78"/>
        <v>0</v>
      </c>
      <c r="BG101" s="297">
        <f t="shared" si="78"/>
        <v>0</v>
      </c>
      <c r="BH101" s="352" t="e">
        <f>SUM(BB101:BG101)</f>
        <v>#NAME?</v>
      </c>
    </row>
    <row r="102" spans="1:60" s="27" customFormat="1" ht="45.75" thickBot="1">
      <c r="A102" s="160"/>
      <c r="B102" s="468" t="s">
        <v>316</v>
      </c>
      <c r="C102" s="469" t="s">
        <v>133</v>
      </c>
      <c r="D102" s="470" t="s">
        <v>546</v>
      </c>
      <c r="E102" s="471" t="s">
        <v>108</v>
      </c>
      <c r="F102" s="472" t="s">
        <v>322</v>
      </c>
      <c r="G102" s="473"/>
      <c r="H102" s="474" t="s">
        <v>190</v>
      </c>
      <c r="I102" s="475"/>
      <c r="J102" s="476" t="s">
        <v>24</v>
      </c>
      <c r="K102" s="476" t="s">
        <v>24</v>
      </c>
      <c r="L102" s="476" t="s">
        <v>24</v>
      </c>
      <c r="M102" s="477" t="str">
        <f t="shared" si="79"/>
        <v>M</v>
      </c>
      <c r="N102" s="478" t="str">
        <f>IF(M102="Data missing","Data missing",IF(M102="VH","H",(IF(M102="H",HLOOKUP(J102,'3 - Prioritisation'!$D$16:$H$21,3,FALSE),IF(M102="M",HLOOKUP(J102,'3 - Prioritisation'!$D$16:$H$21,4,FALSE),IF(M102="L",HLOOKUP(J102,'3 - Prioritisation'!$D$16:$H$21,5,FALSE),IF(M102="VL",HLOOKUP(J102,'3 - Prioritisation'!$D$16:$H$21,6,FALSE))))))))</f>
        <v>M</v>
      </c>
      <c r="O102" s="479"/>
      <c r="P102" s="480" t="s">
        <v>333</v>
      </c>
      <c r="Q102" s="479" t="s">
        <v>328</v>
      </c>
      <c r="R102" s="481"/>
      <c r="S102" s="476"/>
      <c r="T102" s="482"/>
      <c r="U102" s="483">
        <v>0.35</v>
      </c>
      <c r="V102" s="476" t="s">
        <v>24</v>
      </c>
      <c r="W102" s="476" t="s">
        <v>24</v>
      </c>
      <c r="X102" s="476" t="s">
        <v>24</v>
      </c>
      <c r="Y102" s="477" t="str">
        <f t="shared" si="80"/>
        <v>M</v>
      </c>
      <c r="Z102" s="478" t="str">
        <f>IF(Y102="Data missing","Data missing",IF(Y102="VH","H",(IF(Y102="H",HLOOKUP(V102,'3 - Prioritisation'!$D$16:$H$21,3,FALSE),IF(Y102="M",HLOOKUP(V102,'3 - Prioritisation'!$D$16:$H$21,4,FALSE),IF(Y102="L",HLOOKUP(V102,'3 - Prioritisation'!$D$16:$H$21,5,FALSE),IF(Y102="VL",HLOOKUP(V102,'3 - Prioritisation'!$D$16:$H$21,6,FALSE))))))))</f>
        <v>M</v>
      </c>
      <c r="AA102" s="484"/>
      <c r="AB102" s="485"/>
      <c r="AC102" s="486"/>
      <c r="AD102" s="487">
        <f t="shared" si="81"/>
        <v>0</v>
      </c>
      <c r="AE102" s="488" t="str">
        <f>IF(AF102="Data missing","Data missing",IF(OR(U102="",AA102="",AB102="",AC102=""),"",_XLL.RISKBINOMIAL(1,U102)))</f>
        <v>Data missing</v>
      </c>
      <c r="AF102" s="489" t="str">
        <f>IF(OR(U102="",AA102="",AB102="",AC102=""),"Data missing",_XLL.RISKPERT(AA102,AB102,AC102,_XLL.RISKNAME("Risk ID"&amp;B102),_XLL.RISKCOLLECT()))</f>
        <v>Data missing</v>
      </c>
      <c r="AG102" s="490" t="str">
        <f t="shared" si="82"/>
        <v>Data missing</v>
      </c>
      <c r="AH102" s="491"/>
      <c r="AI102" s="442"/>
      <c r="AJ102" s="43" t="str">
        <f t="shared" si="75"/>
        <v>Data missing</v>
      </c>
      <c r="AK102" s="44">
        <v>0</v>
      </c>
      <c r="AL102" s="44">
        <v>0</v>
      </c>
      <c r="AM102" s="44">
        <v>0</v>
      </c>
      <c r="AN102" s="44">
        <v>0</v>
      </c>
      <c r="AO102" s="45">
        <v>0</v>
      </c>
      <c r="AP102" s="46">
        <f t="shared" si="83"/>
        <v>0</v>
      </c>
      <c r="AR102" s="231"/>
      <c r="AS102" s="89"/>
      <c r="AT102" s="417">
        <f t="shared" si="84"/>
        <v>0</v>
      </c>
      <c r="AU102" s="195">
        <v>1</v>
      </c>
      <c r="AV102" s="196">
        <v>3</v>
      </c>
      <c r="AW102" s="197">
        <v>5</v>
      </c>
      <c r="AX102" s="222" t="e">
        <f>IF(AY102="Data missing","Data missing",IF(OR(AT102="",AU102="",AV102="",AW102=""),"",_XLL.RISKBINOMIAL(1,AT102)))</f>
        <v>#NAME?</v>
      </c>
      <c r="AY102" s="198" t="e">
        <f>IF(OR(AT102="",AU102="",AV102="",AW102=""),"Data missing",_XLL.RISKPERT(AU102,AV102,AW102))</f>
        <v>#NAME?</v>
      </c>
      <c r="AZ102" s="199" t="e">
        <f t="shared" si="76"/>
        <v>#NAME?</v>
      </c>
      <c r="BB102" s="353" t="e">
        <f t="shared" si="77"/>
        <v>#NAME?</v>
      </c>
      <c r="BC102" s="355">
        <f t="shared" si="77"/>
        <v>0</v>
      </c>
      <c r="BD102" s="355">
        <f t="shared" si="77"/>
        <v>0</v>
      </c>
      <c r="BE102" s="356">
        <f t="shared" si="78"/>
        <v>0</v>
      </c>
      <c r="BF102" s="356">
        <f t="shared" si="78"/>
        <v>0</v>
      </c>
      <c r="BG102" s="357">
        <f t="shared" si="78"/>
        <v>0</v>
      </c>
      <c r="BH102" s="354" t="e">
        <f t="shared" si="85"/>
        <v>#NAME?</v>
      </c>
    </row>
    <row r="103" ht="15"/>
    <row r="104" ht="15"/>
    <row r="105" spans="1:60" s="177" customFormat="1" ht="25.5" customHeight="1" thickBot="1">
      <c r="A105" s="181"/>
      <c r="E105" s="47"/>
      <c r="F105" s="47"/>
      <c r="G105" s="47"/>
      <c r="H105" s="16"/>
      <c r="I105" s="16"/>
      <c r="J105" s="48"/>
      <c r="K105" s="48"/>
      <c r="L105" s="48"/>
      <c r="M105" s="181"/>
      <c r="N105" s="182"/>
      <c r="O105" s="183"/>
      <c r="P105" s="47"/>
      <c r="Q105" s="47"/>
      <c r="R105" s="147"/>
      <c r="S105" s="48"/>
      <c r="T105" s="149"/>
      <c r="U105" s="154"/>
      <c r="V105" s="48"/>
      <c r="W105" s="48"/>
      <c r="X105" s="48"/>
      <c r="Y105" s="181"/>
      <c r="Z105" s="182"/>
      <c r="AA105" s="168"/>
      <c r="AB105" s="168"/>
      <c r="AC105" s="168"/>
      <c r="AD105" s="168"/>
      <c r="AF105" s="184"/>
      <c r="AG105" s="184"/>
      <c r="AH105" s="185"/>
      <c r="AI105" s="186"/>
      <c r="AJ105" s="187"/>
      <c r="AK105" s="187"/>
      <c r="AL105" s="187"/>
      <c r="AM105" s="187"/>
      <c r="AN105" s="187"/>
      <c r="AO105" s="187"/>
      <c r="AP105" s="187"/>
      <c r="AR105" s="188"/>
      <c r="AS105" s="188"/>
      <c r="AT105" s="188"/>
      <c r="AU105" s="189"/>
      <c r="AV105" s="189"/>
      <c r="AW105" s="189"/>
      <c r="AX105" s="188"/>
      <c r="AY105" s="188"/>
      <c r="AZ105" s="188"/>
      <c r="BA105" s="188"/>
      <c r="BB105" s="290"/>
      <c r="BC105" s="290"/>
      <c r="BD105" s="290"/>
      <c r="BE105" s="290"/>
      <c r="BF105" s="290"/>
      <c r="BG105" s="290"/>
      <c r="BH105" s="291"/>
    </row>
    <row r="106" spans="5:60" ht="25.5" customHeight="1" thickBot="1" thickTop="1">
      <c r="E106" s="49"/>
      <c r="F106" s="49"/>
      <c r="G106" s="49"/>
      <c r="H106" s="50"/>
      <c r="I106" s="50"/>
      <c r="J106" s="48"/>
      <c r="K106" s="48"/>
      <c r="L106" s="48"/>
      <c r="M106" s="160"/>
      <c r="N106" s="182"/>
      <c r="O106" s="183"/>
      <c r="P106" s="49"/>
      <c r="Q106" s="49"/>
      <c r="R106" s="148"/>
      <c r="S106" s="51"/>
      <c r="T106" s="150"/>
      <c r="U106" s="155"/>
      <c r="V106" s="48"/>
      <c r="W106" s="48"/>
      <c r="X106" s="48"/>
      <c r="Y106" s="160"/>
      <c r="Z106" s="182"/>
      <c r="AA106" s="190"/>
      <c r="AB106" s="190"/>
      <c r="AC106" s="325" t="s">
        <v>176</v>
      </c>
      <c r="AD106" s="326">
        <f>SUM(AD18:AD104)</f>
        <v>12337950</v>
      </c>
      <c r="AH106" s="171"/>
      <c r="AI106" s="200" t="s">
        <v>183</v>
      </c>
      <c r="AJ106" s="359" t="e">
        <f>_XLL.RISKOUTPUT(AJ16&amp;" risks exc' the Big 5")+SUM(AJ18:AJ104)</f>
        <v>#NAME?</v>
      </c>
      <c r="AK106" s="360" t="e">
        <f>_XLL.RISKOUTPUT(AK16&amp;" risks exc' the Big 5")+SUM(AK18:AK104)</f>
        <v>#NAME?</v>
      </c>
      <c r="AL106" s="360" t="e">
        <f>_XLL.RISKOUTPUT(AL16&amp;" risks exc' the Big 5")+SUM(AL18:AL104)</f>
        <v>#NAME?</v>
      </c>
      <c r="AM106" s="360" t="e">
        <f>_XLL.RISKOUTPUT(AM16&amp;" risks exc' the Big 5")+SUM(AM18:AM104)</f>
        <v>#NAME?</v>
      </c>
      <c r="AN106" s="360" t="e">
        <f>_XLL.RISKOUTPUT(AN16&amp;" risks exc' the Big 5")+SUM(AN18:AN104)</f>
        <v>#NAME?</v>
      </c>
      <c r="AO106" s="361" t="e">
        <f>_XLL.RISKOUTPUT(AO16&amp;" risks exc' the Big 5")+SUM(AO18:AO104)</f>
        <v>#NAME?</v>
      </c>
      <c r="AP106" s="362" t="e">
        <f>IF(AF67="Data missing","Data missing",IF(OR(U67="",AA67="",AB67="",AC67=""),"",_XLL.RISKBINOMIAL(1,U67)))</f>
        <v>#NAME?</v>
      </c>
      <c r="AU106" s="160"/>
      <c r="AV106" s="160"/>
      <c r="AW106" s="165"/>
      <c r="AX106" s="27"/>
      <c r="AY106" s="220"/>
      <c r="BA106" s="292" t="s">
        <v>186</v>
      </c>
      <c r="BB106" s="342" t="e">
        <f>IF(AF67="Data missing","Data missing",IF(OR(U67="",AA67="",AB67="",AC67=""),"",_XLL.RISKBINOMIAL(1,U67)))</f>
        <v>#NAME?</v>
      </c>
      <c r="BC106" s="343" t="e">
        <f>IF(OR(U67="",AA67="",AB67="",AC67=""),"Data missing",_XLL.RISKPERT(AA67,AB67,AC67,_XLL.RISKNAME("Risk ID"&amp;B67),_XLL.RISKCOLLECT()))</f>
        <v>#NAME?</v>
      </c>
      <c r="BD106" s="343" t="e">
        <f>IF(AF67="Data missing","Data missing",IF(OR(U67="",AA67="",AB67="",AC67=""),"",AE67*AF67))</f>
        <v>#NAME?</v>
      </c>
      <c r="BE106" s="343" t="e">
        <v>#N/A</v>
      </c>
      <c r="BF106" s="343" t="e">
        <v>#N/A</v>
      </c>
      <c r="BG106" s="343" t="e">
        <v>#N/A</v>
      </c>
      <c r="BH106" s="344" t="e">
        <v>#N/A</v>
      </c>
    </row>
    <row r="107" spans="10:60" ht="24.75" customHeight="1" thickBot="1">
      <c r="J107" s="48"/>
      <c r="K107" s="48"/>
      <c r="L107" s="48"/>
      <c r="M107" s="160"/>
      <c r="N107" s="182"/>
      <c r="O107" s="183"/>
      <c r="P107" s="201"/>
      <c r="Q107" s="201"/>
      <c r="T107" s="202"/>
      <c r="U107" s="203"/>
      <c r="V107" s="48"/>
      <c r="W107" s="48"/>
      <c r="X107" s="48"/>
      <c r="Y107" s="160"/>
      <c r="Z107" s="182"/>
      <c r="AI107" s="204" t="s">
        <v>181</v>
      </c>
      <c r="AJ107" s="205" t="e">
        <f>IF(OR(U67="",AA67="",AB67="",AC67=""),"Data missing",_XLL.RISKPERT(AA67,AB67,AC67,_XLL.RISKNAME("Risk ID"&amp;B67),_XLL.RISKCOLLECT()))</f>
        <v>#NAME?</v>
      </c>
      <c r="AK107" s="206" t="e">
        <f>_XLL.RISKPERCENTILE(AK106,0.5,1)</f>
        <v>#NAME?</v>
      </c>
      <c r="AL107" s="206" t="e">
        <f>_XLL.RISKPERCENTILE(AL106,0.5,1)</f>
        <v>#NAME?</v>
      </c>
      <c r="AM107" s="206" t="e">
        <f>_XLL.RISKPERCENTILE(AM106,0.5,1)</f>
        <v>#NAME?</v>
      </c>
      <c r="AN107" s="206" t="e">
        <f>_XLL.RISKPERCENTILE(AN106,0.5,1)</f>
        <v>#NAME?</v>
      </c>
      <c r="AO107" s="206" t="e">
        <f>_XLL.RISKPERCENTILE(AO106,0.5,1)</f>
        <v>#NAME?</v>
      </c>
      <c r="AP107" s="358"/>
      <c r="AU107" s="160"/>
      <c r="AV107" s="160"/>
      <c r="AW107" s="165"/>
      <c r="AX107" s="27"/>
      <c r="AY107" s="221"/>
      <c r="BA107" s="293" t="s">
        <v>185</v>
      </c>
      <c r="BB107" s="345">
        <f>IF(AF68="Data missing","Data missing",IF(OR(U68="",AA68="",AB68="",AC68=""),"",_XLL.RISKBINOMIAL(1,U68)))</f>
      </c>
      <c r="BC107" s="346" t="str">
        <f>IF(OR(U68="",AA68="",AB68="",AC68=""),"Data missing",_XLL.RISKPERT(AA68,AB68,AC68,_XLL.RISKNAME("Risk ID"&amp;B68),_XLL.RISKCOLLECT()))</f>
        <v>Data missing</v>
      </c>
      <c r="BD107" s="346">
        <f>IF(AF68="Data missing","Data missing",IF(OR(U68="",AA68="",AB68="",AC68=""),"",AE68*AF68))</f>
      </c>
      <c r="BE107" s="346" t="e">
        <v>#N/A</v>
      </c>
      <c r="BF107" s="346" t="e">
        <v>#N/A</v>
      </c>
      <c r="BG107" s="346" t="e">
        <v>#N/A</v>
      </c>
      <c r="BH107" s="347" t="e">
        <v>#N/A</v>
      </c>
    </row>
    <row r="108" spans="10:60" ht="24.75" customHeight="1" thickBot="1" thickTop="1">
      <c r="J108" s="48"/>
      <c r="K108" s="48"/>
      <c r="L108" s="48"/>
      <c r="M108" s="160"/>
      <c r="N108" s="182"/>
      <c r="O108" s="183"/>
      <c r="P108" s="201"/>
      <c r="Q108" s="201"/>
      <c r="T108" s="202"/>
      <c r="U108" s="203"/>
      <c r="V108" s="48"/>
      <c r="W108" s="48"/>
      <c r="X108" s="48"/>
      <c r="Y108" s="160"/>
      <c r="Z108" s="182"/>
      <c r="AI108" s="204" t="s">
        <v>182</v>
      </c>
      <c r="AJ108" s="217"/>
      <c r="AK108" s="217"/>
      <c r="AL108" s="217"/>
      <c r="AM108" s="217"/>
      <c r="AN108" s="217"/>
      <c r="AO108" s="217"/>
      <c r="AP108" s="327" t="e">
        <f>IF(AF67="Data missing","Data missing",IF(OR(U67="",AA67="",AB67="",AC67=""),"",_XLL.RISKBINOMIAL(1,U67)))</f>
        <v>#NAME?</v>
      </c>
      <c r="AU108" s="160"/>
      <c r="AV108" s="160"/>
      <c r="AW108" s="165"/>
      <c r="AX108" s="27"/>
      <c r="AY108" s="221"/>
      <c r="BA108" s="293" t="s">
        <v>17</v>
      </c>
      <c r="BB108" s="345" t="e">
        <f>IF(AF69="Data missing","Data missing",IF(OR(U69="",AA69="",AB69="",AC69=""),"",_XLL.RISKBINOMIAL(1,U69)))</f>
        <v>#NAME?</v>
      </c>
      <c r="BC108" s="346" t="e">
        <f>IF(OR(U69="",AA69="",AB69="",AC69=""),"Data missing",_XLL.RISKPERT(AA69,AB69,AC69,_XLL.RISKNAME("Risk ID"&amp;B69),_XLL.RISKCOLLECT()))</f>
        <v>#NAME?</v>
      </c>
      <c r="BD108" s="346" t="e">
        <f>IF(AF69="Data missing","Data missing",IF(OR(U69="",AA69="",AB69="",AC69=""),"",AE69*AF69))</f>
        <v>#NAME?</v>
      </c>
      <c r="BE108" s="346" t="e">
        <v>#N/A</v>
      </c>
      <c r="BF108" s="346" t="e">
        <v>#N/A</v>
      </c>
      <c r="BG108" s="346" t="e">
        <v>#N/A</v>
      </c>
      <c r="BH108" s="347" t="e">
        <v>#N/A</v>
      </c>
    </row>
    <row r="109" spans="10:60" ht="17.25" thickBot="1" thickTop="1">
      <c r="J109" s="48"/>
      <c r="K109" s="48"/>
      <c r="L109" s="48"/>
      <c r="M109" s="160"/>
      <c r="N109" s="182"/>
      <c r="O109" s="183"/>
      <c r="P109" s="201"/>
      <c r="Q109" s="201"/>
      <c r="T109" s="202"/>
      <c r="U109" s="203"/>
      <c r="V109" s="48"/>
      <c r="W109" s="48"/>
      <c r="X109" s="48"/>
      <c r="Y109" s="160"/>
      <c r="Z109" s="182"/>
      <c r="AI109" s="207"/>
      <c r="AJ109" s="52"/>
      <c r="AK109" s="52"/>
      <c r="AL109" s="52"/>
      <c r="AM109" s="52"/>
      <c r="AN109" s="52"/>
      <c r="AO109" s="52"/>
      <c r="AP109" s="52"/>
      <c r="AU109" s="160"/>
      <c r="AV109" s="160"/>
      <c r="AW109" s="165"/>
      <c r="AX109" s="27"/>
      <c r="AY109" s="221"/>
      <c r="BA109" s="293" t="s">
        <v>18</v>
      </c>
      <c r="BB109" s="348" t="e">
        <f>IF(AF70="Data missing","Data missing",IF(OR(U70="",AA70="",AB70="",AC70=""),"",_XLL.RISKBINOMIAL(1,U70)))</f>
        <v>#NAME?</v>
      </c>
      <c r="BC109" s="349" t="e">
        <f>IF(OR(U70="",AA70="",AB70="",AC70=""),"Data missing",_XLL.RISKPERT(AA70,AB70,AC70,_XLL.RISKNAME("Risk ID"&amp;B70),_XLL.RISKCOLLECT()))</f>
        <v>#NAME?</v>
      </c>
      <c r="BD109" s="349" t="e">
        <f>IF(AF70="Data missing","Data missing",IF(OR(U70="",AA70="",AB70="",AC70=""),"",AE70*AF70))</f>
        <v>#NAME?</v>
      </c>
      <c r="BE109" s="349" t="e">
        <v>#N/A</v>
      </c>
      <c r="BF109" s="349" t="e">
        <v>#N/A</v>
      </c>
      <c r="BG109" s="349" t="e">
        <v>#N/A</v>
      </c>
      <c r="BH109" s="350" t="e">
        <v>#N/A</v>
      </c>
    </row>
    <row r="110" spans="10:60" ht="16.5" customHeight="1" thickBot="1" thickTop="1">
      <c r="J110" s="53"/>
      <c r="K110" s="53"/>
      <c r="L110" s="53"/>
      <c r="M110" s="160"/>
      <c r="N110" s="53"/>
      <c r="O110" s="53"/>
      <c r="P110" s="201"/>
      <c r="Q110" s="201"/>
      <c r="T110" s="202"/>
      <c r="U110" s="203"/>
      <c r="V110" s="53"/>
      <c r="W110" s="53"/>
      <c r="X110" s="53"/>
      <c r="Y110" s="160"/>
      <c r="Z110" s="53"/>
      <c r="AH110" s="159"/>
      <c r="AI110" s="208"/>
      <c r="AJ110" s="840" t="s">
        <v>689</v>
      </c>
      <c r="AK110" s="841"/>
      <c r="AL110" s="209"/>
      <c r="AM110" s="210"/>
      <c r="AN110" s="210"/>
      <c r="AO110" s="211" t="s">
        <v>115</v>
      </c>
      <c r="AP110" s="433" t="e">
        <f>IF(AF67="Data missing","Data missing",IF(OR(U67="",AA67="",AB67="",AC67=""),"",_XLL.RISKBINOMIAL(1,U67)))</f>
        <v>#NAME?</v>
      </c>
      <c r="AU110" s="160"/>
      <c r="AV110" s="160"/>
      <c r="AW110" s="165"/>
      <c r="AX110" s="27"/>
      <c r="AY110" s="27"/>
      <c r="AZ110" s="27"/>
      <c r="BA110" s="27"/>
      <c r="BB110" s="290"/>
      <c r="BC110" s="290"/>
      <c r="BD110" s="290"/>
      <c r="BE110" s="290"/>
      <c r="BF110" s="290"/>
      <c r="BG110" s="290"/>
      <c r="BH110" s="291"/>
    </row>
    <row r="111" spans="10:60" ht="16.5" thickTop="1">
      <c r="J111" s="53"/>
      <c r="K111" s="53"/>
      <c r="L111" s="53"/>
      <c r="M111" s="160"/>
      <c r="N111" s="53"/>
      <c r="O111" s="53"/>
      <c r="P111" s="201"/>
      <c r="Q111" s="201"/>
      <c r="T111" s="202"/>
      <c r="U111" s="203"/>
      <c r="V111" s="53"/>
      <c r="W111" s="53"/>
      <c r="X111" s="53"/>
      <c r="Y111" s="160"/>
      <c r="Z111" s="53"/>
      <c r="AH111" s="159"/>
      <c r="AI111" s="208"/>
      <c r="AJ111" s="842"/>
      <c r="AK111" s="843"/>
      <c r="AM111" s="212"/>
      <c r="AN111" s="212"/>
      <c r="AO111" s="212" t="s">
        <v>113</v>
      </c>
      <c r="AP111" s="213" t="e">
        <f>IF(OR(U67="",AA67="",AB67="",AC67=""),"Data missing",_XLL.RISKPERT(AA67,AB67,AC67,_XLL.RISKNAME("Risk ID"&amp;B67),_XLL.RISKCOLLECT()))</f>
        <v>#NAME?</v>
      </c>
      <c r="AU111" s="160"/>
      <c r="AV111" s="160"/>
      <c r="AW111" s="160"/>
      <c r="BB111" s="426" t="s">
        <v>3</v>
      </c>
      <c r="BC111" s="427"/>
      <c r="BD111" s="427"/>
      <c r="BE111" s="427"/>
      <c r="BF111" s="427"/>
      <c r="BG111" s="427"/>
      <c r="BH111" s="428"/>
    </row>
    <row r="112" spans="10:60" ht="16.5" thickBot="1">
      <c r="J112" s="53"/>
      <c r="K112" s="53"/>
      <c r="L112" s="53"/>
      <c r="M112" s="160"/>
      <c r="N112" s="182"/>
      <c r="O112" s="183"/>
      <c r="P112" s="201"/>
      <c r="Q112" s="201"/>
      <c r="T112" s="202"/>
      <c r="U112" s="203"/>
      <c r="V112" s="53"/>
      <c r="W112" s="53"/>
      <c r="X112" s="53"/>
      <c r="Y112" s="160"/>
      <c r="Z112" s="182"/>
      <c r="AH112" s="159"/>
      <c r="AI112" s="11"/>
      <c r="AJ112" s="844"/>
      <c r="AK112" s="845"/>
      <c r="AL112" s="214"/>
      <c r="AM112" s="204"/>
      <c r="AN112" s="204"/>
      <c r="AO112" s="215" t="s">
        <v>114</v>
      </c>
      <c r="AP112" s="213" t="e">
        <f>IF(AF67="Data missing","Data missing",IF(OR(U67="",AA67="",AB67="",AC67=""),"",AE67*AF67))</f>
        <v>#NAME?</v>
      </c>
      <c r="AU112" s="160"/>
      <c r="AV112" s="160"/>
      <c r="AW112" s="160"/>
      <c r="BA112" s="293" t="s">
        <v>185</v>
      </c>
      <c r="BB112" s="423">
        <v>3.629262224291021</v>
      </c>
      <c r="BC112" s="424">
        <v>0</v>
      </c>
      <c r="BD112" s="424">
        <v>0</v>
      </c>
      <c r="BE112" s="424">
        <v>0</v>
      </c>
      <c r="BF112" s="424">
        <v>0</v>
      </c>
      <c r="BG112" s="424">
        <v>0</v>
      </c>
      <c r="BH112" s="425">
        <v>10.524992507975153</v>
      </c>
    </row>
    <row r="113" spans="10:60" ht="17.25" thickBot="1" thickTop="1">
      <c r="J113" s="53"/>
      <c r="K113" s="53"/>
      <c r="L113" s="53"/>
      <c r="M113" s="160"/>
      <c r="N113" s="182"/>
      <c r="O113" s="183"/>
      <c r="P113" s="201"/>
      <c r="Q113" s="201"/>
      <c r="T113" s="202"/>
      <c r="U113" s="203"/>
      <c r="V113" s="53"/>
      <c r="W113" s="53"/>
      <c r="X113" s="53"/>
      <c r="Y113" s="160"/>
      <c r="Z113" s="182"/>
      <c r="AH113" s="159"/>
      <c r="AI113" s="11"/>
      <c r="AJ113" s="414"/>
      <c r="AK113" s="415"/>
      <c r="AL113" s="216"/>
      <c r="AM113" s="211"/>
      <c r="AN113" s="211"/>
      <c r="AO113" s="211"/>
      <c r="AP113" s="217"/>
      <c r="AU113" s="160"/>
      <c r="AV113" s="160"/>
      <c r="AW113" s="160"/>
      <c r="BA113" s="293" t="s">
        <v>17</v>
      </c>
      <c r="BB113" s="345">
        <v>15.042198906105837</v>
      </c>
      <c r="BC113" s="346">
        <v>8.006557683085664</v>
      </c>
      <c r="BD113" s="346">
        <v>0</v>
      </c>
      <c r="BE113" s="346">
        <v>0</v>
      </c>
      <c r="BF113" s="346">
        <v>0</v>
      </c>
      <c r="BG113" s="346">
        <v>0</v>
      </c>
      <c r="BH113" s="347">
        <v>24.520325812500626</v>
      </c>
    </row>
    <row r="114" spans="10:60" ht="16.5" customHeight="1" thickBot="1" thickTop="1">
      <c r="J114" s="53"/>
      <c r="K114" s="53"/>
      <c r="L114" s="53"/>
      <c r="M114" s="160"/>
      <c r="N114" s="53"/>
      <c r="O114" s="53"/>
      <c r="P114" s="201"/>
      <c r="Q114" s="201"/>
      <c r="T114" s="202"/>
      <c r="U114" s="203"/>
      <c r="V114" s="53"/>
      <c r="W114" s="53"/>
      <c r="X114" s="53"/>
      <c r="Y114" s="160"/>
      <c r="Z114" s="53"/>
      <c r="AH114" s="159"/>
      <c r="AI114" s="208"/>
      <c r="AJ114" s="840" t="s">
        <v>689</v>
      </c>
      <c r="AK114" s="841"/>
      <c r="AL114" s="426" t="s">
        <v>3</v>
      </c>
      <c r="AM114" s="430"/>
      <c r="AN114" s="430"/>
      <c r="AO114" s="431"/>
      <c r="AP114" s="432"/>
      <c r="AU114" s="160"/>
      <c r="AV114" s="160"/>
      <c r="AW114" s="165"/>
      <c r="AX114" s="27"/>
      <c r="AY114" s="27"/>
      <c r="AZ114" s="27"/>
      <c r="BA114" s="293" t="s">
        <v>18</v>
      </c>
      <c r="BB114" s="348">
        <v>28.160028661953042</v>
      </c>
      <c r="BC114" s="349">
        <v>19.17585303461238</v>
      </c>
      <c r="BD114" s="349">
        <v>5.6501906715499075</v>
      </c>
      <c r="BE114" s="349">
        <v>0</v>
      </c>
      <c r="BF114" s="349">
        <v>0</v>
      </c>
      <c r="BG114" s="349">
        <v>0</v>
      </c>
      <c r="BH114" s="350">
        <v>42.3499247919178</v>
      </c>
    </row>
    <row r="115" spans="10:60" ht="16.5" thickTop="1">
      <c r="J115" s="53"/>
      <c r="K115" s="53"/>
      <c r="L115" s="53"/>
      <c r="M115" s="160"/>
      <c r="N115" s="53"/>
      <c r="O115" s="53"/>
      <c r="P115" s="201"/>
      <c r="Q115" s="201"/>
      <c r="T115" s="202"/>
      <c r="U115" s="203"/>
      <c r="V115" s="53"/>
      <c r="W115" s="53"/>
      <c r="X115" s="53"/>
      <c r="Y115" s="160"/>
      <c r="Z115" s="53"/>
      <c r="AH115" s="159"/>
      <c r="AI115" s="208"/>
      <c r="AJ115" s="842"/>
      <c r="AK115" s="843"/>
      <c r="AM115" s="212"/>
      <c r="AN115" s="212"/>
      <c r="AO115" s="212" t="s">
        <v>113</v>
      </c>
      <c r="AP115" s="429">
        <v>11696745.260494612</v>
      </c>
      <c r="AU115" s="160"/>
      <c r="AV115" s="160"/>
      <c r="AW115" s="160"/>
      <c r="BB115" s="290"/>
      <c r="BC115" s="290"/>
      <c r="BD115" s="290"/>
      <c r="BE115" s="290"/>
      <c r="BF115" s="290"/>
      <c r="BG115" s="290"/>
      <c r="BH115" s="291"/>
    </row>
    <row r="116" spans="10:60" ht="16.5" thickBot="1">
      <c r="J116" s="53"/>
      <c r="K116" s="53"/>
      <c r="L116" s="53"/>
      <c r="M116" s="160"/>
      <c r="N116" s="182"/>
      <c r="O116" s="183"/>
      <c r="P116" s="201"/>
      <c r="Q116" s="201"/>
      <c r="T116" s="202"/>
      <c r="U116" s="203"/>
      <c r="V116" s="53"/>
      <c r="W116" s="53"/>
      <c r="X116" s="53"/>
      <c r="Y116" s="160"/>
      <c r="Z116" s="182"/>
      <c r="AH116" s="159"/>
      <c r="AI116" s="11"/>
      <c r="AJ116" s="844"/>
      <c r="AK116" s="845"/>
      <c r="AL116" s="419"/>
      <c r="AM116" s="420"/>
      <c r="AN116" s="420"/>
      <c r="AO116" s="421" t="s">
        <v>114</v>
      </c>
      <c r="AP116" s="422">
        <v>20695646.153940383</v>
      </c>
      <c r="AU116" s="160"/>
      <c r="AV116" s="160"/>
      <c r="AW116" s="160"/>
      <c r="BB116" s="290"/>
      <c r="BC116" s="290"/>
      <c r="BD116" s="290"/>
      <c r="BE116" s="290"/>
      <c r="BF116" s="290"/>
      <c r="BG116" s="290"/>
      <c r="BH116" s="291"/>
    </row>
    <row r="117" spans="10:60" ht="16.5" thickTop="1">
      <c r="J117" s="53"/>
      <c r="K117" s="53"/>
      <c r="L117" s="53"/>
      <c r="M117" s="160"/>
      <c r="N117" s="182"/>
      <c r="O117" s="183"/>
      <c r="P117" s="201"/>
      <c r="Q117" s="201"/>
      <c r="T117" s="202"/>
      <c r="U117" s="203"/>
      <c r="V117" s="53"/>
      <c r="W117" s="53"/>
      <c r="X117" s="53"/>
      <c r="Y117" s="160"/>
      <c r="Z117" s="182"/>
      <c r="AH117" s="159"/>
      <c r="AI117" s="11"/>
      <c r="AJ117" s="418"/>
      <c r="AK117" s="416"/>
      <c r="AL117" s="218"/>
      <c r="AM117" s="204"/>
      <c r="AN117" s="204"/>
      <c r="AO117" s="204"/>
      <c r="AP117" s="219"/>
      <c r="AU117" s="160"/>
      <c r="AV117" s="160"/>
      <c r="AW117" s="160"/>
      <c r="BB117" s="290"/>
      <c r="BC117" s="290"/>
      <c r="BD117" s="290"/>
      <c r="BE117" s="290"/>
      <c r="BF117" s="290"/>
      <c r="BG117" s="290"/>
      <c r="BH117" s="291"/>
    </row>
    <row r="118" spans="10:60" ht="15.75">
      <c r="J118" s="53"/>
      <c r="K118" s="53"/>
      <c r="L118" s="53"/>
      <c r="M118" s="160"/>
      <c r="N118" s="182"/>
      <c r="O118" s="183"/>
      <c r="P118" s="201"/>
      <c r="Q118" s="201"/>
      <c r="T118" s="202"/>
      <c r="U118" s="203"/>
      <c r="V118" s="53"/>
      <c r="W118" s="53"/>
      <c r="X118" s="53"/>
      <c r="Y118" s="160"/>
      <c r="Z118" s="182"/>
      <c r="AH118" s="159"/>
      <c r="AI118" s="11"/>
      <c r="AJ118" s="418"/>
      <c r="AK118" s="416"/>
      <c r="AL118" s="218"/>
      <c r="AM118" s="204"/>
      <c r="AN118" s="204"/>
      <c r="AO118" s="204"/>
      <c r="AP118" s="219"/>
      <c r="AU118" s="160"/>
      <c r="AV118" s="160"/>
      <c r="AW118" s="160"/>
      <c r="BB118" s="290"/>
      <c r="BC118" s="290"/>
      <c r="BD118" s="290"/>
      <c r="BE118" s="290"/>
      <c r="BF118" s="290"/>
      <c r="BG118" s="290"/>
      <c r="BH118" s="291"/>
    </row>
    <row r="119" spans="10:60" ht="15.75" customHeight="1">
      <c r="J119" s="53"/>
      <c r="K119" s="53"/>
      <c r="L119" s="53"/>
      <c r="M119" s="160"/>
      <c r="N119" s="182"/>
      <c r="O119" s="183"/>
      <c r="P119" s="201"/>
      <c r="Q119" s="201"/>
      <c r="T119" s="202"/>
      <c r="U119" s="203"/>
      <c r="V119" s="53"/>
      <c r="W119" s="53"/>
      <c r="X119" s="53"/>
      <c r="Y119" s="160"/>
      <c r="Z119" s="182"/>
      <c r="AH119" s="159"/>
      <c r="AI119" s="11"/>
      <c r="AJ119" s="416"/>
      <c r="AK119" s="416"/>
      <c r="AL119" s="218"/>
      <c r="AM119" s="204"/>
      <c r="AN119" s="204"/>
      <c r="AO119" s="212"/>
      <c r="AP119" s="219"/>
      <c r="AU119" s="160"/>
      <c r="AV119" s="160"/>
      <c r="AW119" s="160"/>
      <c r="BB119" s="290"/>
      <c r="BC119" s="290"/>
      <c r="BD119" s="290"/>
      <c r="BE119" s="290"/>
      <c r="BF119" s="290"/>
      <c r="BG119" s="290"/>
      <c r="BH119" s="291"/>
    </row>
    <row r="120" spans="10:60" ht="15.75">
      <c r="J120" s="53"/>
      <c r="K120" s="53"/>
      <c r="L120" s="53"/>
      <c r="M120" s="160"/>
      <c r="N120" s="182"/>
      <c r="O120" s="183"/>
      <c r="P120" s="201"/>
      <c r="Q120" s="201"/>
      <c r="T120" s="202"/>
      <c r="U120" s="203"/>
      <c r="V120" s="53"/>
      <c r="W120" s="53"/>
      <c r="X120" s="53"/>
      <c r="Y120" s="160"/>
      <c r="Z120" s="182"/>
      <c r="AH120" s="159"/>
      <c r="AI120" s="11"/>
      <c r="AJ120" s="416"/>
      <c r="AK120" s="416"/>
      <c r="AL120" s="218"/>
      <c r="AM120" s="204"/>
      <c r="AN120" s="204"/>
      <c r="AO120" s="212"/>
      <c r="AP120" s="219"/>
      <c r="AU120" s="160"/>
      <c r="AV120" s="160"/>
      <c r="AW120" s="160"/>
      <c r="BB120" s="290"/>
      <c r="BC120" s="290"/>
      <c r="BD120" s="290"/>
      <c r="BE120" s="290"/>
      <c r="BF120" s="290"/>
      <c r="BG120" s="290"/>
      <c r="BH120" s="291"/>
    </row>
    <row r="121" spans="10:60" ht="15.75">
      <c r="J121" s="53"/>
      <c r="K121" s="53"/>
      <c r="L121" s="53"/>
      <c r="M121" s="160"/>
      <c r="N121" s="182"/>
      <c r="O121" s="183"/>
      <c r="P121" s="201"/>
      <c r="Q121" s="201"/>
      <c r="T121" s="202"/>
      <c r="U121" s="203"/>
      <c r="V121" s="53"/>
      <c r="W121" s="53"/>
      <c r="X121" s="53"/>
      <c r="Y121" s="160"/>
      <c r="Z121" s="182"/>
      <c r="AH121" s="159"/>
      <c r="AI121" s="11"/>
      <c r="AJ121" s="281" t="s">
        <v>180</v>
      </c>
      <c r="AU121" s="160"/>
      <c r="AV121" s="160"/>
      <c r="AW121" s="160"/>
      <c r="BB121" s="290"/>
      <c r="BC121" s="290"/>
      <c r="BD121" s="290"/>
      <c r="BE121" s="290"/>
      <c r="BF121" s="290"/>
      <c r="BG121" s="290"/>
      <c r="BH121" s="291"/>
    </row>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spans="1:75" s="591" customFormat="1" ht="75" customHeight="1">
      <c r="A160" s="757"/>
      <c r="B160" s="568">
        <v>27</v>
      </c>
      <c r="C160" s="569"/>
      <c r="D160" s="607" t="s">
        <v>357</v>
      </c>
      <c r="E160" s="570" t="s">
        <v>387</v>
      </c>
      <c r="F160" s="571" t="s">
        <v>322</v>
      </c>
      <c r="G160" s="571"/>
      <c r="H160" s="572" t="s">
        <v>14</v>
      </c>
      <c r="I160" s="572"/>
      <c r="J160" s="573" t="s">
        <v>23</v>
      </c>
      <c r="K160" s="573" t="s">
        <v>23</v>
      </c>
      <c r="L160" s="573" t="s">
        <v>23</v>
      </c>
      <c r="M160" s="574" t="str">
        <f>IF(OR(K160="",L160="",J160=""),"Data missing",IF(OR(K160="VH",L160="VH"),"VH",IF(OR(K160="H",L160="H"),"H",IF(OR(K160="M",L160="M"),"M",IF(OR(K160="L",L160="L"),"L",IF(OR(K160="VL",L160="VL"),"VL"))))))</f>
        <v>L</v>
      </c>
      <c r="N160" s="575" t="str">
        <f>IF(M160="Data missing","Data missing",IF(M160="VH","H",(IF(M160="H",HLOOKUP(J160,'3 - Prioritisation'!$D$16:$H$21,3,FALSE),IF(M160="M",HLOOKUP(J160,'3 - Prioritisation'!$D$16:$H$21,4,FALSE),IF(M160="L",HLOOKUP(J160,'3 - Prioritisation'!$D$16:$H$21,5,FALSE),IF(M160="VL",HLOOKUP(J160,'3 - Prioritisation'!$D$16:$H$21,6,FALSE))))))))</f>
        <v>L</v>
      </c>
      <c r="O160" s="576"/>
      <c r="P160" s="577" t="s">
        <v>553</v>
      </c>
      <c r="Q160" s="577" t="s">
        <v>448</v>
      </c>
      <c r="R160" s="578"/>
      <c r="S160" s="573"/>
      <c r="T160" s="579"/>
      <c r="U160" s="580">
        <v>0.05</v>
      </c>
      <c r="V160" s="573" t="s">
        <v>140</v>
      </c>
      <c r="W160" s="573" t="s">
        <v>24</v>
      </c>
      <c r="X160" s="573" t="s">
        <v>23</v>
      </c>
      <c r="Y160" s="574" t="str">
        <f>IF(OR(W160="",X160="",V160=""),"Data missing",IF(OR(W160="VH",X160="VH"),"VH",IF(OR(W160="H",X160="H"),"H",IF(OR(W160="M",X160="M"),"M",IF(OR(W160="L",X160="L"),"L",IF(OR(W160="VL",X160="VL"),"VL"))))))</f>
        <v>M</v>
      </c>
      <c r="Z160" s="575" t="str">
        <f>IF(Y160="Data missing","Data missing",IF(Y160="VH","H",(IF(Y160="H",HLOOKUP(V160,'3 - Prioritisation'!$D$16:$H$21,3,FALSE),IF(Y160="M",HLOOKUP(V160,'3 - Prioritisation'!$D$16:$H$21,4,FALSE),IF(Y160="L",HLOOKUP(V160,'3 - Prioritisation'!$D$16:$H$21,5,FALSE),IF(Y160="VL",HLOOKUP(V160,'3 - Prioritisation'!$D$16:$H$21,6,FALSE))))))))</f>
        <v>L</v>
      </c>
      <c r="AA160" s="581">
        <v>0</v>
      </c>
      <c r="AB160" s="581">
        <v>0</v>
      </c>
      <c r="AC160" s="581">
        <v>0</v>
      </c>
      <c r="AD160" s="582">
        <f>U160*AB160</f>
        <v>0</v>
      </c>
      <c r="AE160" s="583" t="e">
        <f>IF(AF160="Data missing","Data missing",IF(OR(U160="",AA160="",AB160="",AC160=""),"",_XLL.RISKBINOMIAL(1,U160)))</f>
        <v>#NAME?</v>
      </c>
      <c r="AF160" s="584" t="e">
        <f>IF(OR(U160="",AA160="",AB160="",AC160=""),"Data missing",_XLL.RISKPERT(AA160,AB160,AC160,_XLL.RISKNAME("Risk ID"&amp;B160),_XLL.RISKCOLLECT()))</f>
        <v>#NAME?</v>
      </c>
      <c r="AG160" s="585" t="e">
        <f>IF(AF160="Data missing","Data missing",IF(OR(U160="",AA160="",AB160="",AC160=""),"",AE160*AF160))</f>
        <v>#NAME?</v>
      </c>
      <c r="AH160" s="608" t="s">
        <v>566</v>
      </c>
      <c r="AI160" s="586"/>
      <c r="AJ160" s="587">
        <f aca="true" t="shared" si="86" ref="AJ160:AO160">IF($H160="","Identify Risk Owner",IF($H160=AJ$16,$AG160,0))</f>
        <v>0</v>
      </c>
      <c r="AK160" s="588">
        <f t="shared" si="86"/>
        <v>0</v>
      </c>
      <c r="AL160" s="588" t="e">
        <f t="shared" si="86"/>
        <v>#NAME?</v>
      </c>
      <c r="AM160" s="588">
        <f t="shared" si="86"/>
        <v>0</v>
      </c>
      <c r="AN160" s="588">
        <f t="shared" si="86"/>
        <v>0</v>
      </c>
      <c r="AO160" s="589">
        <f t="shared" si="86"/>
        <v>0</v>
      </c>
      <c r="AP160" s="590" t="e">
        <f>SUM(AJ160:AO160)</f>
        <v>#NAME?</v>
      </c>
      <c r="AR160" s="592"/>
      <c r="AS160" s="593"/>
      <c r="AT160" s="594">
        <f>IF(AS160="Yes",U160,0)</f>
        <v>0</v>
      </c>
      <c r="AU160" s="595">
        <v>0</v>
      </c>
      <c r="AV160" s="596">
        <v>4</v>
      </c>
      <c r="AW160" s="597">
        <v>6</v>
      </c>
      <c r="AX160" s="598" t="e">
        <f>IF(AY160="Data missing","Data missing",IF(OR(AT160="",AU160="",AV160="",AW160=""),"",_XLL.RISKBINOMIAL(1,AT160)))</f>
        <v>#NAME?</v>
      </c>
      <c r="AY160" s="599" t="e">
        <f>IF(OR(AT160="",AU160="",AV160="",AW160=""),"Data missing",_XLL.RISKPERT(AU160,AV160,AW160))</f>
        <v>#NAME?</v>
      </c>
      <c r="AZ160" s="600" t="e">
        <f>IF(AY160="Data missing","Data missing",IF(OR(AT160="",AU160="",AV160="",AW160=""),"",AX160*AY160))</f>
        <v>#NAME?</v>
      </c>
      <c r="BB160" s="601">
        <f>IF($H160="","Identify Risk Owner",IF($H160=BB$16,$AZ160,0))</f>
        <v>0</v>
      </c>
      <c r="BC160" s="602">
        <f>IF($H160="","Identify Risk Owner",IF($H160=BC$16,$AZ160,0))</f>
        <v>0</v>
      </c>
      <c r="BD160" s="602" t="e">
        <f>IF($H160="","Identify Risk Owner",IF($H160=BD$16,$AZ160,0))</f>
        <v>#NAME?</v>
      </c>
      <c r="BE160" s="603">
        <f>IF($H160="","Identify risk owner",IF($H160=BE$16,$AZ160,0))</f>
        <v>0</v>
      </c>
      <c r="BF160" s="603">
        <f>IF($H160="","Identify risk owner",IF($H160=BF$16,$AZ160,0))</f>
        <v>0</v>
      </c>
      <c r="BG160" s="604">
        <f>IF($H160="","Identify risk owner",IF($H160=BG$16,$AZ160,0))</f>
        <v>0</v>
      </c>
      <c r="BH160" s="605" t="e">
        <f>SUM(BB160:BG160)</f>
        <v>#NAME?</v>
      </c>
      <c r="BI160" s="606"/>
      <c r="BJ160" s="606"/>
      <c r="BK160" s="606"/>
      <c r="BL160" s="606"/>
      <c r="BM160" s="606"/>
      <c r="BN160" s="606"/>
      <c r="BO160" s="606"/>
      <c r="BP160" s="606"/>
      <c r="BQ160" s="606"/>
      <c r="BR160" s="606"/>
      <c r="BS160" s="606"/>
      <c r="BT160" s="606"/>
      <c r="BU160" s="606"/>
      <c r="BV160" s="606"/>
      <c r="BW160" s="606"/>
    </row>
    <row r="161" ht="15"/>
    <row r="162" spans="1:60" s="591" customFormat="1" ht="48" customHeight="1">
      <c r="A162" s="757"/>
      <c r="B162" s="568">
        <v>35</v>
      </c>
      <c r="C162" s="569"/>
      <c r="D162" s="607" t="s">
        <v>459</v>
      </c>
      <c r="E162" s="569" t="s">
        <v>556</v>
      </c>
      <c r="F162" s="572" t="s">
        <v>322</v>
      </c>
      <c r="G162" s="572"/>
      <c r="H162" s="572" t="s">
        <v>190</v>
      </c>
      <c r="I162" s="572"/>
      <c r="J162" s="573" t="s">
        <v>25</v>
      </c>
      <c r="K162" s="573" t="s">
        <v>23</v>
      </c>
      <c r="L162" s="573" t="s">
        <v>23</v>
      </c>
      <c r="M162" s="574" t="str">
        <f>IF(OR(K162="",L162="",J162=""),"Data missing",IF(OR(K162="VH",L162="VH"),"VH",IF(OR(K162="H",L162="H"),"H",IF(OR(K162="M",L162="M"),"M",IF(OR(K162="L",L162="L"),"L",IF(OR(K162="VL",L162="VL"),"VL"))))))</f>
        <v>L</v>
      </c>
      <c r="N162" s="575" t="str">
        <f>IF(M162="Data missing","Data missing",IF(M162="VH","H",(IF(M162="H",HLOOKUP(J162,'3 - Prioritisation'!$D$16:$H$21,3,FALSE),IF(M162="M",HLOOKUP(J162,'3 - Prioritisation'!$D$16:$H$21,4,FALSE),IF(M162="L",HLOOKUP(J162,'3 - Prioritisation'!$D$16:$H$21,5,FALSE),IF(M162="VL",HLOOKUP(J162,'3 - Prioritisation'!$D$16:$H$21,6,FALSE))))))))</f>
        <v>M</v>
      </c>
      <c r="O162" s="576"/>
      <c r="P162" s="577" t="s">
        <v>460</v>
      </c>
      <c r="Q162" s="577" t="s">
        <v>460</v>
      </c>
      <c r="R162" s="578"/>
      <c r="S162" s="573"/>
      <c r="T162" s="579"/>
      <c r="U162" s="580"/>
      <c r="V162" s="573"/>
      <c r="W162" s="573"/>
      <c r="X162" s="573"/>
      <c r="Y162" s="574"/>
      <c r="Z162" s="575" t="b">
        <f>IF(Y162="Data missing","Data missing",IF(Y162="VH","H",(IF(Y162="H",HLOOKUP(V162,'3 - Prioritisation'!$D$16:$H$21,3,FALSE),IF(Y162="M",HLOOKUP(V162,'3 - Prioritisation'!$D$16:$H$21,4,FALSE),IF(Y162="L",HLOOKUP(V162,'3 - Prioritisation'!$D$16:$H$21,5,FALSE),IF(Y162="VL",HLOOKUP(V162,'3 - Prioritisation'!$D$16:$H$21,6,FALSE))))))))</f>
        <v>0</v>
      </c>
      <c r="AA162" s="581">
        <v>0</v>
      </c>
      <c r="AB162" s="581">
        <v>0</v>
      </c>
      <c r="AC162" s="581">
        <v>0</v>
      </c>
      <c r="AD162" s="582"/>
      <c r="AE162" s="583"/>
      <c r="AF162" s="584"/>
      <c r="AG162" s="585"/>
      <c r="AH162" s="608"/>
      <c r="AI162" s="609"/>
      <c r="AJ162" s="587"/>
      <c r="AK162" s="588"/>
      <c r="AL162" s="588"/>
      <c r="AM162" s="588"/>
      <c r="AN162" s="588"/>
      <c r="AO162" s="589"/>
      <c r="AP162" s="590"/>
      <c r="AR162" s="592"/>
      <c r="AS162" s="593"/>
      <c r="AT162" s="594"/>
      <c r="AU162" s="595"/>
      <c r="AV162" s="596"/>
      <c r="AW162" s="597"/>
      <c r="AX162" s="598"/>
      <c r="AY162" s="599"/>
      <c r="AZ162" s="600"/>
      <c r="BB162" s="601"/>
      <c r="BC162" s="602"/>
      <c r="BD162" s="602"/>
      <c r="BE162" s="603"/>
      <c r="BF162" s="603"/>
      <c r="BG162" s="604"/>
      <c r="BH162" s="605"/>
    </row>
    <row r="163" spans="1:60" s="591" customFormat="1" ht="63.75" customHeight="1">
      <c r="A163" s="757"/>
      <c r="B163" s="568">
        <v>36</v>
      </c>
      <c r="C163" s="569"/>
      <c r="D163" s="607" t="s">
        <v>456</v>
      </c>
      <c r="E163" s="569" t="s">
        <v>385</v>
      </c>
      <c r="F163" s="572" t="s">
        <v>322</v>
      </c>
      <c r="G163" s="572"/>
      <c r="H163" s="572" t="s">
        <v>190</v>
      </c>
      <c r="I163" s="572"/>
      <c r="J163" s="573" t="s">
        <v>25</v>
      </c>
      <c r="K163" s="573" t="s">
        <v>23</v>
      </c>
      <c r="L163" s="573" t="s">
        <v>24</v>
      </c>
      <c r="M163" s="574" t="str">
        <f>IF(OR(K163="",L163="",J163=""),"Data missing",IF(OR(K163="VH",L163="VH"),"VH",IF(OR(K163="H",L163="H"),"H",IF(OR(K163="M",L163="M"),"M",IF(OR(K163="L",L163="L"),"L",IF(OR(K163="VL",L163="VL"),"VL"))))))</f>
        <v>M</v>
      </c>
      <c r="N163" s="575" t="str">
        <f>IF(M163="Data missing","Data missing",IF(M163="VH","H",(IF(M163="H",HLOOKUP(J163,'3 - Prioritisation'!$D$16:$H$21,3,FALSE),IF(M163="M",HLOOKUP(J163,'3 - Prioritisation'!$D$16:$H$21,4,FALSE),IF(M163="L",HLOOKUP(J163,'3 - Prioritisation'!$D$16:$H$21,5,FALSE),IF(M163="VL",HLOOKUP(J163,'3 - Prioritisation'!$D$16:$H$21,6,FALSE))))))))</f>
        <v>M</v>
      </c>
      <c r="O163" s="576"/>
      <c r="P163" s="577" t="s">
        <v>457</v>
      </c>
      <c r="Q163" s="577" t="s">
        <v>458</v>
      </c>
      <c r="R163" s="578"/>
      <c r="S163" s="573"/>
      <c r="T163" s="579"/>
      <c r="U163" s="580">
        <v>0.15</v>
      </c>
      <c r="V163" s="573" t="s">
        <v>23</v>
      </c>
      <c r="W163" s="573" t="s">
        <v>23</v>
      </c>
      <c r="X163" s="573" t="s">
        <v>25</v>
      </c>
      <c r="Y163" s="574" t="str">
        <f>IF(OR(W163="",X163="",V163=""),"Data missing",IF(OR(W163="VH",X163="VH"),"VH",IF(OR(W163="H",X163="H"),"H",IF(OR(W163="M",X163="M"),"M",IF(OR(W163="L",X163="L"),"L",IF(OR(W163="VL",X163="VL"),"VL"))))))</f>
        <v>H</v>
      </c>
      <c r="Z163" s="575" t="str">
        <f>IF(Y163="Data missing","Data missing",IF(Y163="VH","H",(IF(Y163="H",HLOOKUP(V163,'3 - Prioritisation'!$D$16:$H$21,3,FALSE),IF(Y163="M",HLOOKUP(V163,'3 - Prioritisation'!$D$16:$H$21,4,FALSE),IF(Y163="L",HLOOKUP(V163,'3 - Prioritisation'!$D$16:$H$21,5,FALSE),IF(Y163="VL",HLOOKUP(V163,'3 - Prioritisation'!$D$16:$H$21,6,FALSE))))))))</f>
        <v>M</v>
      </c>
      <c r="AA163" s="581">
        <v>25000</v>
      </c>
      <c r="AB163" s="581">
        <v>75000</v>
      </c>
      <c r="AC163" s="581">
        <v>100000</v>
      </c>
      <c r="AD163" s="582">
        <f>U163*AB163</f>
        <v>11250</v>
      </c>
      <c r="AE163" s="583" t="e">
        <f>IF(AF163="Data missing","Data missing",IF(OR(U163="",AA163="",AB163="",AC163=""),"",_XLL.RISKBINOMIAL(1,U163)))</f>
        <v>#NAME?</v>
      </c>
      <c r="AF163" s="584" t="e">
        <f>IF(OR(U163="",AA163="",AB163="",AC163=""),"Data missing",_XLL.RISKPERT(AA163,AB163,AC163,_XLL.RISKNAME("Risk ID"&amp;B163),_XLL.RISKCOLLECT()))</f>
        <v>#NAME?</v>
      </c>
      <c r="AG163" s="585" t="e">
        <f>IF(AF163="Data missing","Data missing",IF(OR(U163="",AA163="",AB163="",AC163=""),"",AE163*AF163))</f>
        <v>#NAME?</v>
      </c>
      <c r="AH163" s="608" t="s">
        <v>567</v>
      </c>
      <c r="AI163" s="609"/>
      <c r="AJ163" s="587" t="e">
        <f aca="true" t="shared" si="87" ref="AJ163:AO163">IF($H163="","Identify Risk Owner",IF($H163=AJ$16,$AG163,0))</f>
        <v>#NAME?</v>
      </c>
      <c r="AK163" s="588">
        <f t="shared" si="87"/>
        <v>0</v>
      </c>
      <c r="AL163" s="588">
        <f t="shared" si="87"/>
        <v>0</v>
      </c>
      <c r="AM163" s="588">
        <f t="shared" si="87"/>
        <v>0</v>
      </c>
      <c r="AN163" s="588">
        <f t="shared" si="87"/>
        <v>0</v>
      </c>
      <c r="AO163" s="589">
        <f t="shared" si="87"/>
        <v>0</v>
      </c>
      <c r="AP163" s="590" t="e">
        <f>SUM(AJ163:AO163)</f>
        <v>#NAME?</v>
      </c>
      <c r="AR163" s="592"/>
      <c r="AS163" s="593"/>
      <c r="AT163" s="594">
        <f>IF(AS163="Yes",U163,0)</f>
        <v>0</v>
      </c>
      <c r="AU163" s="595">
        <v>1</v>
      </c>
      <c r="AV163" s="596">
        <v>3</v>
      </c>
      <c r="AW163" s="597">
        <v>6</v>
      </c>
      <c r="AX163" s="598" t="e">
        <f>IF(AY163="Data missing","Data missing",IF(OR(AT163="",AU163="",AV163="",AW163=""),"",_XLL.RISKBINOMIAL(1,AT163)))</f>
        <v>#NAME?</v>
      </c>
      <c r="AY163" s="599" t="e">
        <f>IF(OR(AT163="",AU163="",AV163="",AW163=""),"Data missing",_XLL.RISKPERT(AU163,AV163,AW163))</f>
        <v>#NAME?</v>
      </c>
      <c r="AZ163" s="600" t="e">
        <f>IF(AY163="Data missing","Data missing",IF(OR(AT163="",AU163="",AV163="",AW163=""),"",AX163*AY163))</f>
        <v>#NAME?</v>
      </c>
      <c r="BB163" s="601" t="e">
        <f>IF($H163="","Identify Risk Owner",IF($H163=BB$16,$AZ163,0))</f>
        <v>#NAME?</v>
      </c>
      <c r="BC163" s="602">
        <f>IF($H163="","Identify Risk Owner",IF($H163=BC$16,$AZ163,0))</f>
        <v>0</v>
      </c>
      <c r="BD163" s="602">
        <f>IF($H163="","Identify Risk Owner",IF($H163=BD$16,$AZ163,0))</f>
        <v>0</v>
      </c>
      <c r="BE163" s="603">
        <f>IF($H163="","Identify risk owner",IF($H163=BE$16,$AZ163,0))</f>
        <v>0</v>
      </c>
      <c r="BF163" s="603">
        <f>IF($H163="","Identify risk owner",IF($H163=BF$16,$AZ163,0))</f>
        <v>0</v>
      </c>
      <c r="BG163" s="604">
        <f>IF($H163="","Identify risk owner",IF($H163=BG$16,$AZ163,0))</f>
        <v>0</v>
      </c>
      <c r="BH163" s="605" t="e">
        <f>SUM(BB163:BG163)</f>
        <v>#NAME?</v>
      </c>
    </row>
    <row r="164" ht="15"/>
    <row r="165" spans="1:60" s="606" customFormat="1" ht="53.25" customHeight="1">
      <c r="A165" s="758"/>
      <c r="B165" s="568">
        <v>50</v>
      </c>
      <c r="C165" s="611"/>
      <c r="D165" s="569" t="s">
        <v>558</v>
      </c>
      <c r="E165" s="569" t="s">
        <v>408</v>
      </c>
      <c r="F165" s="572" t="s">
        <v>322</v>
      </c>
      <c r="G165" s="572"/>
      <c r="H165" s="572" t="s">
        <v>190</v>
      </c>
      <c r="I165" s="572"/>
      <c r="J165" s="573" t="s">
        <v>25</v>
      </c>
      <c r="K165" s="573" t="s">
        <v>24</v>
      </c>
      <c r="L165" s="573" t="s">
        <v>24</v>
      </c>
      <c r="M165" s="574" t="str">
        <f>IF(OR(K165="",L165="",J165=""),"Data missing",IF(OR(K165="VH",L165="VH"),"VH",IF(OR(K165="H",L165="H"),"H",IF(OR(K165="M",L165="M"),"M",IF(OR(K165="L",L165="L"),"L",IF(OR(K165="VL",L165="VL"),"VL"))))))</f>
        <v>M</v>
      </c>
      <c r="N165" s="575" t="str">
        <f>IF(M165="Data missing","Data missing",IF(M165="VH","H",(IF(M165="H",HLOOKUP(J165,'3 - Prioritisation'!$D$16:$H$21,3,FALSE),IF(M165="M",HLOOKUP(J165,'3 - Prioritisation'!$D$16:$H$21,4,FALSE),IF(M165="L",HLOOKUP(J165,'3 - Prioritisation'!$D$16:$H$21,5,FALSE),IF(M165="VL",HLOOKUP(J165,'3 - Prioritisation'!$D$16:$H$21,6,FALSE))))))))</f>
        <v>M</v>
      </c>
      <c r="O165" s="576"/>
      <c r="P165" s="577" t="s">
        <v>409</v>
      </c>
      <c r="Q165" s="577" t="s">
        <v>409</v>
      </c>
      <c r="R165" s="578"/>
      <c r="S165" s="573"/>
      <c r="T165" s="579"/>
      <c r="U165" s="580">
        <v>0.5</v>
      </c>
      <c r="V165" s="573" t="s">
        <v>25</v>
      </c>
      <c r="W165" s="573" t="s">
        <v>24</v>
      </c>
      <c r="X165" s="573" t="s">
        <v>140</v>
      </c>
      <c r="Y165" s="574" t="str">
        <f>IF(OR(W165="",X165="",V165=""),"Data missing",IF(OR(W165="VH",X165="VH"),"VH",IF(OR(W165="H",X165="H"),"H",IF(OR(W165="M",X165="M"),"M",IF(OR(W165="L",X165="L"),"L",IF(OR(W165="VL",X165="VL"),"VL"))))))</f>
        <v>M</v>
      </c>
      <c r="Z165" s="575" t="str">
        <f>IF(Y165="Data missing","Data missing",IF(Y165="VH","H",(IF(Y165="H",HLOOKUP(V165,'3 - Prioritisation'!$D$16:$H$21,3,FALSE),IF(Y165="M",HLOOKUP(V165,'3 - Prioritisation'!$D$16:$H$21,4,FALSE),IF(Y165="L",HLOOKUP(V165,'3 - Prioritisation'!$D$16:$H$21,5,FALSE),IF(Y165="VL",HLOOKUP(V165,'3 - Prioritisation'!$D$16:$H$21,6,FALSE))))))))</f>
        <v>M</v>
      </c>
      <c r="AA165" s="581">
        <v>25000</v>
      </c>
      <c r="AB165" s="581">
        <v>50000</v>
      </c>
      <c r="AC165" s="581">
        <v>75000</v>
      </c>
      <c r="AD165" s="582">
        <f>U165*AB165</f>
        <v>25000</v>
      </c>
      <c r="AE165" s="583" t="e">
        <f>IF(AF165="Data missing","Data missing",IF(OR(U165="",AA165="",AB165="",AC165=""),"",_XLL.RISKBINOMIAL(1,U165)))</f>
        <v>#NAME?</v>
      </c>
      <c r="AF165" s="584" t="e">
        <f>IF(OR(U165="",AA165="",AB165="",AC165=""),"Data missing",_XLL.RISKPERT(AA165,AB165,AC165,_XLL.RISKNAME("Risk ID"&amp;B165),_XLL.RISKCOLLECT()))</f>
        <v>#NAME?</v>
      </c>
      <c r="AG165" s="585" t="e">
        <f>IF(AF165="Data missing","Data missing",IF(OR(U165="",AA165="",AB165="",AC165=""),"",AE165*AF165))</f>
        <v>#NAME?</v>
      </c>
      <c r="AH165" s="608" t="s">
        <v>415</v>
      </c>
      <c r="AI165" s="609"/>
      <c r="AJ165" s="587" t="e">
        <f aca="true" t="shared" si="88" ref="AJ165:AO166">IF($H165="","Identify Risk Owner",IF($H165=AJ$16,$AG165,0))</f>
        <v>#NAME?</v>
      </c>
      <c r="AK165" s="588">
        <f t="shared" si="88"/>
        <v>0</v>
      </c>
      <c r="AL165" s="588">
        <f t="shared" si="88"/>
        <v>0</v>
      </c>
      <c r="AM165" s="588">
        <f t="shared" si="88"/>
        <v>0</v>
      </c>
      <c r="AN165" s="588">
        <f t="shared" si="88"/>
        <v>0</v>
      </c>
      <c r="AO165" s="589">
        <f t="shared" si="88"/>
        <v>0</v>
      </c>
      <c r="AP165" s="590" t="e">
        <f>SUM(AJ165:AO165)</f>
        <v>#NAME?</v>
      </c>
      <c r="AQ165" s="591"/>
      <c r="AR165" s="592"/>
      <c r="AS165" s="593"/>
      <c r="AT165" s="594">
        <f>IF(AS165="Yes",U165,0)</f>
        <v>0</v>
      </c>
      <c r="AU165" s="595">
        <v>1</v>
      </c>
      <c r="AV165" s="596">
        <v>3</v>
      </c>
      <c r="AW165" s="597">
        <v>4</v>
      </c>
      <c r="AX165" s="598" t="e">
        <f>IF(AY165="Data missing","Data missing",IF(OR(AT165="",AU165="",AV165="",AW165=""),"",_XLL.RISKBINOMIAL(1,AT165)))</f>
        <v>#NAME?</v>
      </c>
      <c r="AY165" s="599" t="e">
        <f>IF(OR(AT165="",AU165="",AV165="",AW165=""),"Data missing",_XLL.RISKPERT(AU165,AV165,AW165))</f>
        <v>#NAME?</v>
      </c>
      <c r="AZ165" s="600" t="e">
        <f>IF(AY165="Data missing","Data missing",IF(OR(AT165="",AU165="",AV165="",AW165=""),"",AX165*AY165))</f>
        <v>#NAME?</v>
      </c>
      <c r="BA165" s="591"/>
      <c r="BB165" s="601" t="e">
        <f aca="true" t="shared" si="89" ref="BB165:BD166">IF($H165="","Identify Risk Owner",IF($H165=BB$16,$AZ165,0))</f>
        <v>#NAME?</v>
      </c>
      <c r="BC165" s="602">
        <f t="shared" si="89"/>
        <v>0</v>
      </c>
      <c r="BD165" s="602">
        <f t="shared" si="89"/>
        <v>0</v>
      </c>
      <c r="BE165" s="603">
        <f aca="true" t="shared" si="90" ref="BE165:BG166">IF($H165="","Identify risk owner",IF($H165=BE$16,$AZ165,0))</f>
        <v>0</v>
      </c>
      <c r="BF165" s="603">
        <f t="shared" si="90"/>
        <v>0</v>
      </c>
      <c r="BG165" s="604">
        <f t="shared" si="90"/>
        <v>0</v>
      </c>
      <c r="BH165" s="605" t="e">
        <f>SUM(BB165:BG165)</f>
        <v>#NAME?</v>
      </c>
    </row>
    <row r="166" spans="1:60" s="591" customFormat="1" ht="47.25" customHeight="1">
      <c r="A166" s="757"/>
      <c r="B166" s="568">
        <v>51</v>
      </c>
      <c r="C166" s="569"/>
      <c r="D166" s="607" t="s">
        <v>502</v>
      </c>
      <c r="E166" s="569" t="s">
        <v>499</v>
      </c>
      <c r="F166" s="572" t="s">
        <v>322</v>
      </c>
      <c r="G166" s="572"/>
      <c r="H166" s="572" t="s">
        <v>190</v>
      </c>
      <c r="I166" s="572"/>
      <c r="J166" s="573" t="s">
        <v>23</v>
      </c>
      <c r="K166" s="573" t="s">
        <v>26</v>
      </c>
      <c r="L166" s="573" t="s">
        <v>26</v>
      </c>
      <c r="M166" s="574" t="str">
        <f>IF(OR(K166="",L166="",J166=""),"Data missing",IF(OR(K166="VH",L166="VH"),"VH",IF(OR(K166="H",L166="H"),"H",IF(OR(K166="M",L166="M"),"M",IF(OR(K166="L",L166="L"),"L",IF(OR(K166="VL",L166="VL"),"VL"))))))</f>
        <v>VH</v>
      </c>
      <c r="N166" s="575" t="str">
        <f>IF(M166="Data missing","Data missing",IF(M166="VH","H",(IF(M166="H",HLOOKUP(J166,'3 - Prioritisation'!$D$16:$H$21,3,FALSE),IF(M166="M",HLOOKUP(J166,'3 - Prioritisation'!$D$16:$H$21,4,FALSE),IF(M166="L",HLOOKUP(J166,'3 - Prioritisation'!$D$16:$H$21,5,FALSE),IF(M166="VL",HLOOKUP(J166,'3 - Prioritisation'!$D$16:$H$21,6,FALSE))))))))</f>
        <v>H</v>
      </c>
      <c r="O166" s="576"/>
      <c r="P166" s="577" t="s">
        <v>501</v>
      </c>
      <c r="Q166" s="577" t="s">
        <v>500</v>
      </c>
      <c r="R166" s="578"/>
      <c r="S166" s="573"/>
      <c r="T166" s="579"/>
      <c r="U166" s="580"/>
      <c r="V166" s="573"/>
      <c r="W166" s="573"/>
      <c r="X166" s="573"/>
      <c r="Y166" s="574" t="str">
        <f>IF(OR(W166="",X166="",V166=""),"Data missing",IF(OR(W166="VH",X166="VH"),"VH",IF(OR(W166="H",X166="H"),"H",IF(OR(W166="M",X166="M"),"M",IF(OR(W166="L",X166="L"),"L",IF(OR(W166="VL",X166="VL"),"VL"))))))</f>
        <v>Data missing</v>
      </c>
      <c r="Z166" s="575" t="str">
        <f>IF(Y166="Data missing","Data missing",IF(Y166="VH","H",(IF(Y166="H",HLOOKUP(V166,'3 - Prioritisation'!$D$16:$H$21,3,FALSE),IF(Y166="M",HLOOKUP(V166,'3 - Prioritisation'!$D$16:$H$21,4,FALSE),IF(Y166="L",HLOOKUP(V166,'3 - Prioritisation'!$D$16:$H$21,5,FALSE),IF(Y166="VL",HLOOKUP(V166,'3 - Prioritisation'!$D$16:$H$21,6,FALSE))))))))</f>
        <v>Data missing</v>
      </c>
      <c r="AA166" s="581">
        <v>0</v>
      </c>
      <c r="AB166" s="610">
        <v>0</v>
      </c>
      <c r="AC166" s="581">
        <v>0</v>
      </c>
      <c r="AD166" s="582"/>
      <c r="AE166" s="583" t="str">
        <f>IF(AF166="Data missing","Data missing",IF(OR(U166="",AA166="",AB166="",AC166=""),"",_XLL.RISKBINOMIAL(1,U166)))</f>
        <v>Data missing</v>
      </c>
      <c r="AF166" s="584" t="str">
        <f>IF(OR(U166="",AA166="",AB166="",AC166=""),"Data missing",_XLL.RISKPERT(AA166,AB166,AC166,_XLL.RISKNAME("Risk ID"&amp;B166),_XLL.RISKCOLLECT()))</f>
        <v>Data missing</v>
      </c>
      <c r="AG166" s="585" t="str">
        <f>IF(AF166="Data missing","Data missing",IF(OR(U166="",AA166="",AB166="",AC166=""),"",AE166*AF166))</f>
        <v>Data missing</v>
      </c>
      <c r="AH166" s="608"/>
      <c r="AI166" s="609"/>
      <c r="AJ166" s="587" t="str">
        <f t="shared" si="88"/>
        <v>Data missing</v>
      </c>
      <c r="AK166" s="588">
        <f t="shared" si="88"/>
        <v>0</v>
      </c>
      <c r="AL166" s="588">
        <f t="shared" si="88"/>
        <v>0</v>
      </c>
      <c r="AM166" s="588">
        <f t="shared" si="88"/>
        <v>0</v>
      </c>
      <c r="AN166" s="588">
        <f t="shared" si="88"/>
        <v>0</v>
      </c>
      <c r="AO166" s="589">
        <f t="shared" si="88"/>
        <v>0</v>
      </c>
      <c r="AP166" s="590">
        <f>SUM(AJ166:AO166)</f>
        <v>0</v>
      </c>
      <c r="AR166" s="592"/>
      <c r="AS166" s="593"/>
      <c r="AT166" s="594">
        <f>IF(AS166="Yes",U166,0)</f>
        <v>0</v>
      </c>
      <c r="AU166" s="595">
        <v>1</v>
      </c>
      <c r="AV166" s="596">
        <v>3</v>
      </c>
      <c r="AW166" s="597">
        <v>4</v>
      </c>
      <c r="AX166" s="598" t="e">
        <f>IF(AY166="Data missing","Data missing",IF(OR(AT166="",AU166="",AV166="",AW166=""),"",_XLL.RISKBINOMIAL(1,AT166)))</f>
        <v>#NAME?</v>
      </c>
      <c r="AY166" s="599" t="e">
        <f>IF(OR(AT166="",AU166="",AV166="",AW166=""),"Data missing",_XLL.RISKPERT(AU166,AV166,AW166))</f>
        <v>#NAME?</v>
      </c>
      <c r="AZ166" s="600" t="e">
        <f>IF(AY166="Data missing","Data missing",IF(OR(AT166="",AU166="",AV166="",AW166=""),"",AX166*AY166))</f>
        <v>#NAME?</v>
      </c>
      <c r="BB166" s="601" t="e">
        <f t="shared" si="89"/>
        <v>#NAME?</v>
      </c>
      <c r="BC166" s="602">
        <f t="shared" si="89"/>
        <v>0</v>
      </c>
      <c r="BD166" s="602">
        <f t="shared" si="89"/>
        <v>0</v>
      </c>
      <c r="BE166" s="603">
        <f t="shared" si="90"/>
        <v>0</v>
      </c>
      <c r="BF166" s="603">
        <f t="shared" si="90"/>
        <v>0</v>
      </c>
      <c r="BG166" s="604">
        <f t="shared" si="90"/>
        <v>0</v>
      </c>
      <c r="BH166" s="605" t="e">
        <f>SUM(BB166:BG166)</f>
        <v>#NAME?</v>
      </c>
    </row>
    <row r="167" ht="15"/>
    <row r="168" spans="1:60" s="591" customFormat="1" ht="47.25" customHeight="1">
      <c r="A168" s="757"/>
      <c r="B168" s="568">
        <v>52</v>
      </c>
      <c r="C168" s="569"/>
      <c r="D168" s="607" t="s">
        <v>487</v>
      </c>
      <c r="E168" s="569" t="s">
        <v>488</v>
      </c>
      <c r="F168" s="572" t="s">
        <v>322</v>
      </c>
      <c r="G168" s="572"/>
      <c r="H168" s="572" t="s">
        <v>190</v>
      </c>
      <c r="I168" s="572"/>
      <c r="J168" s="573" t="s">
        <v>26</v>
      </c>
      <c r="K168" s="573" t="s">
        <v>23</v>
      </c>
      <c r="L168" s="573" t="s">
        <v>26</v>
      </c>
      <c r="M168" s="574" t="str">
        <f>IF(OR(K168="",L168="",J168=""),"Data missing",IF(OR(K168="VH",L168="VH"),"VH",IF(OR(K168="H",L168="H"),"H",IF(OR(K168="M",L168="M"),"M",IF(OR(K168="L",L168="L"),"L",IF(OR(K168="VL",L168="VL"),"VL"))))))</f>
        <v>VH</v>
      </c>
      <c r="N168" s="575" t="str">
        <f>IF(M168="Data missing","Data missing",IF(M168="VH","H",(IF(M168="H",HLOOKUP(J168,'3 - Prioritisation'!$D$16:$H$21,3,FALSE),IF(M168="M",HLOOKUP(J168,'3 - Prioritisation'!$D$16:$H$21,4,FALSE),IF(M168="L",HLOOKUP(J168,'3 - Prioritisation'!$D$16:$H$21,5,FALSE),IF(M168="VL",HLOOKUP(J168,'3 - Prioritisation'!$D$16:$H$21,6,FALSE))))))))</f>
        <v>H</v>
      </c>
      <c r="O168" s="576"/>
      <c r="P168" s="577" t="s">
        <v>489</v>
      </c>
      <c r="Q168" s="577" t="s">
        <v>490</v>
      </c>
      <c r="R168" s="578"/>
      <c r="S168" s="573"/>
      <c r="T168" s="579"/>
      <c r="U168" s="580"/>
      <c r="V168" s="573"/>
      <c r="W168" s="573"/>
      <c r="X168" s="573"/>
      <c r="Y168" s="574"/>
      <c r="Z168" s="575" t="b">
        <f>IF(Y168="Data missing","Data missing",IF(Y168="VH","H",(IF(Y168="H",HLOOKUP(V168,'3 - Prioritisation'!$D$16:$H$21,3,FALSE),IF(Y168="M",HLOOKUP(V168,'3 - Prioritisation'!$D$16:$H$21,4,FALSE),IF(Y168="L",HLOOKUP(V168,'3 - Prioritisation'!$D$16:$H$21,5,FALSE),IF(Y168="VL",HLOOKUP(V168,'3 - Prioritisation'!$D$16:$H$21,6,FALSE))))))))</f>
        <v>0</v>
      </c>
      <c r="AA168" s="581">
        <v>0</v>
      </c>
      <c r="AB168" s="610">
        <v>0</v>
      </c>
      <c r="AC168" s="581">
        <v>0</v>
      </c>
      <c r="AD168" s="582"/>
      <c r="AE168" s="583"/>
      <c r="AF168" s="584"/>
      <c r="AG168" s="585"/>
      <c r="AH168" s="608"/>
      <c r="AI168" s="609"/>
      <c r="AJ168" s="587">
        <f aca="true" t="shared" si="91" ref="AJ168:AO168">IF($H168="","Identify Risk Owner",IF($H168=AJ$16,$AG168,0))</f>
        <v>0</v>
      </c>
      <c r="AK168" s="588">
        <f t="shared" si="91"/>
        <v>0</v>
      </c>
      <c r="AL168" s="588">
        <f t="shared" si="91"/>
        <v>0</v>
      </c>
      <c r="AM168" s="588">
        <f t="shared" si="91"/>
        <v>0</v>
      </c>
      <c r="AN168" s="588">
        <f t="shared" si="91"/>
        <v>0</v>
      </c>
      <c r="AO168" s="589">
        <f t="shared" si="91"/>
        <v>0</v>
      </c>
      <c r="AP168" s="590">
        <f>SUM(AJ168:AO168)</f>
        <v>0</v>
      </c>
      <c r="AR168" s="592"/>
      <c r="AS168" s="593"/>
      <c r="AT168" s="594">
        <f>IF(AS168="Yes",U168,0)</f>
        <v>0</v>
      </c>
      <c r="AU168" s="595">
        <v>1</v>
      </c>
      <c r="AV168" s="596">
        <v>3</v>
      </c>
      <c r="AW168" s="597">
        <v>4</v>
      </c>
      <c r="AX168" s="598" t="e">
        <f>IF(AY168="Data missing","Data missing",IF(OR(AT168="",AU168="",AV168="",AW168=""),"",_XLL.RISKBINOMIAL(1,AT168)))</f>
        <v>#NAME?</v>
      </c>
      <c r="AY168" s="599" t="e">
        <f>IF(OR(AT168="",AU168="",AV168="",AW168=""),"Data missing",_XLL.RISKPERT(AU168,AV168,AW168))</f>
        <v>#NAME?</v>
      </c>
      <c r="AZ168" s="600" t="e">
        <f>IF(AY168="Data missing","Data missing",IF(OR(AT168="",AU168="",AV168="",AW168=""),"",AX168*AY168))</f>
        <v>#NAME?</v>
      </c>
      <c r="BB168" s="601" t="e">
        <f>IF($H168="","Identify Risk Owner",IF($H168=BB$16,$AZ168,0))</f>
        <v>#NAME?</v>
      </c>
      <c r="BC168" s="602">
        <f>IF($H168="","Identify Risk Owner",IF($H168=BC$16,$AZ168,0))</f>
        <v>0</v>
      </c>
      <c r="BD168" s="602">
        <f>IF($H168="","Identify Risk Owner",IF($H168=BD$16,$AZ168,0))</f>
        <v>0</v>
      </c>
      <c r="BE168" s="603">
        <f>IF($H168="","Identify risk owner",IF($H168=BE$16,$AZ168,0))</f>
        <v>0</v>
      </c>
      <c r="BF168" s="603">
        <f>IF($H168="","Identify risk owner",IF($H168=BF$16,$AZ168,0))</f>
        <v>0</v>
      </c>
      <c r="BG168" s="604">
        <f>IF($H168="","Identify risk owner",IF($H168=BG$16,$AZ168,0))</f>
        <v>0</v>
      </c>
      <c r="BH168" s="605" t="e">
        <f>SUM(BB168:BG168)</f>
        <v>#NAME?</v>
      </c>
    </row>
    <row r="170" spans="1:60" s="591" customFormat="1" ht="67.5" customHeight="1">
      <c r="A170" s="757"/>
      <c r="B170" s="568">
        <v>55</v>
      </c>
      <c r="C170" s="569"/>
      <c r="D170" s="607" t="s">
        <v>564</v>
      </c>
      <c r="E170" s="569" t="s">
        <v>381</v>
      </c>
      <c r="F170" s="572" t="s">
        <v>322</v>
      </c>
      <c r="G170" s="572"/>
      <c r="H170" s="572" t="s">
        <v>190</v>
      </c>
      <c r="I170" s="572"/>
      <c r="J170" s="573" t="s">
        <v>24</v>
      </c>
      <c r="K170" s="573" t="s">
        <v>26</v>
      </c>
      <c r="L170" s="573" t="s">
        <v>140</v>
      </c>
      <c r="M170" s="574" t="str">
        <f>IF(OR(K170="",L170="",J170=""),"Data missing",IF(OR(K170="VH",L170="VH"),"VH",IF(OR(K170="H",L170="H"),"H",IF(OR(K170="M",L170="M"),"M",IF(OR(K170="L",L170="L"),"L",IF(OR(K170="VL",L170="VL"),"VL"))))))</f>
        <v>VH</v>
      </c>
      <c r="N170" s="575" t="str">
        <f>IF(M170="Data missing","Data missing",IF(M170="VH","H",(IF(M170="H",HLOOKUP(J170,'3 - Prioritisation'!$D$16:$H$21,3,FALSE),IF(M170="M",HLOOKUP(J170,'3 - Prioritisation'!$D$16:$H$21,4,FALSE),IF(M170="L",HLOOKUP(J170,'3 - Prioritisation'!$D$16:$H$21,5,FALSE),IF(M170="VL",HLOOKUP(J170,'3 - Prioritisation'!$D$16:$H$21,6,FALSE))))))))</f>
        <v>H</v>
      </c>
      <c r="O170" s="576"/>
      <c r="P170" s="577" t="s">
        <v>410</v>
      </c>
      <c r="Q170" s="577" t="s">
        <v>411</v>
      </c>
      <c r="R170" s="578"/>
      <c r="S170" s="573"/>
      <c r="T170" s="579"/>
      <c r="U170" s="580">
        <v>0</v>
      </c>
      <c r="V170" s="573" t="s">
        <v>23</v>
      </c>
      <c r="W170" s="573" t="s">
        <v>24</v>
      </c>
      <c r="X170" s="573" t="s">
        <v>140</v>
      </c>
      <c r="Y170" s="574" t="str">
        <f>IF(OR(W170="",X170="",V170=""),"Data missing",IF(OR(W170="VH",X170="VH"),"VH",IF(OR(W170="H",X170="H"),"H",IF(OR(W170="M",X170="M"),"M",IF(OR(W170="L",X170="L"),"L",IF(OR(W170="VL",X170="VL"),"VL"))))))</f>
        <v>M</v>
      </c>
      <c r="Z170" s="575" t="str">
        <f>IF(Y170="Data missing","Data missing",IF(Y170="VH","H",(IF(Y170="H",HLOOKUP(V170,'3 - Prioritisation'!$D$16:$H$21,3,FALSE),IF(Y170="M",HLOOKUP(V170,'3 - Prioritisation'!$D$16:$H$21,4,FALSE),IF(Y170="L",HLOOKUP(V170,'3 - Prioritisation'!$D$16:$H$21,5,FALSE),IF(Y170="VL",HLOOKUP(V170,'3 - Prioritisation'!$D$16:$H$21,6,FALSE))))))))</f>
        <v>M</v>
      </c>
      <c r="AA170" s="581">
        <v>25000</v>
      </c>
      <c r="AB170" s="581">
        <v>50000</v>
      </c>
      <c r="AC170" s="581">
        <v>75000</v>
      </c>
      <c r="AD170" s="582">
        <f>U170*AB170</f>
        <v>0</v>
      </c>
      <c r="AE170" s="583" t="e">
        <f>IF(AF170="Data missing","Data missing",IF(OR(U170="",AA170="",AB170="",AC170=""),"",_XLL.RISKBINOMIAL(1,U170)))</f>
        <v>#NAME?</v>
      </c>
      <c r="AF170" s="584" t="e">
        <f>IF(OR(U170="",AA170="",AB170="",AC170=""),"Data missing",_XLL.RISKPERT(AA170,AB170,AC170,_XLL.RISKNAME("Risk ID"&amp;B170),_XLL.RISKCOLLECT()))</f>
        <v>#NAME?</v>
      </c>
      <c r="AG170" s="585" t="e">
        <f>IF(AF170="Data missing","Data missing",IF(OR(U170="",AA170="",AB170="",AC170=""),"",AE170*AF170))</f>
        <v>#NAME?</v>
      </c>
      <c r="AH170" s="608"/>
      <c r="AI170" s="609"/>
      <c r="AJ170" s="587" t="e">
        <f aca="true" t="shared" si="92" ref="AJ170:AO170">IF($H170="","Identify Risk Owner",IF($H170=AJ$16,$AG170,0))</f>
        <v>#NAME?</v>
      </c>
      <c r="AK170" s="588">
        <f t="shared" si="92"/>
        <v>0</v>
      </c>
      <c r="AL170" s="588">
        <f t="shared" si="92"/>
        <v>0</v>
      </c>
      <c r="AM170" s="588">
        <f t="shared" si="92"/>
        <v>0</v>
      </c>
      <c r="AN170" s="588">
        <f t="shared" si="92"/>
        <v>0</v>
      </c>
      <c r="AO170" s="589">
        <f t="shared" si="92"/>
        <v>0</v>
      </c>
      <c r="AP170" s="590" t="e">
        <f>SUM(AJ170:AO170)</f>
        <v>#NAME?</v>
      </c>
      <c r="AR170" s="592"/>
      <c r="AS170" s="593"/>
      <c r="AT170" s="594">
        <f>IF(AS170="Yes",U170,0)</f>
        <v>0</v>
      </c>
      <c r="AU170" s="595">
        <v>4</v>
      </c>
      <c r="AV170" s="596">
        <v>7</v>
      </c>
      <c r="AW170" s="597">
        <v>10</v>
      </c>
      <c r="AX170" s="598" t="e">
        <f>IF(AY170="Data missing","Data missing",IF(OR(AT170="",AU170="",AV170="",AW170=""),"",_XLL.RISKBINOMIAL(1,AT170)))</f>
        <v>#NAME?</v>
      </c>
      <c r="AY170" s="599" t="e">
        <f>IF(OR(AT170="",AU170="",AV170="",AW170=""),"Data missing",_XLL.RISKPERT(AU170,AV170,AW170))</f>
        <v>#NAME?</v>
      </c>
      <c r="AZ170" s="600" t="e">
        <f>IF(AY170="Data missing","Data missing",IF(OR(AT170="",AU170="",AV170="",AW170=""),"",AX170*AY170))</f>
        <v>#NAME?</v>
      </c>
      <c r="BB170" s="601" t="e">
        <f>IF($H170="","Identify Risk Owner",IF($H170=BB$16,$AZ170,0))</f>
        <v>#NAME?</v>
      </c>
      <c r="BC170" s="602">
        <f>IF($H170="","Identify Risk Owner",IF($H170=BC$16,$AZ170,0))</f>
        <v>0</v>
      </c>
      <c r="BD170" s="602">
        <f>IF($H170="","Identify Risk Owner",IF($H170=BD$16,$AZ170,0))</f>
        <v>0</v>
      </c>
      <c r="BE170" s="603">
        <f>IF($H170="","Identify risk owner",IF($H170=BE$16,$AZ170,0))</f>
        <v>0</v>
      </c>
      <c r="BF170" s="603">
        <f>IF($H170="","Identify risk owner",IF($H170=BF$16,$AZ170,0))</f>
        <v>0</v>
      </c>
      <c r="BG170" s="604">
        <f>IF($H170="","Identify risk owner",IF($H170=BG$16,$AZ170,0))</f>
        <v>0</v>
      </c>
      <c r="BH170" s="605" t="e">
        <f>SUM(BB170:BG170)</f>
        <v>#NAME?</v>
      </c>
    </row>
    <row r="172" spans="1:60" s="591" customFormat="1" ht="30">
      <c r="A172" s="757"/>
      <c r="B172" s="568">
        <v>57</v>
      </c>
      <c r="C172" s="569"/>
      <c r="D172" s="607" t="s">
        <v>344</v>
      </c>
      <c r="E172" s="569" t="s">
        <v>468</v>
      </c>
      <c r="F172" s="572" t="s">
        <v>322</v>
      </c>
      <c r="G172" s="572"/>
      <c r="H172" s="572" t="s">
        <v>190</v>
      </c>
      <c r="I172" s="572"/>
      <c r="J172" s="573" t="s">
        <v>25</v>
      </c>
      <c r="K172" s="573" t="s">
        <v>23</v>
      </c>
      <c r="L172" s="573" t="s">
        <v>23</v>
      </c>
      <c r="M172" s="574" t="str">
        <f>IF(OR(K172="",L172="",J172=""),"Data missing",IF(OR(K172="VH",L172="VH"),"VH",IF(OR(K172="H",L172="H"),"H",IF(OR(K172="M",L172="M"),"M",IF(OR(K172="L",L172="L"),"L",IF(OR(K172="VL",L172="VL"),"VL"))))))</f>
        <v>L</v>
      </c>
      <c r="N172" s="575" t="str">
        <f>IF(M172="Data missing","Data missing",IF(M172="VH","H",(IF(M172="H",HLOOKUP(J172,'3 - Prioritisation'!$D$16:$H$21,3,FALSE),IF(M172="M",HLOOKUP(J172,'3 - Prioritisation'!$D$16:$H$21,4,FALSE),IF(M172="L",HLOOKUP(J172,'3 - Prioritisation'!$D$16:$H$21,5,FALSE),IF(M172="VL",HLOOKUP(J172,'3 - Prioritisation'!$D$16:$H$21,6,FALSE))))))))</f>
        <v>M</v>
      </c>
      <c r="O172" s="576"/>
      <c r="P172" s="577" t="s">
        <v>469</v>
      </c>
      <c r="Q172" s="577" t="s">
        <v>531</v>
      </c>
      <c r="R172" s="578"/>
      <c r="S172" s="573"/>
      <c r="T172" s="579"/>
      <c r="U172" s="580">
        <v>0</v>
      </c>
      <c r="V172" s="573" t="s">
        <v>23</v>
      </c>
      <c r="W172" s="573" t="s">
        <v>23</v>
      </c>
      <c r="X172" s="573" t="s">
        <v>23</v>
      </c>
      <c r="Y172" s="574" t="str">
        <f>IF(OR(W172="",X172="",V172=""),"Data missing",IF(OR(W172="VH",X172="VH"),"VH",IF(OR(W172="H",X172="H"),"H",IF(OR(W172="M",X172="M"),"M",IF(OR(W172="L",X172="L"),"L",IF(OR(W172="VL",X172="VL"),"VL"))))))</f>
        <v>L</v>
      </c>
      <c r="Z172" s="575" t="str">
        <f>IF(Y172="Data missing","Data missing",IF(Y172="VH","H",(IF(Y172="H",HLOOKUP(V172,'3 - Prioritisation'!$D$16:$H$21,3,FALSE),IF(Y172="M",HLOOKUP(V172,'3 - Prioritisation'!$D$16:$H$21,4,FALSE),IF(Y172="L",HLOOKUP(V172,'3 - Prioritisation'!$D$16:$H$21,5,FALSE),IF(Y172="VL",HLOOKUP(V172,'3 - Prioritisation'!$D$16:$H$21,6,FALSE))))))))</f>
        <v>L</v>
      </c>
      <c r="AA172" s="581"/>
      <c r="AB172" s="581"/>
      <c r="AC172" s="581"/>
      <c r="AD172" s="582">
        <f>U172*AB172</f>
        <v>0</v>
      </c>
      <c r="AE172" s="583" t="str">
        <f>IF(AF172="Data missing","Data missing",IF(OR(U172="",AA172="",AB172="",AC172=""),"",_XLL.RISKBINOMIAL(1,U172)))</f>
        <v>Data missing</v>
      </c>
      <c r="AF172" s="584" t="str">
        <f>IF(OR(U172="",AA172="",AB172="",AC172=""),"Data missing",_XLL.RISKPERT(AA172,AB172,AC172,_XLL.RISKNAME("Risk ID"&amp;B172),_XLL.RISKCOLLECT()))</f>
        <v>Data missing</v>
      </c>
      <c r="AG172" s="585" t="str">
        <f>IF(AF172="Data missing","Data missing",IF(OR(U172="",AA172="",AB172="",AC172=""),"",AE172*AF172))</f>
        <v>Data missing</v>
      </c>
      <c r="AH172" s="608"/>
      <c r="AI172" s="609"/>
      <c r="AJ172" s="587" t="str">
        <f aca="true" t="shared" si="93" ref="AJ172:AO173">IF($H172="","Identify Risk Owner",IF($H172=AJ$16,$AG172,0))</f>
        <v>Data missing</v>
      </c>
      <c r="AK172" s="588">
        <f t="shared" si="93"/>
        <v>0</v>
      </c>
      <c r="AL172" s="588">
        <f t="shared" si="93"/>
        <v>0</v>
      </c>
      <c r="AM172" s="588">
        <f t="shared" si="93"/>
        <v>0</v>
      </c>
      <c r="AN172" s="588">
        <f t="shared" si="93"/>
        <v>0</v>
      </c>
      <c r="AO172" s="589">
        <f t="shared" si="93"/>
        <v>0</v>
      </c>
      <c r="AP172" s="590">
        <f>SUM(AJ172:AO172)</f>
        <v>0</v>
      </c>
      <c r="AR172" s="592"/>
      <c r="AS172" s="593"/>
      <c r="AT172" s="594">
        <f>IF(AS172="Yes",U172,0)</f>
        <v>0</v>
      </c>
      <c r="AU172" s="595">
        <v>2</v>
      </c>
      <c r="AV172" s="596">
        <v>6</v>
      </c>
      <c r="AW172" s="597">
        <v>10</v>
      </c>
      <c r="AX172" s="598" t="e">
        <f>IF(AY172="Data missing","Data missing",IF(OR(AT172="",AU172="",AV172="",AW172=""),"",_XLL.RISKBINOMIAL(1,AT172)))</f>
        <v>#NAME?</v>
      </c>
      <c r="AY172" s="599" t="e">
        <f>IF(OR(AT172="",AU172="",AV172="",AW172=""),"Data missing",_XLL.RISKPERT(AU172,AV172,AW172))</f>
        <v>#NAME?</v>
      </c>
      <c r="AZ172" s="600" t="e">
        <f>IF(AY172="Data missing","Data missing",IF(OR(AT172="",AU172="",AV172="",AW172=""),"",AX172*AY172))</f>
        <v>#NAME?</v>
      </c>
      <c r="BB172" s="601" t="e">
        <f aca="true" t="shared" si="94" ref="BB172:BD173">IF($H172="","Identify Risk Owner",IF($H172=BB$16,$AZ172,0))</f>
        <v>#NAME?</v>
      </c>
      <c r="BC172" s="602">
        <f t="shared" si="94"/>
        <v>0</v>
      </c>
      <c r="BD172" s="602">
        <f t="shared" si="94"/>
        <v>0</v>
      </c>
      <c r="BE172" s="603">
        <f aca="true" t="shared" si="95" ref="BE172:BG173">IF($H172="","Identify risk owner",IF($H172=BE$16,$AZ172,0))</f>
        <v>0</v>
      </c>
      <c r="BF172" s="603">
        <f t="shared" si="95"/>
        <v>0</v>
      </c>
      <c r="BG172" s="604">
        <f t="shared" si="95"/>
        <v>0</v>
      </c>
      <c r="BH172" s="605" t="e">
        <f>SUM(BB172:BG172)</f>
        <v>#NAME?</v>
      </c>
    </row>
    <row r="173" spans="1:60" s="591" customFormat="1" ht="45" customHeight="1">
      <c r="A173" s="757"/>
      <c r="B173" s="568">
        <v>59</v>
      </c>
      <c r="C173" s="569"/>
      <c r="D173" s="607" t="s">
        <v>474</v>
      </c>
      <c r="E173" s="569" t="s">
        <v>475</v>
      </c>
      <c r="F173" s="572" t="s">
        <v>322</v>
      </c>
      <c r="G173" s="572"/>
      <c r="H173" s="572" t="s">
        <v>190</v>
      </c>
      <c r="I173" s="572"/>
      <c r="J173" s="573" t="s">
        <v>23</v>
      </c>
      <c r="K173" s="573" t="s">
        <v>26</v>
      </c>
      <c r="L173" s="573" t="s">
        <v>23</v>
      </c>
      <c r="M173" s="574" t="str">
        <f>IF(OR(K173="",L173="",J173=""),"Data missing",IF(OR(K173="VH",L173="VH"),"VH",IF(OR(K173="H",L173="H"),"H",IF(OR(K173="M",L173="M"),"M",IF(OR(K173="L",L173="L"),"L",IF(OR(K173="VL",L173="VL"),"VL"))))))</f>
        <v>VH</v>
      </c>
      <c r="N173" s="575" t="str">
        <f>IF(M173="Data missing","Data missing",IF(M173="VH","H",(IF(M173="H",HLOOKUP(J173,'3 - Prioritisation'!$D$16:$H$21,3,FALSE),IF(M173="M",HLOOKUP(J173,'3 - Prioritisation'!$D$16:$H$21,4,FALSE),IF(M173="L",HLOOKUP(J173,'3 - Prioritisation'!$D$16:$H$21,5,FALSE),IF(M173="VL",HLOOKUP(J173,'3 - Prioritisation'!$D$16:$H$21,6,FALSE))))))))</f>
        <v>H</v>
      </c>
      <c r="O173" s="576"/>
      <c r="P173" s="577" t="s">
        <v>534</v>
      </c>
      <c r="Q173" s="577" t="s">
        <v>476</v>
      </c>
      <c r="R173" s="578"/>
      <c r="S173" s="573"/>
      <c r="T173" s="579"/>
      <c r="U173" s="580">
        <v>0.4</v>
      </c>
      <c r="V173" s="573" t="s">
        <v>24</v>
      </c>
      <c r="W173" s="573" t="s">
        <v>24</v>
      </c>
      <c r="X173" s="573" t="s">
        <v>24</v>
      </c>
      <c r="Y173" s="574" t="str">
        <f>IF(OR(W173="",X173="",V173=""),"Data missing",IF(OR(W173="VH",X173="VH"),"VH",IF(OR(W173="H",X173="H"),"H",IF(OR(W173="M",X173="M"),"M",IF(OR(W173="L",X173="L"),"L",IF(OR(W173="VL",X173="VL"),"VL"))))))</f>
        <v>M</v>
      </c>
      <c r="Z173" s="575" t="str">
        <f>IF(Y173="Data missing","Data missing",IF(Y173="VH","H",(IF(Y173="H",HLOOKUP(V173,'3 - Prioritisation'!$D$16:$H$21,3,FALSE),IF(Y173="M",HLOOKUP(V173,'3 - Prioritisation'!$D$16:$H$21,4,FALSE),IF(Y173="L",HLOOKUP(V173,'3 - Prioritisation'!$D$16:$H$21,5,FALSE),IF(Y173="VL",HLOOKUP(V173,'3 - Prioritisation'!$D$16:$H$21,6,FALSE))))))))</f>
        <v>M</v>
      </c>
      <c r="AA173" s="581"/>
      <c r="AB173" s="581"/>
      <c r="AC173" s="581"/>
      <c r="AD173" s="582">
        <f>U173*AB173</f>
        <v>0</v>
      </c>
      <c r="AE173" s="583" t="str">
        <f>IF(AF173="Data missing","Data missing",IF(OR(U173="",AA173="",AB173="",AC173=""),"",_XLL.RISKBINOMIAL(1,U173)))</f>
        <v>Data missing</v>
      </c>
      <c r="AF173" s="584" t="str">
        <f>IF(OR(U173="",AA173="",AB173="",AC173=""),"Data missing",_XLL.RISKPERT(AA173,AB173,AC173,_XLL.RISKNAME("Risk ID"&amp;B173),_XLL.RISKCOLLECT()))</f>
        <v>Data missing</v>
      </c>
      <c r="AG173" s="585" t="str">
        <f>IF(AF173="Data missing","Data missing",IF(OR(U173="",AA173="",AB173="",AC173=""),"",AE173*AF173))</f>
        <v>Data missing</v>
      </c>
      <c r="AH173" s="608" t="s">
        <v>575</v>
      </c>
      <c r="AI173" s="609"/>
      <c r="AJ173" s="587" t="str">
        <f t="shared" si="93"/>
        <v>Data missing</v>
      </c>
      <c r="AK173" s="588">
        <f t="shared" si="93"/>
        <v>0</v>
      </c>
      <c r="AL173" s="588">
        <f t="shared" si="93"/>
        <v>0</v>
      </c>
      <c r="AM173" s="588">
        <f t="shared" si="93"/>
        <v>0</v>
      </c>
      <c r="AN173" s="588">
        <f t="shared" si="93"/>
        <v>0</v>
      </c>
      <c r="AO173" s="589">
        <f t="shared" si="93"/>
        <v>0</v>
      </c>
      <c r="AP173" s="590">
        <f>SUM(AJ173:AO173)</f>
        <v>0</v>
      </c>
      <c r="AR173" s="592"/>
      <c r="AS173" s="593"/>
      <c r="AT173" s="594">
        <f>IF(AS173="Yes",U173,0)</f>
        <v>0</v>
      </c>
      <c r="AU173" s="595">
        <v>0</v>
      </c>
      <c r="AV173" s="596">
        <v>6</v>
      </c>
      <c r="AW173" s="597">
        <v>10</v>
      </c>
      <c r="AX173" s="598" t="e">
        <f>IF(AY173="Data missing","Data missing",IF(OR(AT173="",AU173="",AV173="",AW173=""),"",_XLL.RISKBINOMIAL(1,AT173)))</f>
        <v>#NAME?</v>
      </c>
      <c r="AY173" s="599" t="e">
        <f>IF(OR(AT173="",AU173="",AV173="",AW173=""),"Data missing",_XLL.RISKPERT(AU173,AV173,AW173))</f>
        <v>#NAME?</v>
      </c>
      <c r="AZ173" s="600" t="e">
        <f>IF(AY173="Data missing","Data missing",IF(OR(AT173="",AU173="",AV173="",AW173=""),"",AX173*AY173))</f>
        <v>#NAME?</v>
      </c>
      <c r="BB173" s="601" t="e">
        <f t="shared" si="94"/>
        <v>#NAME?</v>
      </c>
      <c r="BC173" s="602">
        <f t="shared" si="94"/>
        <v>0</v>
      </c>
      <c r="BD173" s="602">
        <f t="shared" si="94"/>
        <v>0</v>
      </c>
      <c r="BE173" s="603">
        <f t="shared" si="95"/>
        <v>0</v>
      </c>
      <c r="BF173" s="603">
        <f t="shared" si="95"/>
        <v>0</v>
      </c>
      <c r="BG173" s="604">
        <f t="shared" si="95"/>
        <v>0</v>
      </c>
      <c r="BH173" s="605" t="e">
        <f>SUM(BB173:BG173)</f>
        <v>#NAME?</v>
      </c>
    </row>
    <row r="175" spans="1:60" s="591" customFormat="1" ht="56.25" customHeight="1">
      <c r="A175" s="757"/>
      <c r="B175" s="568">
        <v>62</v>
      </c>
      <c r="C175" s="569"/>
      <c r="D175" s="607" t="s">
        <v>483</v>
      </c>
      <c r="E175" s="569" t="s">
        <v>325</v>
      </c>
      <c r="F175" s="572" t="s">
        <v>322</v>
      </c>
      <c r="G175" s="572"/>
      <c r="H175" s="572" t="s">
        <v>190</v>
      </c>
      <c r="I175" s="572"/>
      <c r="J175" s="573" t="s">
        <v>25</v>
      </c>
      <c r="K175" s="573" t="s">
        <v>26</v>
      </c>
      <c r="L175" s="573" t="s">
        <v>23</v>
      </c>
      <c r="M175" s="574" t="str">
        <f>IF(OR(K175="",L175="",J175=""),"Data missing",IF(OR(K175="VH",L175="VH"),"VH",IF(OR(K175="H",L175="H"),"H",IF(OR(K175="M",L175="M"),"M",IF(OR(K175="L",L175="L"),"L",IF(OR(K175="VL",L175="VL"),"VL"))))))</f>
        <v>VH</v>
      </c>
      <c r="N175" s="575" t="str">
        <f>IF(M175="Data missing","Data missing",IF(M175="VH","H",(IF(M175="H",HLOOKUP(J175,'3 - Prioritisation'!$D$16:$H$21,3,FALSE),IF(M175="M",HLOOKUP(J175,'3 - Prioritisation'!$D$16:$H$21,4,FALSE),IF(M175="L",HLOOKUP(J175,'3 - Prioritisation'!$D$16:$H$21,5,FALSE),IF(M175="VL",HLOOKUP(J175,'3 - Prioritisation'!$D$16:$H$21,6,FALSE))))))))</f>
        <v>H</v>
      </c>
      <c r="O175" s="576"/>
      <c r="P175" s="577" t="s">
        <v>481</v>
      </c>
      <c r="Q175" s="577"/>
      <c r="R175" s="578"/>
      <c r="S175" s="573"/>
      <c r="T175" s="579"/>
      <c r="U175" s="580">
        <v>0.75</v>
      </c>
      <c r="V175" s="573" t="s">
        <v>26</v>
      </c>
      <c r="W175" s="573" t="s">
        <v>26</v>
      </c>
      <c r="X175" s="573" t="s">
        <v>24</v>
      </c>
      <c r="Y175" s="574" t="str">
        <f>IF(OR(W175="",X175="",V175=""),"Data missing",IF(OR(W175="VH",X175="VH"),"VH",IF(OR(W175="H",X175="H"),"H",IF(OR(W175="M",X175="M"),"M",IF(OR(W175="L",X175="L"),"L",IF(OR(W175="VL",X175="VL"),"VL"))))))</f>
        <v>VH</v>
      </c>
      <c r="Z175" s="575" t="str">
        <f>IF(Y175="Data missing","Data missing",IF(Y175="VH","H",(IF(Y175="H",HLOOKUP(V175,'3 - Prioritisation'!$D$16:$H$21,3,FALSE),IF(Y175="M",HLOOKUP(V175,'3 - Prioritisation'!$D$16:$H$21,4,FALSE),IF(Y175="L",HLOOKUP(V175,'3 - Prioritisation'!$D$16:$H$21,5,FALSE),IF(Y175="VL",HLOOKUP(V175,'3 - Prioritisation'!$D$16:$H$21,6,FALSE))))))))</f>
        <v>H</v>
      </c>
      <c r="AA175" s="581"/>
      <c r="AB175" s="581"/>
      <c r="AC175" s="581"/>
      <c r="AD175" s="582">
        <f>U175*AB175</f>
        <v>0</v>
      </c>
      <c r="AE175" s="583" t="str">
        <f>IF(AF175="Data missing","Data missing",IF(OR(U175="",AA175="",AB175="",AC175=""),"",_XLL.RISKBINOMIAL(1,U175)))</f>
        <v>Data missing</v>
      </c>
      <c r="AF175" s="584" t="str">
        <f>IF(OR(U175="",AA175="",AB175="",AC175=""),"Data missing",_XLL.RISKPERT(AA175,AB175,AC175,_XLL.RISKNAME("Risk ID"&amp;B175),_XLL.RISKCOLLECT()))</f>
        <v>Data missing</v>
      </c>
      <c r="AG175" s="585" t="str">
        <f>IF(AF175="Data missing","Data missing",IF(OR(U175="",AA175="",AB175="",AC175=""),"",AE175*AF175))</f>
        <v>Data missing</v>
      </c>
      <c r="AH175" s="608"/>
      <c r="AI175" s="609"/>
      <c r="AJ175" s="587" t="str">
        <f aca="true" t="shared" si="96" ref="AJ175:AO176">IF($H175="","Identify Risk Owner",IF($H175=AJ$16,$AG175,0))</f>
        <v>Data missing</v>
      </c>
      <c r="AK175" s="588">
        <f t="shared" si="96"/>
        <v>0</v>
      </c>
      <c r="AL175" s="588">
        <f t="shared" si="96"/>
        <v>0</v>
      </c>
      <c r="AM175" s="588">
        <f t="shared" si="96"/>
        <v>0</v>
      </c>
      <c r="AN175" s="588">
        <f t="shared" si="96"/>
        <v>0</v>
      </c>
      <c r="AO175" s="589">
        <f t="shared" si="96"/>
        <v>0</v>
      </c>
      <c r="AP175" s="590">
        <f>SUM(AJ175:AO175)</f>
        <v>0</v>
      </c>
      <c r="AR175" s="592"/>
      <c r="AS175" s="593"/>
      <c r="AT175" s="594">
        <f>IF(AS175="Yes",U175,0)</f>
        <v>0</v>
      </c>
      <c r="AU175" s="595">
        <v>1</v>
      </c>
      <c r="AV175" s="596">
        <v>2</v>
      </c>
      <c r="AW175" s="597">
        <v>4</v>
      </c>
      <c r="AX175" s="598" t="e">
        <f>IF(AY175="Data missing","Data missing",IF(OR(AT175="",AU175="",AV175="",AW175=""),"",_XLL.RISKBINOMIAL(1,AT175)))</f>
        <v>#NAME?</v>
      </c>
      <c r="AY175" s="599" t="e">
        <f>IF(OR(AT175="",AU175="",AV175="",AW175=""),"Data missing",_XLL.RISKPERT(AU175,AV175,AW175))</f>
        <v>#NAME?</v>
      </c>
      <c r="AZ175" s="600" t="e">
        <f>IF(AY175="Data missing","Data missing",IF(OR(AT175="",AU175="",AV175="",AW175=""),"",AX175*AY175))</f>
        <v>#NAME?</v>
      </c>
      <c r="BB175" s="601" t="e">
        <f aca="true" t="shared" si="97" ref="BB175:BD176">IF($H175="","Identify Risk Owner",IF($H175=BB$16,$AZ175,0))</f>
        <v>#NAME?</v>
      </c>
      <c r="BC175" s="602">
        <f t="shared" si="97"/>
        <v>0</v>
      </c>
      <c r="BD175" s="602">
        <f t="shared" si="97"/>
        <v>0</v>
      </c>
      <c r="BE175" s="603">
        <f aca="true" t="shared" si="98" ref="BE175:BG176">IF($H175="","Identify risk owner",IF($H175=BE$16,$AZ175,0))</f>
        <v>0</v>
      </c>
      <c r="BF175" s="603">
        <f t="shared" si="98"/>
        <v>0</v>
      </c>
      <c r="BG175" s="604">
        <f t="shared" si="98"/>
        <v>0</v>
      </c>
      <c r="BH175" s="605" t="e">
        <f>SUM(BB175:BG175)</f>
        <v>#NAME?</v>
      </c>
    </row>
    <row r="176" spans="1:60" s="591" customFormat="1" ht="47.25" customHeight="1">
      <c r="A176" s="757"/>
      <c r="B176" s="568">
        <v>63</v>
      </c>
      <c r="C176" s="569"/>
      <c r="D176" s="607" t="s">
        <v>484</v>
      </c>
      <c r="E176" s="569" t="s">
        <v>485</v>
      </c>
      <c r="F176" s="572" t="s">
        <v>322</v>
      </c>
      <c r="G176" s="572"/>
      <c r="H176" s="572" t="s">
        <v>190</v>
      </c>
      <c r="I176" s="572"/>
      <c r="J176" s="573" t="s">
        <v>25</v>
      </c>
      <c r="K176" s="573" t="s">
        <v>25</v>
      </c>
      <c r="L176" s="573" t="s">
        <v>140</v>
      </c>
      <c r="M176" s="574" t="str">
        <f>IF(OR(K176="",L176="",J176=""),"Data missing",IF(OR(K176="VH",L176="VH"),"VH",IF(OR(K176="H",L176="H"),"H",IF(OR(K176="M",L176="M"),"M",IF(OR(K176="L",L176="L"),"L",IF(OR(K176="VL",L176="VL"),"VL"))))))</f>
        <v>H</v>
      </c>
      <c r="N176" s="575" t="str">
        <f>IF(M176="Data missing","Data missing",IF(M176="VH","H",(IF(M176="H",HLOOKUP(J176,'3 - Prioritisation'!$D$16:$H$21,3,FALSE),IF(M176="M",HLOOKUP(J176,'3 - Prioritisation'!$D$16:$H$21,4,FALSE),IF(M176="L",HLOOKUP(J176,'3 - Prioritisation'!$D$16:$H$21,5,FALSE),IF(M176="VL",HLOOKUP(J176,'3 - Prioritisation'!$D$16:$H$21,6,FALSE))))))))</f>
        <v>H</v>
      </c>
      <c r="O176" s="576"/>
      <c r="P176" s="577" t="s">
        <v>539</v>
      </c>
      <c r="Q176" s="577" t="s">
        <v>329</v>
      </c>
      <c r="R176" s="578"/>
      <c r="S176" s="573"/>
      <c r="T176" s="579"/>
      <c r="U176" s="580">
        <v>0.3</v>
      </c>
      <c r="V176" s="573" t="s">
        <v>24</v>
      </c>
      <c r="W176" s="573" t="s">
        <v>24</v>
      </c>
      <c r="X176" s="573" t="s">
        <v>24</v>
      </c>
      <c r="Y176" s="574" t="str">
        <f>IF(OR(W176="",X176="",V176=""),"Data missing",IF(OR(W176="VH",X176="VH"),"VH",IF(OR(W176="H",X176="H"),"H",IF(OR(W176="M",X176="M"),"M",IF(OR(W176="L",X176="L"),"L",IF(OR(W176="VL",X176="VL"),"VL"))))))</f>
        <v>M</v>
      </c>
      <c r="Z176" s="575" t="str">
        <f>IF(Y176="Data missing","Data missing",IF(Y176="VH","H",(IF(Y176="H",HLOOKUP(V176,'3 - Prioritisation'!$D$16:$H$21,3,FALSE),IF(Y176="M",HLOOKUP(V176,'3 - Prioritisation'!$D$16:$H$21,4,FALSE),IF(Y176="L",HLOOKUP(V176,'3 - Prioritisation'!$D$16:$H$21,5,FALSE),IF(Y176="VL",HLOOKUP(V176,'3 - Prioritisation'!$D$16:$H$21,6,FALSE))))))))</f>
        <v>M</v>
      </c>
      <c r="AA176" s="581"/>
      <c r="AB176" s="581"/>
      <c r="AC176" s="581"/>
      <c r="AD176" s="582">
        <f>U176*AB176</f>
        <v>0</v>
      </c>
      <c r="AE176" s="583" t="str">
        <f>IF(AF176="Data missing","Data missing",IF(OR(U176="",AA176="",AB176="",AC176=""),"",_XLL.RISKBINOMIAL(1,U176)))</f>
        <v>Data missing</v>
      </c>
      <c r="AF176" s="584" t="str">
        <f>IF(OR(U176="",AA176="",AB176="",AC176=""),"Data missing",_XLL.RISKPERT(AA176,AB176,AC176,_XLL.RISKNAME("Risk ID"&amp;B176),_XLL.RISKCOLLECT()))</f>
        <v>Data missing</v>
      </c>
      <c r="AG176" s="585" t="str">
        <f>IF(AF176="Data missing","Data missing",IF(OR(U176="",AA176="",AB176="",AC176=""),"",AE176*AF176))</f>
        <v>Data missing</v>
      </c>
      <c r="AH176" s="608" t="s">
        <v>175</v>
      </c>
      <c r="AI176" s="609"/>
      <c r="AJ176" s="587" t="str">
        <f t="shared" si="96"/>
        <v>Data missing</v>
      </c>
      <c r="AK176" s="588">
        <f t="shared" si="96"/>
        <v>0</v>
      </c>
      <c r="AL176" s="588">
        <f t="shared" si="96"/>
        <v>0</v>
      </c>
      <c r="AM176" s="588">
        <f t="shared" si="96"/>
        <v>0</v>
      </c>
      <c r="AN176" s="588">
        <f t="shared" si="96"/>
        <v>0</v>
      </c>
      <c r="AO176" s="589">
        <f t="shared" si="96"/>
        <v>0</v>
      </c>
      <c r="AP176" s="590">
        <f>SUM(AJ176:AO176)</f>
        <v>0</v>
      </c>
      <c r="AR176" s="592"/>
      <c r="AS176" s="593"/>
      <c r="AT176" s="594">
        <f>IF(AS176="Yes",U176,0)</f>
        <v>0</v>
      </c>
      <c r="AU176" s="595">
        <v>1</v>
      </c>
      <c r="AV176" s="596">
        <v>2</v>
      </c>
      <c r="AW176" s="597">
        <v>4</v>
      </c>
      <c r="AX176" s="598" t="e">
        <f>IF(AY176="Data missing","Data missing",IF(OR(AT176="",AU176="",AV176="",AW176=""),"",_XLL.RISKBINOMIAL(1,AT176)))</f>
        <v>#NAME?</v>
      </c>
      <c r="AY176" s="599" t="e">
        <f>IF(OR(AT176="",AU176="",AV176="",AW176=""),"Data missing",_XLL.RISKPERT(AU176,AV176,AW176))</f>
        <v>#NAME?</v>
      </c>
      <c r="AZ176" s="600" t="e">
        <f>IF(AY176="Data missing","Data missing",IF(OR(AT176="",AU176="",AV176="",AW176=""),"",AX176*AY176))</f>
        <v>#NAME?</v>
      </c>
      <c r="BB176" s="601" t="e">
        <f t="shared" si="97"/>
        <v>#NAME?</v>
      </c>
      <c r="BC176" s="602">
        <f t="shared" si="97"/>
        <v>0</v>
      </c>
      <c r="BD176" s="602">
        <f t="shared" si="97"/>
        <v>0</v>
      </c>
      <c r="BE176" s="603">
        <f t="shared" si="98"/>
        <v>0</v>
      </c>
      <c r="BF176" s="603">
        <f t="shared" si="98"/>
        <v>0</v>
      </c>
      <c r="BG176" s="604">
        <f t="shared" si="98"/>
        <v>0</v>
      </c>
      <c r="BH176" s="605" t="e">
        <f>SUM(BB176:BG176)</f>
        <v>#NAME?</v>
      </c>
    </row>
    <row r="177" spans="1:60" s="591" customFormat="1" ht="47.25" customHeight="1">
      <c r="A177" s="757"/>
      <c r="B177" s="568">
        <v>65</v>
      </c>
      <c r="C177" s="569"/>
      <c r="D177" s="607" t="s">
        <v>507</v>
      </c>
      <c r="E177" s="569" t="s">
        <v>508</v>
      </c>
      <c r="F177" s="572" t="s">
        <v>322</v>
      </c>
      <c r="G177" s="572"/>
      <c r="H177" s="572" t="s">
        <v>190</v>
      </c>
      <c r="I177" s="572"/>
      <c r="J177" s="573" t="s">
        <v>25</v>
      </c>
      <c r="K177" s="573" t="s">
        <v>25</v>
      </c>
      <c r="L177" s="573" t="s">
        <v>26</v>
      </c>
      <c r="M177" s="574" t="str">
        <f>IF(OR(K177="",L177="",J177=""),"Data missing",IF(OR(K177="VH",L177="VH"),"VH",IF(OR(K177="H",L177="H"),"H",IF(OR(K177="M",L177="M"),"M",IF(OR(K177="L",L177="L"),"L",IF(OR(K177="VL",L177="VL"),"VL"))))))</f>
        <v>VH</v>
      </c>
      <c r="N177" s="575" t="str">
        <f>IF(M177="Data missing","Data missing",IF(M177="VH","H",(IF(M177="H",HLOOKUP(J177,'3 - Prioritisation'!$D$16:$H$21,3,FALSE),IF(M177="M",HLOOKUP(J177,'3 - Prioritisation'!$D$16:$H$21,4,FALSE),IF(M177="L",HLOOKUP(J177,'3 - Prioritisation'!$D$16:$H$21,5,FALSE),IF(M177="VL",HLOOKUP(J177,'3 - Prioritisation'!$D$16:$H$21,6,FALSE))))))))</f>
        <v>H</v>
      </c>
      <c r="O177" s="576"/>
      <c r="P177" s="577" t="s">
        <v>509</v>
      </c>
      <c r="Q177" s="577" t="s">
        <v>540</v>
      </c>
      <c r="R177" s="578"/>
      <c r="S177" s="573"/>
      <c r="T177" s="579"/>
      <c r="U177" s="580"/>
      <c r="V177" s="573"/>
      <c r="W177" s="573"/>
      <c r="X177" s="573"/>
      <c r="Y177" s="574" t="str">
        <f>IF(OR(W177="",X177="",V177=""),"Data missing",IF(OR(W177="VH",X177="VH"),"VH",IF(OR(W177="H",X177="H"),"H",IF(OR(W177="M",X177="M"),"M",IF(OR(W177="L",X177="L"),"L",IF(OR(W177="VL",X177="VL"),"VL"))))))</f>
        <v>Data missing</v>
      </c>
      <c r="Z177" s="575" t="str">
        <f>IF(Y177="Data missing","Data missing",IF(Y177="VH","H",(IF(Y177="H",HLOOKUP(V177,'3 - Prioritisation'!$D$16:$H$21,3,FALSE),IF(Y177="M",HLOOKUP(V177,'3 - Prioritisation'!$D$16:$H$21,4,FALSE),IF(Y177="L",HLOOKUP(V177,'3 - Prioritisation'!$D$16:$H$21,5,FALSE),IF(Y177="VL",HLOOKUP(V177,'3 - Prioritisation'!$D$16:$H$21,6,FALSE))))))))</f>
        <v>Data missing</v>
      </c>
      <c r="AA177" s="581">
        <v>0</v>
      </c>
      <c r="AB177" s="610">
        <v>0</v>
      </c>
      <c r="AC177" s="581">
        <v>0</v>
      </c>
      <c r="AD177" s="582">
        <f>U177*AB177</f>
        <v>0</v>
      </c>
      <c r="AE177" s="583" t="str">
        <f>IF(AF177="Data missing","Data missing",IF(OR(U177="",AA177="",AB177="",AC177=""),"",_XLL.RISKBINOMIAL(1,U177)))</f>
        <v>Data missing</v>
      </c>
      <c r="AF177" s="584" t="str">
        <f>IF(OR(U177="",AA177="",AB177="",AC177=""),"Data missing",_XLL.RISKPERT(AA177,AB177,AC177,_XLL.RISKNAME("Risk ID"&amp;B177),_XLL.RISKCOLLECT()))</f>
        <v>Data missing</v>
      </c>
      <c r="AG177" s="585" t="str">
        <f>IF(AF177="Data missing","Data missing",IF(OR(U177="",AA177="",AB177="",AC177=""),"",AE177*AF177))</f>
        <v>Data missing</v>
      </c>
      <c r="AH177" s="608"/>
      <c r="AI177" s="609"/>
      <c r="AJ177" s="587" t="str">
        <f aca="true" t="shared" si="99" ref="AJ177:AO178">IF($H177="","Identify Risk Owner",IF($H177=AJ$16,$AG177,0))</f>
        <v>Data missing</v>
      </c>
      <c r="AK177" s="588">
        <f t="shared" si="99"/>
        <v>0</v>
      </c>
      <c r="AL177" s="588">
        <f t="shared" si="99"/>
        <v>0</v>
      </c>
      <c r="AM177" s="588">
        <f t="shared" si="99"/>
        <v>0</v>
      </c>
      <c r="AN177" s="588">
        <f t="shared" si="99"/>
        <v>0</v>
      </c>
      <c r="AO177" s="589">
        <f t="shared" si="99"/>
        <v>0</v>
      </c>
      <c r="AP177" s="590">
        <f>SUM(AJ177:AO177)</f>
        <v>0</v>
      </c>
      <c r="AR177" s="592"/>
      <c r="AS177" s="593"/>
      <c r="AT177" s="594">
        <f>IF(AS177="Yes",U177,0)</f>
        <v>0</v>
      </c>
      <c r="AU177" s="595">
        <v>1</v>
      </c>
      <c r="AV177" s="596">
        <v>2</v>
      </c>
      <c r="AW177" s="597">
        <v>4</v>
      </c>
      <c r="AX177" s="598" t="e">
        <f>IF(AY177="Data missing","Data missing",IF(OR(AT177="",AU177="",AV177="",AW177=""),"",_XLL.RISKBINOMIAL(1,AT177)))</f>
        <v>#NAME?</v>
      </c>
      <c r="AY177" s="599" t="e">
        <f>IF(OR(AT177="",AU177="",AV177="",AW177=""),"Data missing",_XLL.RISKPERT(AU177,AV177,AW177))</f>
        <v>#NAME?</v>
      </c>
      <c r="AZ177" s="600" t="e">
        <f>IF(AY177="Data missing","Data missing",IF(OR(AT177="",AU177="",AV177="",AW177=""),"",AX177*AY177))</f>
        <v>#NAME?</v>
      </c>
      <c r="BB177" s="601" t="e">
        <f aca="true" t="shared" si="100" ref="BB177:BD178">IF($H177="","Identify Risk Owner",IF($H177=BB$16,$AZ177,0))</f>
        <v>#NAME?</v>
      </c>
      <c r="BC177" s="602">
        <f t="shared" si="100"/>
        <v>0</v>
      </c>
      <c r="BD177" s="602">
        <f t="shared" si="100"/>
        <v>0</v>
      </c>
      <c r="BE177" s="603">
        <f aca="true" t="shared" si="101" ref="BE177:BG178">IF($H177="","Identify risk owner",IF($H177=BE$16,$AZ177,0))</f>
        <v>0</v>
      </c>
      <c r="BF177" s="603">
        <f t="shared" si="101"/>
        <v>0</v>
      </c>
      <c r="BG177" s="604">
        <f t="shared" si="101"/>
        <v>0</v>
      </c>
      <c r="BH177" s="605" t="e">
        <f>SUM(BB177:BG177)</f>
        <v>#NAME?</v>
      </c>
    </row>
    <row r="178" spans="1:60" s="591" customFormat="1" ht="47.25" customHeight="1">
      <c r="A178" s="757"/>
      <c r="B178" s="612">
        <v>68</v>
      </c>
      <c r="C178" s="613"/>
      <c r="D178" s="614" t="s">
        <v>512</v>
      </c>
      <c r="E178" s="613" t="s">
        <v>513</v>
      </c>
      <c r="F178" s="615" t="s">
        <v>322</v>
      </c>
      <c r="G178" s="615"/>
      <c r="H178" s="615" t="s">
        <v>190</v>
      </c>
      <c r="I178" s="615"/>
      <c r="J178" s="616" t="s">
        <v>24</v>
      </c>
      <c r="K178" s="616" t="s">
        <v>26</v>
      </c>
      <c r="L178" s="616" t="s">
        <v>24</v>
      </c>
      <c r="M178" s="574" t="str">
        <f>IF(OR(K178="",L178="",J178=""),"Data missing",IF(OR(K178="VH",L178="VH"),"VH",IF(OR(K178="H",L178="H"),"H",IF(OR(K178="M",L178="M"),"M",IF(OR(K178="L",L178="L"),"L",IF(OR(K178="VL",L178="VL"),"VL"))))))</f>
        <v>VH</v>
      </c>
      <c r="N178" s="575" t="str">
        <f>IF(M178="Data missing","Data missing",IF(M178="VH","H",(IF(M178="H",HLOOKUP(J178,'3 - Prioritisation'!$D$16:$H$21,3,FALSE),IF(M178="M",HLOOKUP(J178,'3 - Prioritisation'!$D$16:$H$21,4,FALSE),IF(M178="L",HLOOKUP(J178,'3 - Prioritisation'!$D$16:$H$21,5,FALSE),IF(M178="VL",HLOOKUP(J178,'3 - Prioritisation'!$D$16:$H$21,6,FALSE))))))))</f>
        <v>H</v>
      </c>
      <c r="O178" s="617"/>
      <c r="P178" s="618" t="s">
        <v>541</v>
      </c>
      <c r="Q178" s="618" t="s">
        <v>542</v>
      </c>
      <c r="R178" s="619"/>
      <c r="S178" s="616"/>
      <c r="T178" s="620"/>
      <c r="U178" s="621"/>
      <c r="V178" s="616"/>
      <c r="W178" s="616"/>
      <c r="X178" s="616"/>
      <c r="Y178" s="574" t="str">
        <f>IF(OR(W178="",X178="",V178=""),"Data missing",IF(OR(W178="VH",X178="VH"),"VH",IF(OR(W178="H",X178="H"),"H",IF(OR(W178="M",X178="M"),"M",IF(OR(W178="L",X178="L"),"L",IF(OR(W178="VL",X178="VL"),"VL"))))))</f>
        <v>Data missing</v>
      </c>
      <c r="Z178" s="575" t="str">
        <f>IF(Y178="Data missing","Data missing",IF(Y178="VH","H",(IF(Y178="H",HLOOKUP(V178,'3 - Prioritisation'!$D$16:$H$21,3,FALSE),IF(Y178="M",HLOOKUP(V178,'3 - Prioritisation'!$D$16:$H$21,4,FALSE),IF(Y178="L",HLOOKUP(V178,'3 - Prioritisation'!$D$16:$H$21,5,FALSE),IF(Y178="VL",HLOOKUP(V178,'3 - Prioritisation'!$D$16:$H$21,6,FALSE))))))))</f>
        <v>Data missing</v>
      </c>
      <c r="AA178" s="507"/>
      <c r="AB178" s="520"/>
      <c r="AC178" s="507"/>
      <c r="AD178" s="582">
        <f>U178*AB178</f>
        <v>0</v>
      </c>
      <c r="AE178" s="583" t="str">
        <f>IF(AF178="Data missing","Data missing",IF(OR(U178="",AA178="",AB178="",AC178=""),"",_XLL.RISKBINOMIAL(1,U178)))</f>
        <v>Data missing</v>
      </c>
      <c r="AF178" s="584" t="str">
        <f>IF(OR(U178="",AA178="",AB178="",AC178=""),"Data missing",_XLL.RISKPERT(AA178,AB178,AC178,_XLL.RISKNAME("Risk ID"&amp;B178),_XLL.RISKCOLLECT()))</f>
        <v>Data missing</v>
      </c>
      <c r="AG178" s="585" t="str">
        <f>IF(AF178="Data missing","Data missing",IF(OR(U178="",AA178="",AB178="",AC178=""),"",AE178*AF178))</f>
        <v>Data missing</v>
      </c>
      <c r="AH178" s="608"/>
      <c r="AI178" s="609"/>
      <c r="AJ178" s="587" t="str">
        <f t="shared" si="99"/>
        <v>Data missing</v>
      </c>
      <c r="AK178" s="588">
        <f t="shared" si="99"/>
        <v>0</v>
      </c>
      <c r="AL178" s="588">
        <f t="shared" si="99"/>
        <v>0</v>
      </c>
      <c r="AM178" s="588">
        <f t="shared" si="99"/>
        <v>0</v>
      </c>
      <c r="AN178" s="588">
        <f t="shared" si="99"/>
        <v>0</v>
      </c>
      <c r="AO178" s="589">
        <f t="shared" si="99"/>
        <v>0</v>
      </c>
      <c r="AP178" s="590">
        <f>SUM(AJ178:AO178)</f>
        <v>0</v>
      </c>
      <c r="AR178" s="592"/>
      <c r="AS178" s="593"/>
      <c r="AT178" s="594">
        <f>IF(AS178="Yes",U178,0)</f>
        <v>0</v>
      </c>
      <c r="AU178" s="595">
        <v>1</v>
      </c>
      <c r="AV178" s="596">
        <v>2</v>
      </c>
      <c r="AW178" s="597">
        <v>4</v>
      </c>
      <c r="AX178" s="598" t="e">
        <f>IF(AY178="Data missing","Data missing",IF(OR(AT178="",AU178="",AV178="",AW178=""),"",_XLL.RISKBINOMIAL(1,AT178)))</f>
        <v>#NAME?</v>
      </c>
      <c r="AY178" s="599" t="e">
        <f>IF(OR(AT178="",AU178="",AV178="",AW178=""),"Data missing",_XLL.RISKPERT(AU178,AV178,AW178))</f>
        <v>#NAME?</v>
      </c>
      <c r="AZ178" s="600" t="e">
        <f>IF(AY178="Data missing","Data missing",IF(OR(AT178="",AU178="",AV178="",AW178=""),"",AX178*AY178))</f>
        <v>#NAME?</v>
      </c>
      <c r="BB178" s="601" t="e">
        <f t="shared" si="100"/>
        <v>#NAME?</v>
      </c>
      <c r="BC178" s="602">
        <f t="shared" si="100"/>
        <v>0</v>
      </c>
      <c r="BD178" s="602">
        <f t="shared" si="100"/>
        <v>0</v>
      </c>
      <c r="BE178" s="603">
        <f t="shared" si="101"/>
        <v>0</v>
      </c>
      <c r="BF178" s="603">
        <f t="shared" si="101"/>
        <v>0</v>
      </c>
      <c r="BG178" s="604">
        <f t="shared" si="101"/>
        <v>0</v>
      </c>
      <c r="BH178" s="605" t="e">
        <f>SUM(BB178:BG178)</f>
        <v>#NAME?</v>
      </c>
    </row>
  </sheetData>
  <sheetProtection selectLockedCells="1"/>
  <protectedRanges>
    <protectedRange sqref="E81 D83:E83 D85:E85 D166:E166 D168:E168 D91:E95 D176:E178" name="Range1_8"/>
    <protectedRange sqref="E97:E100" name="Range1_2"/>
  </protectedRanges>
  <mergeCells count="24">
    <mergeCell ref="AJ114:AK116"/>
    <mergeCell ref="P15:T15"/>
    <mergeCell ref="B15:B16"/>
    <mergeCell ref="J15:N15"/>
    <mergeCell ref="H15:H16"/>
    <mergeCell ref="D15:E15"/>
    <mergeCell ref="F15:F16"/>
    <mergeCell ref="C15:C16"/>
    <mergeCell ref="BB15:BH15"/>
    <mergeCell ref="AJ110:AK112"/>
    <mergeCell ref="U15:Z15"/>
    <mergeCell ref="AA15:AG15"/>
    <mergeCell ref="AR15:AZ15"/>
    <mergeCell ref="AJ15:AP15"/>
    <mergeCell ref="AH15:AH16"/>
    <mergeCell ref="A15:A16"/>
    <mergeCell ref="J2:L8"/>
    <mergeCell ref="U2:X8"/>
    <mergeCell ref="H2:I2"/>
    <mergeCell ref="H3:I3"/>
    <mergeCell ref="H4:I4"/>
    <mergeCell ref="H5:I5"/>
    <mergeCell ref="H6:I6"/>
    <mergeCell ref="H7:I7"/>
  </mergeCells>
  <conditionalFormatting sqref="AH59 AD59 F59:H59 AH96:AH102 AA96:AD102 AD38:AD43 AH20 AD20 F20:H20 AD25:AD28 F38:G43 H38:H44 AU54:AW54 AH54:AH55 AH57 AU58:AW59 AD57 AH46:AH51 AU45:AW51 AH80 AD65 AH75:AH76 AU75:AW76 F75:H76 AD75:AD76 AH69:AH73 AU69:AW71 AD69:AD73 F69:H73 AU80:AW80 F85:H85 AH38:AH43 F57:H57 AH34:AH36 AU33:AW43 F35:H36 F22:H23 AU18:AW18 AH22:AH28 H25:H28 AD22:AD23 AD35:AD36 AD94:AD95 O95:X95 AH160 AU160:AW160 G52 H52:H53 F52:F53 C160:L160 F46:H51 AD46:AD52 O160:X160 AA160:AD160 C162:C163 D162 AH61 AH162:AH163 AU61:AW61 AU162:AW163 F61:H61 E162:L163 O162:X163 AD61 AA162:AD163 AD80:AD81 F83:H83 AU83:AW83 F80:H81 E175 C175:C176 F175:L176 O175:X176 AA175:AD176 AU175:AW176 AH175:AH176 AD87:AD91 AU87:AW102 AH88:AH91 AD67 AH65:AH67 AU65:AW65 F25:G27 F65:H67 F95:L102 F54:H55 F29:H32 F87:H94 G63:H64 AD54:AD55 O96:O102 V96:X102 AU21:AW23 AU25:AW25 AU67:AW67 AD27:AG27">
    <cfRule type="expression" priority="711" dxfId="2" stopIfTrue="1">
      <formula>$F18="Expired"</formula>
    </cfRule>
  </conditionalFormatting>
  <conditionalFormatting sqref="Z105:Z109 N105:O109 Z112:Z113 N112:O113 Z116:Z121 N116:O121">
    <cfRule type="cellIs" priority="712" dxfId="20" operator="equal" stopIfTrue="1">
      <formula>"L"</formula>
    </cfRule>
    <cfRule type="cellIs" priority="713" dxfId="335" operator="equal" stopIfTrue="1">
      <formula>"M"</formula>
    </cfRule>
    <cfRule type="cellIs" priority="714" dxfId="334" operator="equal" stopIfTrue="1">
      <formula>"H"</formula>
    </cfRule>
  </conditionalFormatting>
  <conditionalFormatting sqref="Z95:Z102 N160 Z160 Z162:Z163 N175:N176 Z175:Z176 N95:N102">
    <cfRule type="cellIs" priority="715" dxfId="20" operator="equal" stopIfTrue="1">
      <formula>"L"</formula>
    </cfRule>
    <cfRule type="cellIs" priority="716" dxfId="19" operator="equal" stopIfTrue="1">
      <formula>"M"</formula>
    </cfRule>
    <cfRule type="cellIs" priority="717" dxfId="0" operator="equal" stopIfTrue="1">
      <formula>"H"</formula>
    </cfRule>
  </conditionalFormatting>
  <conditionalFormatting sqref="AQ9:AQ12">
    <cfRule type="cellIs" priority="718" dxfId="330" operator="equal" stopIfTrue="1">
      <formula>"Copy and paste more rows at bottom of table"</formula>
    </cfRule>
  </conditionalFormatting>
  <conditionalFormatting sqref="F21:H21 AD21">
    <cfRule type="expression" priority="707" dxfId="2" stopIfTrue="1">
      <formula>$F21="Expired"</formula>
    </cfRule>
  </conditionalFormatting>
  <conditionalFormatting sqref="AH18:AH19 F18:H19 AD18">
    <cfRule type="expression" priority="703" dxfId="2" stopIfTrue="1">
      <formula>$F18="Expired"</formula>
    </cfRule>
  </conditionalFormatting>
  <conditionalFormatting sqref="AU44:AW44 AH44 F44:G44 AD44">
    <cfRule type="expression" priority="699" dxfId="2" stopIfTrue="1">
      <formula>$F44="Expired"</formula>
    </cfRule>
  </conditionalFormatting>
  <conditionalFormatting sqref="AH52 AU52:AW52">
    <cfRule type="expression" priority="687" dxfId="2" stopIfTrue="1">
      <formula>$F52="Expired"</formula>
    </cfRule>
  </conditionalFormatting>
  <conditionalFormatting sqref="F28:G28">
    <cfRule type="expression" priority="683" dxfId="2" stopIfTrue="1">
      <formula>$F28="Expired"</formula>
    </cfRule>
  </conditionalFormatting>
  <conditionalFormatting sqref="F78:H78 AH78 AD78 AU78:AW78">
    <cfRule type="expression" priority="675" dxfId="2" stopIfTrue="1">
      <formula>$F78="Expired"</formula>
    </cfRule>
  </conditionalFormatting>
  <conditionalFormatting sqref="AU53:AW53 AH53 AD53 G53">
    <cfRule type="expression" priority="667" dxfId="2" stopIfTrue="1">
      <formula>$F53="Expired"</formula>
    </cfRule>
  </conditionalFormatting>
  <conditionalFormatting sqref="AD29:AD32">
    <cfRule type="expression" priority="663" dxfId="2" stopIfTrue="1">
      <formula>$F29="Expired"</formula>
    </cfRule>
  </conditionalFormatting>
  <conditionalFormatting sqref="AU60:AW60 AH60 F60:H60 AD60">
    <cfRule type="expression" priority="659" dxfId="2" stopIfTrue="1">
      <formula>$F60="Expired"</formula>
    </cfRule>
  </conditionalFormatting>
  <conditionalFormatting sqref="N163">
    <cfRule type="cellIs" priority="652" dxfId="20" operator="equal" stopIfTrue="1">
      <formula>"L"</formula>
    </cfRule>
    <cfRule type="cellIs" priority="653" dxfId="19" operator="equal" stopIfTrue="1">
      <formula>"M"</formula>
    </cfRule>
    <cfRule type="cellIs" priority="654" dxfId="0" operator="equal" stopIfTrue="1">
      <formula>"H"</formula>
    </cfRule>
  </conditionalFormatting>
  <conditionalFormatting sqref="F77:H77">
    <cfRule type="expression" priority="436" dxfId="2" stopIfTrue="1">
      <formula>$F77="Expired"</formula>
    </cfRule>
  </conditionalFormatting>
  <conditionalFormatting sqref="AH77 AU77:AW77 AD77">
    <cfRule type="expression" priority="432" dxfId="2" stopIfTrue="1">
      <formula>$F77="Expired"</formula>
    </cfRule>
  </conditionalFormatting>
  <conditionalFormatting sqref="F34:H34">
    <cfRule type="expression" priority="431" dxfId="2" stopIfTrue="1">
      <formula>$F34="Expired"</formula>
    </cfRule>
  </conditionalFormatting>
  <conditionalFormatting sqref="AD34:AG34">
    <cfRule type="expression" priority="427" dxfId="2" stopIfTrue="1">
      <formula>$F34="Expired"</formula>
    </cfRule>
  </conditionalFormatting>
  <conditionalFormatting sqref="AU56:AW56">
    <cfRule type="expression" priority="425" dxfId="2" stopIfTrue="1">
      <formula>$F56="Expired"</formula>
    </cfRule>
  </conditionalFormatting>
  <conditionalFormatting sqref="N162">
    <cfRule type="cellIs" priority="422" dxfId="20" operator="equal" stopIfTrue="1">
      <formula>"L"</formula>
    </cfRule>
    <cfRule type="cellIs" priority="423" dxfId="19" operator="equal" stopIfTrue="1">
      <formula>"M"</formula>
    </cfRule>
    <cfRule type="cellIs" priority="424" dxfId="0" operator="equal" stopIfTrue="1">
      <formula>"H"</formula>
    </cfRule>
  </conditionalFormatting>
  <conditionalFormatting sqref="AH21">
    <cfRule type="expression" priority="403" dxfId="2" stopIfTrue="1">
      <formula>$F21="Expired"</formula>
    </cfRule>
  </conditionalFormatting>
  <conditionalFormatting sqref="AH29:AH32">
    <cfRule type="expression" priority="399" dxfId="2" stopIfTrue="1">
      <formula>$F29="Expired"</formula>
    </cfRule>
  </conditionalFormatting>
  <conditionalFormatting sqref="AD24">
    <cfRule type="expression" priority="396" dxfId="2" stopIfTrue="1">
      <formula>$F24="Expired"</formula>
    </cfRule>
  </conditionalFormatting>
  <conditionalFormatting sqref="AH94:AH95">
    <cfRule type="expression" priority="386" dxfId="2" stopIfTrue="1">
      <formula>$F94="Expired"</formula>
    </cfRule>
  </conditionalFormatting>
  <conditionalFormatting sqref="AH83">
    <cfRule type="expression" priority="384" dxfId="2" stopIfTrue="1">
      <formula>$F83="Expired"</formula>
    </cfRule>
  </conditionalFormatting>
  <conditionalFormatting sqref="AD85">
    <cfRule type="expression" priority="375" dxfId="2" stopIfTrue="1">
      <formula>$F85="Expired"</formula>
    </cfRule>
  </conditionalFormatting>
  <conditionalFormatting sqref="AD83">
    <cfRule type="expression" priority="374" dxfId="2" stopIfTrue="1">
      <formula>$F83="Expired"</formula>
    </cfRule>
  </conditionalFormatting>
  <conditionalFormatting sqref="F24:H24">
    <cfRule type="expression" priority="373" dxfId="2" stopIfTrue="1">
      <formula>$F24="Expired"</formula>
    </cfRule>
  </conditionalFormatting>
  <conditionalFormatting sqref="AU81:AW81">
    <cfRule type="expression" priority="366" dxfId="2" stopIfTrue="1">
      <formula>$F81="Expired"</formula>
    </cfRule>
  </conditionalFormatting>
  <conditionalFormatting sqref="AU85:AW85">
    <cfRule type="expression" priority="364" dxfId="2" stopIfTrue="1">
      <formula>$F85="Expired"</formula>
    </cfRule>
  </conditionalFormatting>
  <conditionalFormatting sqref="AH85">
    <cfRule type="expression" priority="361" dxfId="2" stopIfTrue="1">
      <formula>$F85="Expired"</formula>
    </cfRule>
  </conditionalFormatting>
  <conditionalFormatting sqref="AH81">
    <cfRule type="expression" priority="360" dxfId="2" stopIfTrue="1">
      <formula>$F81="Expired"</formula>
    </cfRule>
  </conditionalFormatting>
  <conditionalFormatting sqref="AH92 AD92">
    <cfRule type="expression" priority="354" dxfId="2" stopIfTrue="1">
      <formula>$F92="Expired"</formula>
    </cfRule>
  </conditionalFormatting>
  <conditionalFormatting sqref="AD93">
    <cfRule type="expression" priority="349" dxfId="2" stopIfTrue="1">
      <formula>$F93="Expired"</formula>
    </cfRule>
  </conditionalFormatting>
  <conditionalFormatting sqref="AH93">
    <cfRule type="expression" priority="340" dxfId="2" stopIfTrue="1">
      <formula>$F93="Expired"</formula>
    </cfRule>
  </conditionalFormatting>
  <conditionalFormatting sqref="AH165 AA165:AD165 C165:L165 C166 AD166 F166:L166 AU165:AW165 O165:X166">
    <cfRule type="expression" priority="336" dxfId="2" stopIfTrue="1">
      <formula>$F165="Expired"</formula>
    </cfRule>
  </conditionalFormatting>
  <conditionalFormatting sqref="N165 Z165:Z166">
    <cfRule type="cellIs" priority="337" dxfId="20" operator="equal" stopIfTrue="1">
      <formula>"L"</formula>
    </cfRule>
    <cfRule type="cellIs" priority="338" dxfId="19" operator="equal" stopIfTrue="1">
      <formula>"M"</formula>
    </cfRule>
    <cfRule type="cellIs" priority="339" dxfId="0" operator="equal" stopIfTrue="1">
      <formula>"H"</formula>
    </cfRule>
  </conditionalFormatting>
  <conditionalFormatting sqref="N166">
    <cfRule type="cellIs" priority="333" dxfId="20" operator="equal" stopIfTrue="1">
      <formula>"L"</formula>
    </cfRule>
    <cfRule type="cellIs" priority="334" dxfId="19" operator="equal" stopIfTrue="1">
      <formula>"M"</formula>
    </cfRule>
    <cfRule type="cellIs" priority="335" dxfId="0" operator="equal" stopIfTrue="1">
      <formula>"H"</formula>
    </cfRule>
  </conditionalFormatting>
  <conditionalFormatting sqref="AU166:AW166">
    <cfRule type="expression" priority="332" dxfId="2" stopIfTrue="1">
      <formula>$F166="Expired"</formula>
    </cfRule>
  </conditionalFormatting>
  <conditionalFormatting sqref="AH166">
    <cfRule type="expression" priority="331" dxfId="2" stopIfTrue="1">
      <formula>$F166="Expired"</formula>
    </cfRule>
  </conditionalFormatting>
  <conditionalFormatting sqref="O168:X168 F168:L168 AD168 C168">
    <cfRule type="expression" priority="327" dxfId="2" stopIfTrue="1">
      <formula>$F168="Expired"</formula>
    </cfRule>
  </conditionalFormatting>
  <conditionalFormatting sqref="Z168">
    <cfRule type="cellIs" priority="328" dxfId="20" operator="equal" stopIfTrue="1">
      <formula>"L"</formula>
    </cfRule>
    <cfRule type="cellIs" priority="329" dxfId="19" operator="equal" stopIfTrue="1">
      <formula>"M"</formula>
    </cfRule>
    <cfRule type="cellIs" priority="330" dxfId="0" operator="equal" stopIfTrue="1">
      <formula>"H"</formula>
    </cfRule>
  </conditionalFormatting>
  <conditionalFormatting sqref="N168">
    <cfRule type="cellIs" priority="324" dxfId="20" operator="equal" stopIfTrue="1">
      <formula>"L"</formula>
    </cfRule>
    <cfRule type="cellIs" priority="325" dxfId="19" operator="equal" stopIfTrue="1">
      <formula>"M"</formula>
    </cfRule>
    <cfRule type="cellIs" priority="326" dxfId="0" operator="equal" stopIfTrue="1">
      <formula>"H"</formula>
    </cfRule>
  </conditionalFormatting>
  <conditionalFormatting sqref="AU168:AW168">
    <cfRule type="expression" priority="323" dxfId="2" stopIfTrue="1">
      <formula>$F168="Expired"</formula>
    </cfRule>
  </conditionalFormatting>
  <conditionalFormatting sqref="AH168">
    <cfRule type="expression" priority="322" dxfId="2" stopIfTrue="1">
      <formula>$F168="Expired"</formula>
    </cfRule>
  </conditionalFormatting>
  <conditionalFormatting sqref="E170:L170 C170 AH170 AU170:AW170 O170:X170 AA170:AD170">
    <cfRule type="expression" priority="318" dxfId="2" stopIfTrue="1">
      <formula>$F170="Expired"</formula>
    </cfRule>
  </conditionalFormatting>
  <conditionalFormatting sqref="N170 Z170">
    <cfRule type="cellIs" priority="319" dxfId="20" operator="equal" stopIfTrue="1">
      <formula>"L"</formula>
    </cfRule>
    <cfRule type="cellIs" priority="320" dxfId="19" operator="equal" stopIfTrue="1">
      <formula>"M"</formula>
    </cfRule>
    <cfRule type="cellIs" priority="321" dxfId="0" operator="equal" stopIfTrue="1">
      <formula>"H"</formula>
    </cfRule>
  </conditionalFormatting>
  <conditionalFormatting sqref="C172:L172 AH172 AU172:AW172 O172:X172 AA172:AD172">
    <cfRule type="expression" priority="314" dxfId="2" stopIfTrue="1">
      <formula>$F172="Expired"</formula>
    </cfRule>
  </conditionalFormatting>
  <conditionalFormatting sqref="N172 Z172">
    <cfRule type="cellIs" priority="315" dxfId="20" operator="equal" stopIfTrue="1">
      <formula>"L"</formula>
    </cfRule>
    <cfRule type="cellIs" priority="316" dxfId="19" operator="equal" stopIfTrue="1">
      <formula>"M"</formula>
    </cfRule>
    <cfRule type="cellIs" priority="317" dxfId="0" operator="equal" stopIfTrue="1">
      <formula>"H"</formula>
    </cfRule>
  </conditionalFormatting>
  <conditionalFormatting sqref="C173:L173 AH173 AU173:AW173 O173:X173 AA173:AD173">
    <cfRule type="expression" priority="310" dxfId="2" stopIfTrue="1">
      <formula>$F173="Expired"</formula>
    </cfRule>
  </conditionalFormatting>
  <conditionalFormatting sqref="N173 Z173">
    <cfRule type="cellIs" priority="311" dxfId="20" operator="equal" stopIfTrue="1">
      <formula>"L"</formula>
    </cfRule>
    <cfRule type="cellIs" priority="312" dxfId="19" operator="equal" stopIfTrue="1">
      <formula>"M"</formula>
    </cfRule>
    <cfRule type="cellIs" priority="313" dxfId="0" operator="equal" stopIfTrue="1">
      <formula>"H"</formula>
    </cfRule>
  </conditionalFormatting>
  <conditionalFormatting sqref="C177 F177:L177 AD177 O177:X177 AU177:AW177">
    <cfRule type="expression" priority="306" dxfId="2" stopIfTrue="1">
      <formula>$F177="Expired"</formula>
    </cfRule>
  </conditionalFormatting>
  <conditionalFormatting sqref="N177 Z177">
    <cfRule type="cellIs" priority="307" dxfId="20" operator="equal" stopIfTrue="1">
      <formula>"L"</formula>
    </cfRule>
    <cfRule type="cellIs" priority="308" dxfId="19" operator="equal" stopIfTrue="1">
      <formula>"M"</formula>
    </cfRule>
    <cfRule type="cellIs" priority="309" dxfId="0" operator="equal" stopIfTrue="1">
      <formula>"H"</formula>
    </cfRule>
  </conditionalFormatting>
  <conditionalFormatting sqref="AH177">
    <cfRule type="expression" priority="305" dxfId="2" stopIfTrue="1">
      <formula>$F177="Expired"</formula>
    </cfRule>
  </conditionalFormatting>
  <conditionalFormatting sqref="AD178 O178:X178 C178 F178:L178 AU178:AW178">
    <cfRule type="expression" priority="301" dxfId="2" stopIfTrue="1">
      <formula>$F178="Expired"</formula>
    </cfRule>
  </conditionalFormatting>
  <conditionalFormatting sqref="Z178 N178">
    <cfRule type="cellIs" priority="302" dxfId="20" operator="equal" stopIfTrue="1">
      <formula>"L"</formula>
    </cfRule>
    <cfRule type="cellIs" priority="303" dxfId="19" operator="equal" stopIfTrue="1">
      <formula>"M"</formula>
    </cfRule>
    <cfRule type="cellIs" priority="304" dxfId="0" operator="equal" stopIfTrue="1">
      <formula>"H"</formula>
    </cfRule>
  </conditionalFormatting>
  <conditionalFormatting sqref="AH178">
    <cfRule type="expression" priority="300" dxfId="2" stopIfTrue="1">
      <formula>$F178="Expired"</formula>
    </cfRule>
  </conditionalFormatting>
  <conditionalFormatting sqref="AH87">
    <cfRule type="expression" priority="299" dxfId="2" stopIfTrue="1">
      <formula>$F87="Expired"</formula>
    </cfRule>
  </conditionalFormatting>
  <conditionalFormatting sqref="AD19">
    <cfRule type="expression" priority="295" dxfId="2" stopIfTrue="1">
      <formula>$F19="Expired"</formula>
    </cfRule>
  </conditionalFormatting>
  <conditionalFormatting sqref="AD66">
    <cfRule type="expression" priority="291" dxfId="2" stopIfTrue="1">
      <formula>$F66="Expired"</formula>
    </cfRule>
  </conditionalFormatting>
  <conditionalFormatting sqref="C22:D22 C18:D19 C21:E21 E63:E66 E75:E76 E80 E90 E50:E53 C23:E24 D65 D69:E73 E57 D26 D87:E89 D38:E44 D78:E78 D54:E55 D59:E61 D34:E36 D27:E32 D46:E49 C96:E102 C91 C27 C35:C36 C85 C83 C75:C78 C80:C81">
    <cfRule type="expression" priority="282" dxfId="2" stopIfTrue="1">
      <formula>$F18="Expired"</formula>
    </cfRule>
  </conditionalFormatting>
  <conditionalFormatting sqref="E22">
    <cfRule type="expression" priority="281" dxfId="2" stopIfTrue="1">
      <formula>$F22="Expired"</formula>
    </cfRule>
  </conditionalFormatting>
  <conditionalFormatting sqref="E18:E19">
    <cfRule type="expression" priority="280" dxfId="2" stopIfTrue="1">
      <formula>$F18="Expired"</formula>
    </cfRule>
  </conditionalFormatting>
  <conditionalFormatting sqref="E67">
    <cfRule type="expression" priority="279" dxfId="2" stopIfTrue="1">
      <formula>$F67="Expired"</formula>
    </cfRule>
  </conditionalFormatting>
  <conditionalFormatting sqref="E77">
    <cfRule type="expression" priority="278" dxfId="2" stopIfTrue="1">
      <formula>$F77="Expired"</formula>
    </cfRule>
  </conditionalFormatting>
  <conditionalFormatting sqref="C38:C43 C92:C94 C87:C89 C46:C55 C59:C60 C63:C67 C28:C32 C69:C73">
    <cfRule type="expression" priority="277" dxfId="2" stopIfTrue="1">
      <formula>$F29="Expired"</formula>
    </cfRule>
  </conditionalFormatting>
  <conditionalFormatting sqref="E26">
    <cfRule type="expression" priority="276" dxfId="2" stopIfTrue="1">
      <formula>$F26="Expired"</formula>
    </cfRule>
  </conditionalFormatting>
  <conditionalFormatting sqref="C20:D20">
    <cfRule type="expression" priority="275" dxfId="2" stopIfTrue="1">
      <formula>$F20="Expired"</formula>
    </cfRule>
  </conditionalFormatting>
  <conditionalFormatting sqref="E20">
    <cfRule type="expression" priority="274" dxfId="2" stopIfTrue="1">
      <formula>$F20="Expired"</formula>
    </cfRule>
  </conditionalFormatting>
  <conditionalFormatting sqref="D50:D53">
    <cfRule type="expression" priority="273" dxfId="2" stopIfTrue="1">
      <formula>$F50="Expired"</formula>
    </cfRule>
  </conditionalFormatting>
  <conditionalFormatting sqref="D25:E25">
    <cfRule type="expression" priority="272" dxfId="2" stopIfTrue="1">
      <formula>$F25="Expired"</formula>
    </cfRule>
  </conditionalFormatting>
  <conditionalFormatting sqref="C25:C26">
    <cfRule type="expression" priority="283" dxfId="2" stopIfTrue="1">
      <formula>'4 - Risk Register'!#REF!="Expired"</formula>
    </cfRule>
  </conditionalFormatting>
  <conditionalFormatting sqref="C61">
    <cfRule type="expression" priority="284" dxfId="2" stopIfTrue="1">
      <formula>'4 - Risk Register'!#REF!="Expired"</formula>
    </cfRule>
  </conditionalFormatting>
  <conditionalFormatting sqref="C95">
    <cfRule type="expression" priority="271" dxfId="2" stopIfTrue="1">
      <formula>$F96="Expired"</formula>
    </cfRule>
  </conditionalFormatting>
  <conditionalFormatting sqref="C34">
    <cfRule type="expression" priority="270" dxfId="2" stopIfTrue="1">
      <formula>$F34="Expired"</formula>
    </cfRule>
  </conditionalFormatting>
  <conditionalFormatting sqref="C44">
    <cfRule type="expression" priority="269" dxfId="2" stopIfTrue="1">
      <formula>$F45="Expired"</formula>
    </cfRule>
  </conditionalFormatting>
  <conditionalFormatting sqref="C57">
    <cfRule type="expression" priority="268" dxfId="2" stopIfTrue="1">
      <formula>$F58="Expired"</formula>
    </cfRule>
  </conditionalFormatting>
  <conditionalFormatting sqref="C90">
    <cfRule type="expression" priority="267" dxfId="2" stopIfTrue="1">
      <formula>$F91="Expired"</formula>
    </cfRule>
  </conditionalFormatting>
  <conditionalFormatting sqref="O59:T59 P40:Q40 O75 I38:L42 I43 O46:P46 R51:T51 R75:T75 O38:O43 R38:T43 O21:T21 I21:L21 O32:Q32 Q44 O55:T55 O57:T57 R46:T46 O48:O51 P49:T50 O63:T65 I67 O66 R66:T66 I63:L66 P67:Q67 O76:T76 I75:L76 O69:T73 O80:T81 I85:L85 O85:T85 O34:T36 I52:I54 J53:L53 R53:T53 P52 O53:P53 O61:T61 O83:T83 I83:L83 I80:L81 O87:T93 R48:T48 I23:L24 I32:L32 I55:L55 I69:L73 I57:L57 I87:L93 O23:T24 I78:L78 I59:L61 I34:L36 I46:L51 I26:L30 O26:T29">
    <cfRule type="expression" priority="262" dxfId="2" stopIfTrue="1">
      <formula>$F21="Expired"</formula>
    </cfRule>
  </conditionalFormatting>
  <conditionalFormatting sqref="N59 N38:N43 N21 N32 N34:N35 N57 N46 N63:N65 N75:N76 N70:N71 N80 N53 N83 N87:N93 N48:N51 N23:N30">
    <cfRule type="cellIs" priority="263" dxfId="20" operator="equal" stopIfTrue="1">
      <formula>"L"</formula>
    </cfRule>
    <cfRule type="cellIs" priority="264" dxfId="19" operator="equal" stopIfTrue="1">
      <formula>"M"</formula>
    </cfRule>
    <cfRule type="cellIs" priority="265" dxfId="0" operator="equal" stopIfTrue="1">
      <formula>"H"</formula>
    </cfRule>
  </conditionalFormatting>
  <conditionalFormatting sqref="O22:T22 I22:L22">
    <cfRule type="expression" priority="258" dxfId="2" stopIfTrue="1">
      <formula>$F22="Expired"</formula>
    </cfRule>
  </conditionalFormatting>
  <conditionalFormatting sqref="N22">
    <cfRule type="cellIs" priority="259" dxfId="20" operator="equal" stopIfTrue="1">
      <formula>"L"</formula>
    </cfRule>
    <cfRule type="cellIs" priority="260" dxfId="19" operator="equal" stopIfTrue="1">
      <formula>"M"</formula>
    </cfRule>
    <cfRule type="cellIs" priority="261" dxfId="0" operator="equal" stopIfTrue="1">
      <formula>"H"</formula>
    </cfRule>
  </conditionalFormatting>
  <conditionalFormatting sqref="O18:T19 I18:L19">
    <cfRule type="expression" priority="254" dxfId="2" stopIfTrue="1">
      <formula>$F18="Expired"</formula>
    </cfRule>
  </conditionalFormatting>
  <conditionalFormatting sqref="N18:N19">
    <cfRule type="cellIs" priority="255" dxfId="20" operator="equal" stopIfTrue="1">
      <formula>"L"</formula>
    </cfRule>
    <cfRule type="cellIs" priority="256" dxfId="19" operator="equal" stopIfTrue="1">
      <formula>"M"</formula>
    </cfRule>
    <cfRule type="cellIs" priority="257" dxfId="0" operator="equal" stopIfTrue="1">
      <formula>"H"</formula>
    </cfRule>
  </conditionalFormatting>
  <conditionalFormatting sqref="O44 R44:T44 I44:L44">
    <cfRule type="expression" priority="250" dxfId="2" stopIfTrue="1">
      <formula>$F44="Expired"</formula>
    </cfRule>
  </conditionalFormatting>
  <conditionalFormatting sqref="N44">
    <cfRule type="cellIs" priority="251" dxfId="20" operator="equal" stopIfTrue="1">
      <formula>"L"</formula>
    </cfRule>
    <cfRule type="cellIs" priority="252" dxfId="19" operator="equal" stopIfTrue="1">
      <formula>"M"</formula>
    </cfRule>
    <cfRule type="cellIs" priority="253" dxfId="0" operator="equal" stopIfTrue="1">
      <formula>"H"</formula>
    </cfRule>
  </conditionalFormatting>
  <conditionalFormatting sqref="N55">
    <cfRule type="cellIs" priority="247" dxfId="20" operator="equal" stopIfTrue="1">
      <formula>"L"</formula>
    </cfRule>
    <cfRule type="cellIs" priority="248" dxfId="19" operator="equal" stopIfTrue="1">
      <formula>"M"</formula>
    </cfRule>
    <cfRule type="cellIs" priority="249" dxfId="0" operator="equal" stopIfTrue="1">
      <formula>"H"</formula>
    </cfRule>
  </conditionalFormatting>
  <conditionalFormatting sqref="O31:T31 I31:L31">
    <cfRule type="expression" priority="243" dxfId="2" stopIfTrue="1">
      <formula>$F31="Expired"</formula>
    </cfRule>
  </conditionalFormatting>
  <conditionalFormatting sqref="N31">
    <cfRule type="cellIs" priority="244" dxfId="20" operator="equal" stopIfTrue="1">
      <formula>"L"</formula>
    </cfRule>
    <cfRule type="cellIs" priority="245" dxfId="19" operator="equal" stopIfTrue="1">
      <formula>"M"</formula>
    </cfRule>
    <cfRule type="cellIs" priority="246" dxfId="0" operator="equal" stopIfTrue="1">
      <formula>"H"</formula>
    </cfRule>
  </conditionalFormatting>
  <conditionalFormatting sqref="O67 J67:L67 R67:T67">
    <cfRule type="expression" priority="239" dxfId="2" stopIfTrue="1">
      <formula>$F67="Expired"</formula>
    </cfRule>
  </conditionalFormatting>
  <conditionalFormatting sqref="N67">
    <cfRule type="cellIs" priority="240" dxfId="20" operator="equal" stopIfTrue="1">
      <formula>"L"</formula>
    </cfRule>
    <cfRule type="cellIs" priority="241" dxfId="19" operator="equal" stopIfTrue="1">
      <formula>"M"</formula>
    </cfRule>
    <cfRule type="cellIs" priority="242" dxfId="0" operator="equal" stopIfTrue="1">
      <formula>"H"</formula>
    </cfRule>
  </conditionalFormatting>
  <conditionalFormatting sqref="O78:T78">
    <cfRule type="expression" priority="235" dxfId="2" stopIfTrue="1">
      <formula>$F78="Expired"</formula>
    </cfRule>
  </conditionalFormatting>
  <conditionalFormatting sqref="N78">
    <cfRule type="cellIs" priority="236" dxfId="20" operator="equal" stopIfTrue="1">
      <formula>"L"</formula>
    </cfRule>
    <cfRule type="cellIs" priority="237" dxfId="19" operator="equal" stopIfTrue="1">
      <formula>"M"</formula>
    </cfRule>
    <cfRule type="cellIs" priority="238" dxfId="0" operator="equal" stopIfTrue="1">
      <formula>"H"</formula>
    </cfRule>
  </conditionalFormatting>
  <conditionalFormatting sqref="O54:T54 J54:L54">
    <cfRule type="expression" priority="231" dxfId="2" stopIfTrue="1">
      <formula>$F54="Expired"</formula>
    </cfRule>
  </conditionalFormatting>
  <conditionalFormatting sqref="N54">
    <cfRule type="cellIs" priority="232" dxfId="20" operator="equal" stopIfTrue="1">
      <formula>"L"</formula>
    </cfRule>
    <cfRule type="cellIs" priority="233" dxfId="19" operator="equal" stopIfTrue="1">
      <formula>"M"</formula>
    </cfRule>
    <cfRule type="cellIs" priority="234" dxfId="0" operator="equal" stopIfTrue="1">
      <formula>"H"</formula>
    </cfRule>
  </conditionalFormatting>
  <conditionalFormatting sqref="R32:T32">
    <cfRule type="expression" priority="230" dxfId="2" stopIfTrue="1">
      <formula>$F32="Expired"</formula>
    </cfRule>
  </conditionalFormatting>
  <conditionalFormatting sqref="O60:T60">
    <cfRule type="expression" priority="226" dxfId="2" stopIfTrue="1">
      <formula>$F60="Expired"</formula>
    </cfRule>
  </conditionalFormatting>
  <conditionalFormatting sqref="N60">
    <cfRule type="cellIs" priority="227" dxfId="20" operator="equal" stopIfTrue="1">
      <formula>"L"</formula>
    </cfRule>
    <cfRule type="cellIs" priority="228" dxfId="19" operator="equal" stopIfTrue="1">
      <formula>"M"</formula>
    </cfRule>
    <cfRule type="cellIs" priority="229" dxfId="0" operator="equal" stopIfTrue="1">
      <formula>"H"</formula>
    </cfRule>
  </conditionalFormatting>
  <conditionalFormatting sqref="N61">
    <cfRule type="cellIs" priority="223" dxfId="20" operator="equal" stopIfTrue="1">
      <formula>"L"</formula>
    </cfRule>
    <cfRule type="cellIs" priority="224" dxfId="19" operator="equal" stopIfTrue="1">
      <formula>"M"</formula>
    </cfRule>
    <cfRule type="cellIs" priority="225" dxfId="0" operator="equal" stopIfTrue="1">
      <formula>"H"</formula>
    </cfRule>
  </conditionalFormatting>
  <conditionalFormatting sqref="N36">
    <cfRule type="cellIs" priority="220" dxfId="20" operator="equal" stopIfTrue="1">
      <formula>"L"</formula>
    </cfRule>
    <cfRule type="cellIs" priority="221" dxfId="19" operator="equal" stopIfTrue="1">
      <formula>"M"</formula>
    </cfRule>
    <cfRule type="cellIs" priority="222" dxfId="0" operator="equal" stopIfTrue="1">
      <formula>"H"</formula>
    </cfRule>
  </conditionalFormatting>
  <conditionalFormatting sqref="N66">
    <cfRule type="cellIs" priority="217" dxfId="20" operator="equal" stopIfTrue="1">
      <formula>"L"</formula>
    </cfRule>
    <cfRule type="cellIs" priority="218" dxfId="19" operator="equal" stopIfTrue="1">
      <formula>"M"</formula>
    </cfRule>
    <cfRule type="cellIs" priority="219" dxfId="0" operator="equal" stopIfTrue="1">
      <formula>"H"</formula>
    </cfRule>
  </conditionalFormatting>
  <conditionalFormatting sqref="P38:Q38">
    <cfRule type="expression" priority="216" dxfId="2" stopIfTrue="1">
      <formula>$F38="Expired"</formula>
    </cfRule>
  </conditionalFormatting>
  <conditionalFormatting sqref="P42">
    <cfRule type="expression" priority="215" dxfId="2" stopIfTrue="1">
      <formula>$F42="Expired"</formula>
    </cfRule>
  </conditionalFormatting>
  <conditionalFormatting sqref="Q42">
    <cfRule type="expression" priority="214" dxfId="2" stopIfTrue="1">
      <formula>$F42="Expired"</formula>
    </cfRule>
  </conditionalFormatting>
  <conditionalFormatting sqref="J43:L43">
    <cfRule type="expression" priority="213" dxfId="2" stopIfTrue="1">
      <formula>$F43="Expired"</formula>
    </cfRule>
  </conditionalFormatting>
  <conditionalFormatting sqref="P43:Q43">
    <cfRule type="expression" priority="212" dxfId="2" stopIfTrue="1">
      <formula>$F43="Expired"</formula>
    </cfRule>
  </conditionalFormatting>
  <conditionalFormatting sqref="O52 J52:L52 R52:T52">
    <cfRule type="expression" priority="208" dxfId="2" stopIfTrue="1">
      <formula>$F52="Expired"</formula>
    </cfRule>
  </conditionalFormatting>
  <conditionalFormatting sqref="N52">
    <cfRule type="cellIs" priority="209" dxfId="20" operator="equal" stopIfTrue="1">
      <formula>"L"</formula>
    </cfRule>
    <cfRule type="cellIs" priority="210" dxfId="19" operator="equal" stopIfTrue="1">
      <formula>"M"</formula>
    </cfRule>
    <cfRule type="cellIs" priority="211" dxfId="0" operator="equal" stopIfTrue="1">
      <formula>"H"</formula>
    </cfRule>
  </conditionalFormatting>
  <conditionalFormatting sqref="N69">
    <cfRule type="cellIs" priority="205" dxfId="20" operator="equal" stopIfTrue="1">
      <formula>"L"</formula>
    </cfRule>
    <cfRule type="cellIs" priority="206" dxfId="19" operator="equal" stopIfTrue="1">
      <formula>"M"</formula>
    </cfRule>
    <cfRule type="cellIs" priority="207" dxfId="0" operator="equal" stopIfTrue="1">
      <formula>"H"</formula>
    </cfRule>
  </conditionalFormatting>
  <conditionalFormatting sqref="Q46">
    <cfRule type="expression" priority="204" dxfId="2" stopIfTrue="1">
      <formula>$F46="Expired"</formula>
    </cfRule>
  </conditionalFormatting>
  <conditionalFormatting sqref="Q51">
    <cfRule type="expression" priority="203" dxfId="2" stopIfTrue="1">
      <formula>$F51="Expired"</formula>
    </cfRule>
  </conditionalFormatting>
  <conditionalFormatting sqref="P51">
    <cfRule type="expression" priority="202" dxfId="2" stopIfTrue="1">
      <formula>$F51="Expired"</formula>
    </cfRule>
  </conditionalFormatting>
  <conditionalFormatting sqref="Q52:Q53">
    <cfRule type="expression" priority="201" dxfId="2" stopIfTrue="1">
      <formula>$F52="Expired"</formula>
    </cfRule>
  </conditionalFormatting>
  <conditionalFormatting sqref="P66:Q66">
    <cfRule type="expression" priority="200" dxfId="2" stopIfTrue="1">
      <formula>$F66="Expired"</formula>
    </cfRule>
  </conditionalFormatting>
  <conditionalFormatting sqref="P75:Q75">
    <cfRule type="expression" priority="199" dxfId="2" stopIfTrue="1">
      <formula>$F75="Expired"</formula>
    </cfRule>
  </conditionalFormatting>
  <conditionalFormatting sqref="O77:T77 I77:L77">
    <cfRule type="expression" priority="195" dxfId="2" stopIfTrue="1">
      <formula>$F77="Expired"</formula>
    </cfRule>
  </conditionalFormatting>
  <conditionalFormatting sqref="N77">
    <cfRule type="cellIs" priority="196" dxfId="20" operator="equal" stopIfTrue="1">
      <formula>"L"</formula>
    </cfRule>
    <cfRule type="cellIs" priority="197" dxfId="19" operator="equal" stopIfTrue="1">
      <formula>"M"</formula>
    </cfRule>
    <cfRule type="cellIs" priority="198" dxfId="0" operator="equal" stopIfTrue="1">
      <formula>"H"</formula>
    </cfRule>
  </conditionalFormatting>
  <conditionalFormatting sqref="P48:Q48">
    <cfRule type="expression" priority="266" dxfId="2" stopIfTrue="1">
      <formula>'4 - Risk Register'!#REF!="Expired"</formula>
    </cfRule>
  </conditionalFormatting>
  <conditionalFormatting sqref="P41:Q41">
    <cfRule type="expression" priority="194" dxfId="2" stopIfTrue="1">
      <formula>$F41="Expired"</formula>
    </cfRule>
  </conditionalFormatting>
  <conditionalFormatting sqref="N72">
    <cfRule type="cellIs" priority="191" dxfId="20" operator="equal" stopIfTrue="1">
      <formula>"L"</formula>
    </cfRule>
    <cfRule type="cellIs" priority="192" dxfId="19" operator="equal" stopIfTrue="1">
      <formula>"M"</formula>
    </cfRule>
    <cfRule type="cellIs" priority="193" dxfId="0" operator="equal" stopIfTrue="1">
      <formula>"H"</formula>
    </cfRule>
  </conditionalFormatting>
  <conditionalFormatting sqref="N73">
    <cfRule type="cellIs" priority="188" dxfId="20" operator="equal" stopIfTrue="1">
      <formula>"L"</formula>
    </cfRule>
    <cfRule type="cellIs" priority="189" dxfId="19" operator="equal" stopIfTrue="1">
      <formula>"M"</formula>
    </cfRule>
    <cfRule type="cellIs" priority="190" dxfId="0" operator="equal" stopIfTrue="1">
      <formula>"H"</formula>
    </cfRule>
  </conditionalFormatting>
  <conditionalFormatting sqref="N81">
    <cfRule type="cellIs" priority="185" dxfId="20" operator="equal" stopIfTrue="1">
      <formula>"L"</formula>
    </cfRule>
    <cfRule type="cellIs" priority="186" dxfId="19" operator="equal" stopIfTrue="1">
      <formula>"M"</formula>
    </cfRule>
    <cfRule type="cellIs" priority="187" dxfId="0" operator="equal" stopIfTrue="1">
      <formula>"H"</formula>
    </cfRule>
  </conditionalFormatting>
  <conditionalFormatting sqref="N85">
    <cfRule type="cellIs" priority="182" dxfId="20" operator="equal" stopIfTrue="1">
      <formula>"L"</formula>
    </cfRule>
    <cfRule type="cellIs" priority="183" dxfId="19" operator="equal" stopIfTrue="1">
      <formula>"M"</formula>
    </cfRule>
    <cfRule type="cellIs" priority="184" dxfId="0" operator="equal" stopIfTrue="1">
      <formula>"H"</formula>
    </cfRule>
  </conditionalFormatting>
  <conditionalFormatting sqref="O20:T20 I20:L20">
    <cfRule type="expression" priority="176" dxfId="2" stopIfTrue="1">
      <formula>$F20="Expired"</formula>
    </cfRule>
  </conditionalFormatting>
  <conditionalFormatting sqref="N20">
    <cfRule type="cellIs" priority="177" dxfId="20" operator="equal" stopIfTrue="1">
      <formula>"L"</formula>
    </cfRule>
    <cfRule type="cellIs" priority="178" dxfId="19" operator="equal" stopIfTrue="1">
      <formula>"M"</formula>
    </cfRule>
    <cfRule type="cellIs" priority="179" dxfId="0" operator="equal" stopIfTrue="1">
      <formula>"H"</formula>
    </cfRule>
  </conditionalFormatting>
  <conditionalFormatting sqref="O30:T30">
    <cfRule type="expression" priority="172" dxfId="2" stopIfTrue="1">
      <formula>$F30="Expired"</formula>
    </cfRule>
  </conditionalFormatting>
  <conditionalFormatting sqref="O47 R47:T47">
    <cfRule type="expression" priority="167" dxfId="2" stopIfTrue="1">
      <formula>$F47="Expired"</formula>
    </cfRule>
  </conditionalFormatting>
  <conditionalFormatting sqref="N47">
    <cfRule type="cellIs" priority="168" dxfId="20" operator="equal" stopIfTrue="1">
      <formula>"L"</formula>
    </cfRule>
    <cfRule type="cellIs" priority="169" dxfId="19" operator="equal" stopIfTrue="1">
      <formula>"M"</formula>
    </cfRule>
    <cfRule type="cellIs" priority="170" dxfId="0" operator="equal" stopIfTrue="1">
      <formula>"H"</formula>
    </cfRule>
  </conditionalFormatting>
  <conditionalFormatting sqref="P47:Q47">
    <cfRule type="expression" priority="171" dxfId="2" stopIfTrue="1">
      <formula>'4 - Risk Register'!#REF!="Expired"</formula>
    </cfRule>
  </conditionalFormatting>
  <conditionalFormatting sqref="O94:T94 I94:L94">
    <cfRule type="expression" priority="163" dxfId="2" stopIfTrue="1">
      <formula>$F94="Expired"</formula>
    </cfRule>
  </conditionalFormatting>
  <conditionalFormatting sqref="N94">
    <cfRule type="cellIs" priority="164" dxfId="20" operator="equal" stopIfTrue="1">
      <formula>"L"</formula>
    </cfRule>
    <cfRule type="cellIs" priority="165" dxfId="19" operator="equal" stopIfTrue="1">
      <formula>"M"</formula>
    </cfRule>
    <cfRule type="cellIs" priority="166" dxfId="0" operator="equal" stopIfTrue="1">
      <formula>"H"</formula>
    </cfRule>
  </conditionalFormatting>
  <conditionalFormatting sqref="I25:L25 O25:T25">
    <cfRule type="expression" priority="158" dxfId="2" stopIfTrue="1">
      <formula>$F25="Expired"</formula>
    </cfRule>
  </conditionalFormatting>
  <conditionalFormatting sqref="F64">
    <cfRule type="expression" priority="157" dxfId="2" stopIfTrue="1">
      <formula>$F64="Expired"</formula>
    </cfRule>
  </conditionalFormatting>
  <conditionalFormatting sqref="F63">
    <cfRule type="expression" priority="156" dxfId="2" stopIfTrue="1">
      <formula>$F63="Expired"</formula>
    </cfRule>
  </conditionalFormatting>
  <conditionalFormatting sqref="U59:X59 U38:X43 U21:X21 AA21:AC21 U32 U55:X55 AA55:AC55 AA57:AC57 U57:X57 U46:X46 U63:X66 AA66:AC66 U75:X76 AA75:AC76 U69:X73 AA69:AC73 U80:X81 U85:X85 AA35:AB35 U34:X36 AA26:AC29 U53:X53 U61:X61 AA61:AC61 U83:X83 AA87:AC90 U87:X91 U48:X51 AA23:AC24 U23:X24 U26:X29">
    <cfRule type="expression" priority="152" dxfId="2" stopIfTrue="1">
      <formula>$F21="Expired"</formula>
    </cfRule>
  </conditionalFormatting>
  <conditionalFormatting sqref="Z59 Z38:Z43 Z57 Z46 Z63 Z75:Z76 Z34:Z36 Z69:Z73 Z80:Z81 Z53 Z61 Z87:Z91 Z65:Z66 Z48:Z51">
    <cfRule type="cellIs" priority="153" dxfId="20" operator="equal" stopIfTrue="1">
      <formula>"L"</formula>
    </cfRule>
    <cfRule type="cellIs" priority="154" dxfId="19" operator="equal" stopIfTrue="1">
      <formula>"M"</formula>
    </cfRule>
    <cfRule type="cellIs" priority="155" dxfId="0" operator="equal" stopIfTrue="1">
      <formula>"H"</formula>
    </cfRule>
  </conditionalFormatting>
  <conditionalFormatting sqref="U22:X22 AB22:AC22">
    <cfRule type="expression" priority="148" dxfId="2" stopIfTrue="1">
      <formula>$F22="Expired"</formula>
    </cfRule>
  </conditionalFormatting>
  <conditionalFormatting sqref="U18:X19 AB18:AC19">
    <cfRule type="expression" priority="144" dxfId="2" stopIfTrue="1">
      <formula>$F18="Expired"</formula>
    </cfRule>
  </conditionalFormatting>
  <conditionalFormatting sqref="Z18:Z32">
    <cfRule type="cellIs" priority="145" dxfId="20" operator="equal" stopIfTrue="1">
      <formula>"L"</formula>
    </cfRule>
    <cfRule type="cellIs" priority="146" dxfId="19" operator="equal" stopIfTrue="1">
      <formula>"M"</formula>
    </cfRule>
    <cfRule type="cellIs" priority="147" dxfId="0" operator="equal" stopIfTrue="1">
      <formula>"H"</formula>
    </cfRule>
  </conditionalFormatting>
  <conditionalFormatting sqref="U44:X44">
    <cfRule type="expression" priority="140" dxfId="2" stopIfTrue="1">
      <formula>$F44="Expired"</formula>
    </cfRule>
  </conditionalFormatting>
  <conditionalFormatting sqref="Z44">
    <cfRule type="cellIs" priority="141" dxfId="20" operator="equal" stopIfTrue="1">
      <formula>"L"</formula>
    </cfRule>
    <cfRule type="cellIs" priority="142" dxfId="19" operator="equal" stopIfTrue="1">
      <formula>"M"</formula>
    </cfRule>
    <cfRule type="cellIs" priority="143" dxfId="0" operator="equal" stopIfTrue="1">
      <formula>"H"</formula>
    </cfRule>
  </conditionalFormatting>
  <conditionalFormatting sqref="Z55">
    <cfRule type="cellIs" priority="137" dxfId="20" operator="equal" stopIfTrue="1">
      <formula>"L"</formula>
    </cfRule>
    <cfRule type="cellIs" priority="138" dxfId="19" operator="equal" stopIfTrue="1">
      <formula>"M"</formula>
    </cfRule>
    <cfRule type="cellIs" priority="139" dxfId="0" operator="equal" stopIfTrue="1">
      <formula>"H"</formula>
    </cfRule>
  </conditionalFormatting>
  <conditionalFormatting sqref="U31:X31">
    <cfRule type="expression" priority="133" dxfId="2" stopIfTrue="1">
      <formula>$F31="Expired"</formula>
    </cfRule>
  </conditionalFormatting>
  <conditionalFormatting sqref="AA67:AC67 U67:X67">
    <cfRule type="expression" priority="129" dxfId="2" stopIfTrue="1">
      <formula>$F67="Expired"</formula>
    </cfRule>
  </conditionalFormatting>
  <conditionalFormatting sqref="Z67">
    <cfRule type="cellIs" priority="130" dxfId="20" operator="equal" stopIfTrue="1">
      <formula>"L"</formula>
    </cfRule>
    <cfRule type="cellIs" priority="131" dxfId="19" operator="equal" stopIfTrue="1">
      <formula>"M"</formula>
    </cfRule>
    <cfRule type="cellIs" priority="132" dxfId="0" operator="equal" stopIfTrue="1">
      <formula>"H"</formula>
    </cfRule>
  </conditionalFormatting>
  <conditionalFormatting sqref="U78:X78">
    <cfRule type="expression" priority="125" dxfId="2" stopIfTrue="1">
      <formula>$F78="Expired"</formula>
    </cfRule>
  </conditionalFormatting>
  <conditionalFormatting sqref="Z78">
    <cfRule type="cellIs" priority="126" dxfId="20" operator="equal" stopIfTrue="1">
      <formula>"L"</formula>
    </cfRule>
    <cfRule type="cellIs" priority="127" dxfId="19" operator="equal" stopIfTrue="1">
      <formula>"M"</formula>
    </cfRule>
    <cfRule type="cellIs" priority="128" dxfId="0" operator="equal" stopIfTrue="1">
      <formula>"H"</formula>
    </cfRule>
  </conditionalFormatting>
  <conditionalFormatting sqref="U54:X54">
    <cfRule type="expression" priority="121" dxfId="2" stopIfTrue="1">
      <formula>$F54="Expired"</formula>
    </cfRule>
  </conditionalFormatting>
  <conditionalFormatting sqref="Z54">
    <cfRule type="cellIs" priority="122" dxfId="20" operator="equal" stopIfTrue="1">
      <formula>"L"</formula>
    </cfRule>
    <cfRule type="cellIs" priority="123" dxfId="19" operator="equal" stopIfTrue="1">
      <formula>"M"</formula>
    </cfRule>
    <cfRule type="cellIs" priority="124" dxfId="0" operator="equal" stopIfTrue="1">
      <formula>"H"</formula>
    </cfRule>
  </conditionalFormatting>
  <conditionalFormatting sqref="U60:X60">
    <cfRule type="expression" priority="114" dxfId="2" stopIfTrue="1">
      <formula>$F60="Expired"</formula>
    </cfRule>
  </conditionalFormatting>
  <conditionalFormatting sqref="Z60">
    <cfRule type="cellIs" priority="115" dxfId="20" operator="equal" stopIfTrue="1">
      <formula>"L"</formula>
    </cfRule>
    <cfRule type="cellIs" priority="116" dxfId="19" operator="equal" stopIfTrue="1">
      <formula>"M"</formula>
    </cfRule>
    <cfRule type="cellIs" priority="117" dxfId="0" operator="equal" stopIfTrue="1">
      <formula>"H"</formula>
    </cfRule>
  </conditionalFormatting>
  <conditionalFormatting sqref="V32:X32">
    <cfRule type="expression" priority="113" dxfId="2" stopIfTrue="1">
      <formula>$F32="Expired"</formula>
    </cfRule>
  </conditionalFormatting>
  <conditionalFormatting sqref="AA36:AC36">
    <cfRule type="expression" priority="112" dxfId="2" stopIfTrue="1">
      <formula>$F36="Expired"</formula>
    </cfRule>
  </conditionalFormatting>
  <conditionalFormatting sqref="AA38:AB38">
    <cfRule type="expression" priority="111" dxfId="2" stopIfTrue="1">
      <formula>$F38="Expired"</formula>
    </cfRule>
  </conditionalFormatting>
  <conditionalFormatting sqref="AA39:AC39">
    <cfRule type="expression" priority="110" dxfId="2" stopIfTrue="1">
      <formula>$F39="Expired"</formula>
    </cfRule>
  </conditionalFormatting>
  <conditionalFormatting sqref="AC38">
    <cfRule type="expression" priority="109" dxfId="2" stopIfTrue="1">
      <formula>$F38="Expired"</formula>
    </cfRule>
  </conditionalFormatting>
  <conditionalFormatting sqref="AA40:AC40">
    <cfRule type="expression" priority="108" dxfId="2" stopIfTrue="1">
      <formula>$F40="Expired"</formula>
    </cfRule>
  </conditionalFormatting>
  <conditionalFormatting sqref="AA41:AC41">
    <cfRule type="expression" priority="107" dxfId="2" stopIfTrue="1">
      <formula>$F41="Expired"</formula>
    </cfRule>
  </conditionalFormatting>
  <conditionalFormatting sqref="AA42:AC42">
    <cfRule type="expression" priority="106" dxfId="2" stopIfTrue="1">
      <formula>$F42="Expired"</formula>
    </cfRule>
  </conditionalFormatting>
  <conditionalFormatting sqref="AA52:AC52 U52:X52">
    <cfRule type="expression" priority="102" dxfId="2" stopIfTrue="1">
      <formula>$F52="Expired"</formula>
    </cfRule>
  </conditionalFormatting>
  <conditionalFormatting sqref="Z52">
    <cfRule type="cellIs" priority="103" dxfId="20" operator="equal" stopIfTrue="1">
      <formula>"L"</formula>
    </cfRule>
    <cfRule type="cellIs" priority="104" dxfId="19" operator="equal" stopIfTrue="1">
      <formula>"M"</formula>
    </cfRule>
    <cfRule type="cellIs" priority="105" dxfId="0" operator="equal" stopIfTrue="1">
      <formula>"H"</formula>
    </cfRule>
  </conditionalFormatting>
  <conditionalFormatting sqref="AA44:AB44">
    <cfRule type="expression" priority="101" dxfId="2" stopIfTrue="1">
      <formula>$F44="Expired"</formula>
    </cfRule>
  </conditionalFormatting>
  <conditionalFormatting sqref="AC44">
    <cfRule type="expression" priority="100" dxfId="2" stopIfTrue="1">
      <formula>$F44="Expired"</formula>
    </cfRule>
  </conditionalFormatting>
  <conditionalFormatting sqref="AA46:AB46">
    <cfRule type="expression" priority="99" dxfId="2" stopIfTrue="1">
      <formula>$F46="Expired"</formula>
    </cfRule>
  </conditionalFormatting>
  <conditionalFormatting sqref="AC46">
    <cfRule type="expression" priority="98" dxfId="2" stopIfTrue="1">
      <formula>$F46="Expired"</formula>
    </cfRule>
  </conditionalFormatting>
  <conditionalFormatting sqref="AA48:AB48">
    <cfRule type="expression" priority="97" dxfId="2" stopIfTrue="1">
      <formula>$F48="Expired"</formula>
    </cfRule>
  </conditionalFormatting>
  <conditionalFormatting sqref="AC48">
    <cfRule type="expression" priority="96" dxfId="2" stopIfTrue="1">
      <formula>$F48="Expired"</formula>
    </cfRule>
  </conditionalFormatting>
  <conditionalFormatting sqref="AA49:AB49">
    <cfRule type="expression" priority="95" dxfId="2" stopIfTrue="1">
      <formula>$F49="Expired"</formula>
    </cfRule>
  </conditionalFormatting>
  <conditionalFormatting sqref="AC49">
    <cfRule type="expression" priority="94" dxfId="2" stopIfTrue="1">
      <formula>$F49="Expired"</formula>
    </cfRule>
  </conditionalFormatting>
  <conditionalFormatting sqref="AA50:AC50">
    <cfRule type="expression" priority="93" dxfId="2" stopIfTrue="1">
      <formula>$F50="Expired"</formula>
    </cfRule>
  </conditionalFormatting>
  <conditionalFormatting sqref="AA51:AC51">
    <cfRule type="expression" priority="92" dxfId="2" stopIfTrue="1">
      <formula>$F51="Expired"</formula>
    </cfRule>
  </conditionalFormatting>
  <conditionalFormatting sqref="AA53:AC53">
    <cfRule type="expression" priority="91" dxfId="2" stopIfTrue="1">
      <formula>$F53="Expired"</formula>
    </cfRule>
  </conditionalFormatting>
  <conditionalFormatting sqref="AA54:AC54">
    <cfRule type="expression" priority="90" dxfId="2" stopIfTrue="1">
      <formula>$F54="Expired"</formula>
    </cfRule>
  </conditionalFormatting>
  <conditionalFormatting sqref="AA59:AC59">
    <cfRule type="expression" priority="89" dxfId="2" stopIfTrue="1">
      <formula>$F59="Expired"</formula>
    </cfRule>
  </conditionalFormatting>
  <conditionalFormatting sqref="AA63:AC64">
    <cfRule type="expression" priority="88" dxfId="2" stopIfTrue="1">
      <formula>$F63="Expired"</formula>
    </cfRule>
  </conditionalFormatting>
  <conditionalFormatting sqref="AA65:AC65">
    <cfRule type="expression" priority="87" dxfId="2" stopIfTrue="1">
      <formula>$F65="Expired"</formula>
    </cfRule>
  </conditionalFormatting>
  <conditionalFormatting sqref="AA78:AB78">
    <cfRule type="expression" priority="86" dxfId="2" stopIfTrue="1">
      <formula>$F78="Expired"</formula>
    </cfRule>
  </conditionalFormatting>
  <conditionalFormatting sqref="AC78">
    <cfRule type="expression" priority="85" dxfId="2" stopIfTrue="1">
      <formula>$F78="Expired"</formula>
    </cfRule>
  </conditionalFormatting>
  <conditionalFormatting sqref="U77:X77 AA77:AC77">
    <cfRule type="expression" priority="81" dxfId="2" stopIfTrue="1">
      <formula>$F77="Expired"</formula>
    </cfRule>
  </conditionalFormatting>
  <conditionalFormatting sqref="Z77">
    <cfRule type="cellIs" priority="82" dxfId="20" operator="equal" stopIfTrue="1">
      <formula>"L"</formula>
    </cfRule>
    <cfRule type="cellIs" priority="83" dxfId="19" operator="equal" stopIfTrue="1">
      <formula>"M"</formula>
    </cfRule>
    <cfRule type="cellIs" priority="84" dxfId="0" operator="equal" stopIfTrue="1">
      <formula>"H"</formula>
    </cfRule>
  </conditionalFormatting>
  <conditionalFormatting sqref="AA34:AC34">
    <cfRule type="expression" priority="80" dxfId="2" stopIfTrue="1">
      <formula>$F34="Expired"</formula>
    </cfRule>
  </conditionalFormatting>
  <conditionalFormatting sqref="AA31:AC31">
    <cfRule type="expression" priority="79" dxfId="2" stopIfTrue="1">
      <formula>$F31="Expired"</formula>
    </cfRule>
  </conditionalFormatting>
  <conditionalFormatting sqref="AA32:AC32">
    <cfRule type="expression" priority="78" dxfId="2" stopIfTrue="1">
      <formula>$F32="Expired"</formula>
    </cfRule>
  </conditionalFormatting>
  <conditionalFormatting sqref="AA43:AC43">
    <cfRule type="expression" priority="77" dxfId="2" stopIfTrue="1">
      <formula>$F43="Expired"</formula>
    </cfRule>
  </conditionalFormatting>
  <conditionalFormatting sqref="AA60:AC60">
    <cfRule type="expression" priority="73" dxfId="2" stopIfTrue="1">
      <formula>$F60="Expired"</formula>
    </cfRule>
  </conditionalFormatting>
  <conditionalFormatting sqref="AB91">
    <cfRule type="expression" priority="72" dxfId="2" stopIfTrue="1">
      <formula>$F91="Expired"</formula>
    </cfRule>
  </conditionalFormatting>
  <conditionalFormatting sqref="AB83">
    <cfRule type="expression" priority="71" dxfId="2" stopIfTrue="1">
      <formula>$F83="Expired"</formula>
    </cfRule>
  </conditionalFormatting>
  <conditionalFormatting sqref="AB85">
    <cfRule type="expression" priority="70" dxfId="2" stopIfTrue="1">
      <formula>$F85="Expired"</formula>
    </cfRule>
  </conditionalFormatting>
  <conditionalFormatting sqref="Z85">
    <cfRule type="cellIs" priority="67" dxfId="20" operator="equal" stopIfTrue="1">
      <formula>"L"</formula>
    </cfRule>
    <cfRule type="cellIs" priority="68" dxfId="19" operator="equal" stopIfTrue="1">
      <formula>"M"</formula>
    </cfRule>
    <cfRule type="cellIs" priority="69" dxfId="0" operator="equal" stopIfTrue="1">
      <formula>"H"</formula>
    </cfRule>
  </conditionalFormatting>
  <conditionalFormatting sqref="Z83">
    <cfRule type="cellIs" priority="64" dxfId="20" operator="equal" stopIfTrue="1">
      <formula>"L"</formula>
    </cfRule>
    <cfRule type="cellIs" priority="65" dxfId="19" operator="equal" stopIfTrue="1">
      <formula>"M"</formula>
    </cfRule>
    <cfRule type="cellIs" priority="66" dxfId="0" operator="equal" stopIfTrue="1">
      <formula>"H"</formula>
    </cfRule>
  </conditionalFormatting>
  <conditionalFormatting sqref="AA18:AA19">
    <cfRule type="expression" priority="63" dxfId="2" stopIfTrue="1">
      <formula>$F18="Expired"</formula>
    </cfRule>
  </conditionalFormatting>
  <conditionalFormatting sqref="AA22">
    <cfRule type="expression" priority="62" dxfId="2" stopIfTrue="1">
      <formula>$F22="Expired"</formula>
    </cfRule>
  </conditionalFormatting>
  <conditionalFormatting sqref="AC35">
    <cfRule type="expression" priority="61" dxfId="2" stopIfTrue="1">
      <formula>$F35="Expired"</formula>
    </cfRule>
  </conditionalFormatting>
  <conditionalFormatting sqref="AA83">
    <cfRule type="expression" priority="60" dxfId="2" stopIfTrue="1">
      <formula>$F83="Expired"</formula>
    </cfRule>
  </conditionalFormatting>
  <conditionalFormatting sqref="AA85">
    <cfRule type="expression" priority="59" dxfId="2" stopIfTrue="1">
      <formula>$F85="Expired"</formula>
    </cfRule>
  </conditionalFormatting>
  <conditionalFormatting sqref="AC85">
    <cfRule type="expression" priority="58" dxfId="2" stopIfTrue="1">
      <formula>$F85="Expired"</formula>
    </cfRule>
  </conditionalFormatting>
  <conditionalFormatting sqref="U92:X92">
    <cfRule type="expression" priority="57" dxfId="2" stopIfTrue="1">
      <formula>$F92="Expired"</formula>
    </cfRule>
  </conditionalFormatting>
  <conditionalFormatting sqref="AA92:AC92">
    <cfRule type="expression" priority="56" dxfId="2" stopIfTrue="1">
      <formula>$F92="Expired"</formula>
    </cfRule>
  </conditionalFormatting>
  <conditionalFormatting sqref="U93:X93">
    <cfRule type="expression" priority="55" dxfId="2" stopIfTrue="1">
      <formula>$F93="Expired"</formula>
    </cfRule>
  </conditionalFormatting>
  <conditionalFormatting sqref="Z92">
    <cfRule type="cellIs" priority="52" dxfId="20" operator="equal" stopIfTrue="1">
      <formula>"L"</formula>
    </cfRule>
    <cfRule type="cellIs" priority="53" dxfId="19" operator="equal" stopIfTrue="1">
      <formula>"M"</formula>
    </cfRule>
    <cfRule type="cellIs" priority="54" dxfId="0" operator="equal" stopIfTrue="1">
      <formula>"H"</formula>
    </cfRule>
  </conditionalFormatting>
  <conditionalFormatting sqref="Z93">
    <cfRule type="cellIs" priority="49" dxfId="20" operator="equal" stopIfTrue="1">
      <formula>"L"</formula>
    </cfRule>
    <cfRule type="cellIs" priority="50" dxfId="19" operator="equal" stopIfTrue="1">
      <formula>"M"</formula>
    </cfRule>
    <cfRule type="cellIs" priority="51" dxfId="0" operator="equal" stopIfTrue="1">
      <formula>"H"</formula>
    </cfRule>
  </conditionalFormatting>
  <conditionalFormatting sqref="AA93:AC93">
    <cfRule type="expression" priority="48" dxfId="2" stopIfTrue="1">
      <formula>$F93="Expired"</formula>
    </cfRule>
  </conditionalFormatting>
  <conditionalFormatting sqref="Z64">
    <cfRule type="cellIs" priority="45" dxfId="20" operator="equal" stopIfTrue="1">
      <formula>"L"</formula>
    </cfRule>
    <cfRule type="cellIs" priority="46" dxfId="19" operator="equal" stopIfTrue="1">
      <formula>"M"</formula>
    </cfRule>
    <cfRule type="cellIs" priority="47" dxfId="0" operator="equal" stopIfTrue="1">
      <formula>"H"</formula>
    </cfRule>
  </conditionalFormatting>
  <conditionalFormatting sqref="U20:X20">
    <cfRule type="expression" priority="38" dxfId="2" stopIfTrue="1">
      <formula>$F20="Expired"</formula>
    </cfRule>
  </conditionalFormatting>
  <conditionalFormatting sqref="AA20">
    <cfRule type="expression" priority="37" dxfId="2" stopIfTrue="1">
      <formula>$F20="Expired"</formula>
    </cfRule>
  </conditionalFormatting>
  <conditionalFormatting sqref="AB20">
    <cfRule type="expression" priority="36" dxfId="2" stopIfTrue="1">
      <formula>$F20="Expired"</formula>
    </cfRule>
  </conditionalFormatting>
  <conditionalFormatting sqref="AC20">
    <cfRule type="expression" priority="35" dxfId="2" stopIfTrue="1">
      <formula>$F20="Expired"</formula>
    </cfRule>
  </conditionalFormatting>
  <conditionalFormatting sqref="AA30:AC30 U30:X30">
    <cfRule type="expression" priority="31" dxfId="2" stopIfTrue="1">
      <formula>$F30="Expired"</formula>
    </cfRule>
  </conditionalFormatting>
  <conditionalFormatting sqref="U47:X47">
    <cfRule type="expression" priority="27" dxfId="2" stopIfTrue="1">
      <formula>$F47="Expired"</formula>
    </cfRule>
  </conditionalFormatting>
  <conditionalFormatting sqref="Z47">
    <cfRule type="cellIs" priority="28" dxfId="20" operator="equal" stopIfTrue="1">
      <formula>"L"</formula>
    </cfRule>
    <cfRule type="cellIs" priority="29" dxfId="19" operator="equal" stopIfTrue="1">
      <formula>"M"</formula>
    </cfRule>
    <cfRule type="cellIs" priority="30" dxfId="0" operator="equal" stopIfTrue="1">
      <formula>"H"</formula>
    </cfRule>
  </conditionalFormatting>
  <conditionalFormatting sqref="AA47:AB47">
    <cfRule type="expression" priority="26" dxfId="2" stopIfTrue="1">
      <formula>$F47="Expired"</formula>
    </cfRule>
  </conditionalFormatting>
  <conditionalFormatting sqref="AC47">
    <cfRule type="expression" priority="25" dxfId="2" stopIfTrue="1">
      <formula>$F47="Expired"</formula>
    </cfRule>
  </conditionalFormatting>
  <conditionalFormatting sqref="U94:X94">
    <cfRule type="expression" priority="24" dxfId="2" stopIfTrue="1">
      <formula>$F94="Expired"</formula>
    </cfRule>
  </conditionalFormatting>
  <conditionalFormatting sqref="Z94">
    <cfRule type="cellIs" priority="21" dxfId="20" operator="equal" stopIfTrue="1">
      <formula>"L"</formula>
    </cfRule>
    <cfRule type="cellIs" priority="22" dxfId="19" operator="equal" stopIfTrue="1">
      <formula>"M"</formula>
    </cfRule>
    <cfRule type="cellIs" priority="23" dxfId="0" operator="equal" stopIfTrue="1">
      <formula>"H"</formula>
    </cfRule>
  </conditionalFormatting>
  <conditionalFormatting sqref="AA94:AC94">
    <cfRule type="expression" priority="20" dxfId="2" stopIfTrue="1">
      <formula>$F94="Expired"</formula>
    </cfRule>
  </conditionalFormatting>
  <conditionalFormatting sqref="U25:X25 AA25:AC25">
    <cfRule type="expression" priority="16" dxfId="2" stopIfTrue="1">
      <formula>$F25="Expired"</formula>
    </cfRule>
  </conditionalFormatting>
  <conditionalFormatting sqref="AD63:AD64 AH63:AH64 AU63:AW64">
    <cfRule type="expression" priority="15" dxfId="2" stopIfTrue="1">
      <formula>$F63="Expired"</formula>
    </cfRule>
  </conditionalFormatting>
  <conditionalFormatting sqref="P96:U102">
    <cfRule type="expression" priority="14" dxfId="2" stopIfTrue="1">
      <formula>$F96="Expired"</formula>
    </cfRule>
  </conditionalFormatting>
  <conditionalFormatting sqref="AU19:AW19">
    <cfRule type="expression" priority="13" dxfId="2" stopIfTrue="1">
      <formula>$F19="Expired"</formula>
    </cfRule>
  </conditionalFormatting>
  <conditionalFormatting sqref="AU20:AW20">
    <cfRule type="expression" priority="12" dxfId="2" stopIfTrue="1">
      <formula>$F20="Expired"</formula>
    </cfRule>
  </conditionalFormatting>
  <conditionalFormatting sqref="AU24:AW24">
    <cfRule type="expression" priority="11" dxfId="2" stopIfTrue="1">
      <formula>$F24="Expired"</formula>
    </cfRule>
  </conditionalFormatting>
  <conditionalFormatting sqref="AU26:AW32">
    <cfRule type="expression" priority="10" dxfId="2" stopIfTrue="1">
      <formula>$F26="Expired"</formula>
    </cfRule>
  </conditionalFormatting>
  <conditionalFormatting sqref="AU57:AW57">
    <cfRule type="expression" priority="9" dxfId="2" stopIfTrue="1">
      <formula>$F57="Expired"</formula>
    </cfRule>
  </conditionalFormatting>
  <conditionalFormatting sqref="AU66:AW66">
    <cfRule type="expression" priority="8" dxfId="2" stopIfTrue="1">
      <formula>$F66="Expired"</formula>
    </cfRule>
  </conditionalFormatting>
  <conditionalFormatting sqref="AU72:AW72">
    <cfRule type="expression" priority="7" dxfId="2" stopIfTrue="1">
      <formula>$F72="Expired"</formula>
    </cfRule>
  </conditionalFormatting>
  <conditionalFormatting sqref="AU73:AW73">
    <cfRule type="expression" priority="6" dxfId="2" stopIfTrue="1">
      <formula>$F73="Expired"</formula>
    </cfRule>
  </conditionalFormatting>
  <conditionalFormatting sqref="AU55:AW55">
    <cfRule type="expression" priority="5" dxfId="2" stopIfTrue="1">
      <formula>$F55="Expired"</formula>
    </cfRule>
  </conditionalFormatting>
  <conditionalFormatting sqref="AE35:AG35">
    <cfRule type="expression" priority="3" dxfId="2" stopIfTrue="1">
      <formula>$F35="Expired"</formula>
    </cfRule>
  </conditionalFormatting>
  <conditionalFormatting sqref="AE63:AG63">
    <cfRule type="expression" priority="2" dxfId="2" stopIfTrue="1">
      <formula>$F63="Expired"</formula>
    </cfRule>
  </conditionalFormatting>
  <conditionalFormatting sqref="AE92:AG92">
    <cfRule type="expression" priority="1" dxfId="2" stopIfTrue="1">
      <formula>$F92="Expired"</formula>
    </cfRule>
  </conditionalFormatting>
  <dataValidations count="10">
    <dataValidation type="whole" operator="greaterThanOrEqual" allowBlank="1" showInputMessage="1" showErrorMessage="1" errorTitle="Incorrect Cost" error="The cost you enter must be greater or equal to the least cost" sqref="AB170 AB96:AB102 AB165 AB160 AB172:AB173 AB162:AB163 AB175:AB176 AB38:AB44 AB34:AB36 AB75:AB78 AB57 AB83 AB63:AB67 AB69:AB73 AA26 AB85 AB46:AB55 AB87:AB94 AB27:AB32 AB59:AB61 AB18:AC19 AB21:AB25">
      <formula1>AA170</formula1>
    </dataValidation>
    <dataValidation type="whole" operator="greaterThanOrEqual" allowBlank="1" showInputMessage="1" showErrorMessage="1" errorTitle="Incorrect Cost" error="The cost you enter must be greater or equal to the most likely cost" sqref="AC34:AD36 AC96:AD102 AC75:AD78 AC57:AD57 AC69:AD73 AC21:AC32 AC85:AD85 AD166 AD177:AD178 AD91:AD95 AC63:AD67 AC160:AD160 AC59:AD61 AC162:AD163 AC87:AD90 AC165:AD165 AD80:AD81 AD168 AD83 AC170:AD170 AC172:AD173 AC175:AD176 AC38:AD44 AB26 AC92:AC94 AD18:AD32 AC46:AD55">
      <formula1>AB34</formula1>
    </dataValidation>
    <dataValidation type="whole" operator="greaterThanOrEqual" allowBlank="1" showInputMessage="1" showErrorMessage="1" errorTitle="Incorrect time" error="The time you enter must be greater or equal to the least time" sqref="AV75:AV78 AV63:AV67 AV85 AV80:AV81 AV160 AV162:AV163 AV69:AV73 AV165:AV166 AV168 AV83 AV170 AV172:AV173 AV175:AV178 AV87:AV102 AV18:AV61">
      <formula1>AU75</formula1>
    </dataValidation>
    <dataValidation type="whole" operator="greaterThanOrEqual" allowBlank="1" showInputMessage="1" showErrorMessage="1" errorTitle="Incorrect Time" error="The time you enter must be greater or equal to the most likely time" sqref="AW75:AW78 AW63:AW67 AW85 AW80:AW81 AW160 AW162:AW163 AW69:AW73 AW165:AW166 AW168 AW83 AW170 AW172:AW173 AW175:AW178 AW87:AW102 AW18:AW61">
      <formula1>AV75</formula1>
    </dataValidation>
    <dataValidation type="list" allowBlank="1" showInputMessage="1" showErrorMessage="1" sqref="AS75:AS78 AS63:AS67 AS85 AS80:AS81 AS160 AS162:AS163 AS69:AS73 AS165:AS166 AS168 AS83 AS170 AS172:AS173 AS175:AS178 AS87:AS102 AS18:AS61">
      <formula1>"Yes,No"</formula1>
    </dataValidation>
    <dataValidation type="list" allowBlank="1" showInputMessage="1" showErrorMessage="1" sqref="J168:L168 J75:L78 J38:L44 J57:L57 V168:X168 J65:L67 V87:X102 J83:L83 J170:L170 J69:L73 J80:L81 V170:X170 V172:X173 J85:L85 J34:L36 J172:L173 J18:L32 J175:L178 V160:X160 V175:X178 J160:L160 J46:L55 J162:L163 J59:L61 V162:X163 J87:L102 J165:L166 V165:X166 V38:X44 V57:X57 V63:X67 V75:X78 V69:X73 V80:X81 V85:X85 V34:X36 V59:X61 V83:X83 V46:X55 V18:X32 M27">
      <formula1>"VL,L,M,H,VH"</formula1>
    </dataValidation>
    <dataValidation type="list" allowBlank="1" showInputMessage="1" showErrorMessage="1" promptTitle="Risk Owner" prompt="Select from drop down menu" errorTitle="Input error" error="Only values selected from the drop down menu are accepted!" sqref="H38:H44 H75:H78 H57 H69:H73 H80:H81 H85 H34:H36 H46:H55 H160 H87:H95 H162:H163 H59:H61 H165:H166 H168 H83 H170 H172:H173 H175:H178 H18:H32 H63:H67">
      <formula1>$AJ$16:$AO$16</formula1>
    </dataValidation>
    <dataValidation type="list" allowBlank="1" showInputMessage="1" showErrorMessage="1" promptTitle="Risk Status" errorTitle="Input error" error="Only values selected from the drop down menu are accepted!" sqref="F38:F44 F75:F78 F57 F18:F32 F69:F73 F80:F81 F85 F34:F36 F87:F102 F160 F46:F55 F162:F163 F59:F61 F165:F166 F168 F83 F170 F172:F173 F175:F178 F63:F67">
      <formula1>"Live,Expired,Occured"</formula1>
    </dataValidation>
    <dataValidation allowBlank="1" showInputMessage="1" showErrorMessage="1" promptTitle="Risk Owner" prompt="Select from drop down menu" errorTitle="Input error" error="Only values selected from the drop down menu are accepted!" sqref="I96:I102"/>
    <dataValidation type="list" allowBlank="1" showInputMessage="1" showErrorMessage="1" promptTitle="Risk Owner" prompt="Select from drop down menu" errorTitle="Input error" error="Only values selected from the drop down menu are accepted!" sqref="H96:H102">
      <formula1>$AJ$16</formula1>
    </dataValidation>
  </dataValidations>
  <printOptions/>
  <pageMargins left="0.3937007874015748" right="0.3937007874015748" top="0.3937007874015748" bottom="0.3937007874015748" header="0.5118110236220472" footer="0.5118110236220472"/>
  <pageSetup fitToHeight="5" fitToWidth="1" horizontalDpi="300" verticalDpi="300" orientation="landscape" paperSize="9" scale="10"/>
  <headerFooter alignWithMargins="0">
    <oddHeader>&amp;C&amp;"Univers (W1),Bold"&amp;9Environment Agency Management System document: Uncontrolled when printed &amp;D</oddHeader>
    <oddFooter>&amp;C&amp;9Risk Register</oddFooter>
  </headerFooter>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B1:K54"/>
  <sheetViews>
    <sheetView showGridLines="0" zoomScalePageLayoutView="0" workbookViewId="0" topLeftCell="A12">
      <selection activeCell="J37" sqref="J37"/>
    </sheetView>
  </sheetViews>
  <sheetFormatPr defaultColWidth="9.140625" defaultRowHeight="12.75"/>
  <cols>
    <col min="1" max="1" width="0.2890625" style="0" customWidth="1"/>
    <col min="2" max="6" width="10.7109375" style="0" customWidth="1"/>
    <col min="7" max="7" width="9.7109375" style="0" customWidth="1"/>
    <col min="8" max="8" width="11.7109375" style="0" customWidth="1"/>
    <col min="9" max="9" width="8.7109375" style="0" customWidth="1"/>
    <col min="10" max="10" width="11.28125" style="0" customWidth="1"/>
    <col min="11" max="11" width="1.7109375" style="0" customWidth="1"/>
  </cols>
  <sheetData>
    <row r="1" s="759" customFormat="1" ht="18">
      <c r="B1" s="762" t="s">
        <v>761</v>
      </c>
    </row>
    <row r="2" s="760" customFormat="1" ht="10.5">
      <c r="B2" s="763" t="s">
        <v>702</v>
      </c>
    </row>
    <row r="3" s="761" customFormat="1" ht="12.75" customHeight="1">
      <c r="B3" s="764" t="s">
        <v>762</v>
      </c>
    </row>
    <row r="4" ht="12.75" customHeight="1" thickBot="1"/>
    <row r="5" spans="7:10" ht="12.75" customHeight="1" thickBot="1">
      <c r="G5" s="878" t="s">
        <v>703</v>
      </c>
      <c r="H5" s="879"/>
      <c r="I5" s="879"/>
      <c r="J5" s="880"/>
    </row>
    <row r="6" spans="7:11" ht="12.75" customHeight="1">
      <c r="G6" s="773" t="s">
        <v>704</v>
      </c>
      <c r="H6" s="771"/>
      <c r="I6" s="767" t="s">
        <v>763</v>
      </c>
      <c r="J6" s="769"/>
      <c r="K6" t="s">
        <v>706</v>
      </c>
    </row>
    <row r="7" spans="7:10" ht="12.75" customHeight="1">
      <c r="G7" s="773" t="s">
        <v>707</v>
      </c>
      <c r="H7" s="771"/>
      <c r="I7" s="767">
        <v>1</v>
      </c>
      <c r="J7" s="769"/>
    </row>
    <row r="8" spans="7:10" ht="12.75" customHeight="1">
      <c r="G8" s="773" t="s">
        <v>708</v>
      </c>
      <c r="H8" s="771"/>
      <c r="I8" s="884">
        <v>10000</v>
      </c>
      <c r="J8" s="885"/>
    </row>
    <row r="9" spans="7:10" ht="12.75" customHeight="1">
      <c r="G9" s="773" t="s">
        <v>709</v>
      </c>
      <c r="H9" s="771"/>
      <c r="I9" s="767">
        <v>86</v>
      </c>
      <c r="J9" s="769"/>
    </row>
    <row r="10" spans="7:10" ht="12.75" customHeight="1">
      <c r="G10" s="773" t="s">
        <v>710</v>
      </c>
      <c r="H10" s="771"/>
      <c r="I10" s="767">
        <v>6</v>
      </c>
      <c r="J10" s="769"/>
    </row>
    <row r="11" spans="7:10" ht="12.75" customHeight="1">
      <c r="G11" s="773" t="s">
        <v>711</v>
      </c>
      <c r="H11" s="771"/>
      <c r="I11" s="767" t="s">
        <v>712</v>
      </c>
      <c r="J11" s="769"/>
    </row>
    <row r="12" spans="7:10" ht="12.75" customHeight="1">
      <c r="G12" s="773" t="s">
        <v>713</v>
      </c>
      <c r="H12" s="771"/>
      <c r="I12" s="886">
        <v>42562.73100694444</v>
      </c>
      <c r="J12" s="885"/>
    </row>
    <row r="13" spans="7:10" ht="12.75" customHeight="1">
      <c r="G13" s="773" t="s">
        <v>714</v>
      </c>
      <c r="H13" s="771"/>
      <c r="I13" s="887">
        <v>0.000266203707724344</v>
      </c>
      <c r="J13" s="885"/>
    </row>
    <row r="14" spans="7:10" ht="12.75" customHeight="1">
      <c r="G14" s="773" t="s">
        <v>715</v>
      </c>
      <c r="H14" s="771"/>
      <c r="I14" s="884" t="s">
        <v>716</v>
      </c>
      <c r="J14" s="885"/>
    </row>
    <row r="15" spans="7:10" ht="12.75" customHeight="1" thickBot="1">
      <c r="G15" s="774" t="s">
        <v>717</v>
      </c>
      <c r="H15" s="772"/>
      <c r="I15" s="888">
        <v>1</v>
      </c>
      <c r="J15" s="889"/>
    </row>
    <row r="16" ht="12.75" customHeight="1" thickBot="1"/>
    <row r="17" spans="7:10" ht="12.75" customHeight="1" thickBot="1">
      <c r="G17" s="881" t="s">
        <v>764</v>
      </c>
      <c r="H17" s="882"/>
      <c r="I17" s="882"/>
      <c r="J17" s="883"/>
    </row>
    <row r="18" spans="7:10" ht="12.75" customHeight="1">
      <c r="G18" s="776" t="s">
        <v>719</v>
      </c>
      <c r="H18" s="777"/>
      <c r="I18" s="778" t="s">
        <v>720</v>
      </c>
      <c r="J18" s="775"/>
    </row>
    <row r="19" spans="7:10" ht="12.75" customHeight="1">
      <c r="G19" s="781" t="s">
        <v>721</v>
      </c>
      <c r="H19" s="779">
        <v>1444618.8688393938</v>
      </c>
      <c r="I19" s="785">
        <v>0.05</v>
      </c>
      <c r="J19" s="784">
        <v>7003882.610535109</v>
      </c>
    </row>
    <row r="20" spans="7:10" ht="12.75" customHeight="1">
      <c r="G20" s="782" t="s">
        <v>722</v>
      </c>
      <c r="H20" s="779">
        <v>20574739.569295846</v>
      </c>
      <c r="I20" s="786">
        <v>0.1</v>
      </c>
      <c r="J20" s="784">
        <v>8052578.326553511</v>
      </c>
    </row>
    <row r="21" spans="7:10" ht="12.75" customHeight="1">
      <c r="G21" s="782" t="s">
        <v>723</v>
      </c>
      <c r="H21" s="779">
        <v>11656932.687407916</v>
      </c>
      <c r="I21" s="786">
        <v>0.15</v>
      </c>
      <c r="J21" s="784">
        <v>8829765.395784283</v>
      </c>
    </row>
    <row r="22" spans="7:10" ht="12.75" customHeight="1">
      <c r="G22" s="782" t="s">
        <v>724</v>
      </c>
      <c r="H22" s="779">
        <v>2694983.014273232</v>
      </c>
      <c r="I22" s="786">
        <v>0.2</v>
      </c>
      <c r="J22" s="784">
        <v>9412285.443975266</v>
      </c>
    </row>
    <row r="23" spans="7:10" ht="12.75" customHeight="1">
      <c r="G23" s="782" t="s">
        <v>725</v>
      </c>
      <c r="H23" s="767">
        <v>7262933447221.234</v>
      </c>
      <c r="I23" s="786">
        <v>0.25</v>
      </c>
      <c r="J23" s="784">
        <v>9870169.31366435</v>
      </c>
    </row>
    <row r="24" spans="7:10" ht="12.75" customHeight="1">
      <c r="G24" s="782" t="s">
        <v>726</v>
      </c>
      <c r="H24" s="767">
        <v>-0.12819162034613793</v>
      </c>
      <c r="I24" s="786">
        <v>0.3</v>
      </c>
      <c r="J24" s="784">
        <v>10290049.530955225</v>
      </c>
    </row>
    <row r="25" spans="7:10" ht="12.75" customHeight="1">
      <c r="G25" s="782" t="s">
        <v>727</v>
      </c>
      <c r="H25" s="767">
        <v>2.835886685440658</v>
      </c>
      <c r="I25" s="786">
        <v>0.35</v>
      </c>
      <c r="J25" s="784">
        <v>10677476.383743487</v>
      </c>
    </row>
    <row r="26" spans="7:10" ht="12.75" customHeight="1">
      <c r="G26" s="782" t="s">
        <v>728</v>
      </c>
      <c r="H26" s="779">
        <v>11730159.496224716</v>
      </c>
      <c r="I26" s="786">
        <v>0.4</v>
      </c>
      <c r="J26" s="784">
        <v>11040769.205153206</v>
      </c>
    </row>
    <row r="27" spans="7:10" ht="12.75" customHeight="1" thickBot="1">
      <c r="G27" s="782" t="s">
        <v>729</v>
      </c>
      <c r="H27" s="779">
        <v>11896481.615118276</v>
      </c>
      <c r="I27" s="786">
        <v>0.45</v>
      </c>
      <c r="J27" s="784">
        <v>11374333.660046045</v>
      </c>
    </row>
    <row r="28" spans="7:10" ht="12.75" customHeight="1" thickBot="1">
      <c r="G28" s="782" t="s">
        <v>730</v>
      </c>
      <c r="H28" s="779">
        <v>7003882.610535109</v>
      </c>
      <c r="I28" s="796">
        <v>0.5</v>
      </c>
      <c r="J28" s="797">
        <v>11730159.496224716</v>
      </c>
    </row>
    <row r="29" spans="7:10" ht="12.75" customHeight="1">
      <c r="G29" s="782" t="s">
        <v>731</v>
      </c>
      <c r="H29" s="780">
        <v>0.05</v>
      </c>
      <c r="I29" s="786">
        <v>0.55</v>
      </c>
      <c r="J29" s="784">
        <v>12065778.837742848</v>
      </c>
    </row>
    <row r="30" spans="7:10" ht="12.75" customHeight="1">
      <c r="G30" s="782" t="s">
        <v>732</v>
      </c>
      <c r="H30" s="779">
        <v>15932475.721861865</v>
      </c>
      <c r="I30" s="786">
        <v>0.6</v>
      </c>
      <c r="J30" s="784">
        <v>12420438.721678622</v>
      </c>
    </row>
    <row r="31" spans="7:10" ht="12.75" customHeight="1">
      <c r="G31" s="782" t="s">
        <v>733</v>
      </c>
      <c r="H31" s="780">
        <v>0.95</v>
      </c>
      <c r="I31" s="786">
        <v>0.65</v>
      </c>
      <c r="J31" s="784">
        <v>12770095.978239337</v>
      </c>
    </row>
    <row r="32" spans="7:10" ht="12.75" customHeight="1">
      <c r="G32" s="782" t="s">
        <v>734</v>
      </c>
      <c r="H32" s="779">
        <v>8928593.111326756</v>
      </c>
      <c r="I32" s="786">
        <v>0.7</v>
      </c>
      <c r="J32" s="784">
        <v>13144779.293371113</v>
      </c>
    </row>
    <row r="33" spans="7:10" ht="12.75" customHeight="1">
      <c r="G33" s="782" t="s">
        <v>735</v>
      </c>
      <c r="H33" s="780">
        <v>0.8999999999999999</v>
      </c>
      <c r="I33" s="786">
        <v>0.75</v>
      </c>
      <c r="J33" s="784">
        <v>13519813.392499369</v>
      </c>
    </row>
    <row r="34" spans="7:10" ht="12.75" customHeight="1">
      <c r="G34" s="782" t="s">
        <v>736</v>
      </c>
      <c r="H34" s="767">
        <v>0</v>
      </c>
      <c r="I34" s="786">
        <v>0.8</v>
      </c>
      <c r="J34" s="784">
        <v>13962767.894468674</v>
      </c>
    </row>
    <row r="35" spans="7:10" ht="12.75" customHeight="1">
      <c r="G35" s="782" t="s">
        <v>737</v>
      </c>
      <c r="H35" s="767" t="s">
        <v>738</v>
      </c>
      <c r="I35" s="786">
        <v>0.85</v>
      </c>
      <c r="J35" s="784">
        <v>14454511.693014968</v>
      </c>
    </row>
    <row r="36" spans="7:10" ht="12.75" customHeight="1" thickBot="1">
      <c r="G36" s="782" t="s">
        <v>739</v>
      </c>
      <c r="H36" s="767" t="s">
        <v>738</v>
      </c>
      <c r="I36" s="786">
        <v>0.9</v>
      </c>
      <c r="J36" s="784">
        <v>15090636.10234009</v>
      </c>
    </row>
    <row r="37" spans="7:10" ht="12.75" customHeight="1" thickBot="1">
      <c r="G37" s="783" t="s">
        <v>740</v>
      </c>
      <c r="H37" s="768">
        <v>0</v>
      </c>
      <c r="I37" s="796">
        <v>0.95</v>
      </c>
      <c r="J37" s="797">
        <v>15932475.721861865</v>
      </c>
    </row>
    <row r="38" ht="12.75" customHeight="1" thickBot="1"/>
    <row r="39" spans="7:10" ht="12.75" customHeight="1" thickBot="1">
      <c r="G39" s="881" t="s">
        <v>765</v>
      </c>
      <c r="H39" s="882"/>
      <c r="I39" s="882"/>
      <c r="J39" s="883"/>
    </row>
    <row r="40" spans="7:10" ht="12.75" customHeight="1">
      <c r="G40" s="787" t="s">
        <v>742</v>
      </c>
      <c r="H40" s="790" t="s">
        <v>743</v>
      </c>
      <c r="I40" s="789" t="s">
        <v>744</v>
      </c>
      <c r="J40" s="788" t="s">
        <v>745</v>
      </c>
    </row>
    <row r="41" spans="7:10" ht="12.75" customHeight="1">
      <c r="G41" s="765">
        <v>1</v>
      </c>
      <c r="H41" s="791" t="s">
        <v>766</v>
      </c>
      <c r="I41" s="793">
        <v>0.23858764939133767</v>
      </c>
      <c r="J41" s="794">
        <v>0.23557268489172684</v>
      </c>
    </row>
    <row r="42" spans="7:10" ht="12.75" customHeight="1">
      <c r="G42" s="765">
        <v>2</v>
      </c>
      <c r="H42" s="791" t="s">
        <v>767</v>
      </c>
      <c r="I42" s="793">
        <v>0.09648506976747953</v>
      </c>
      <c r="J42" s="794">
        <v>0.09193070424730704</v>
      </c>
    </row>
    <row r="43" spans="7:10" ht="12.75" customHeight="1">
      <c r="G43" s="765">
        <v>3</v>
      </c>
      <c r="H43" s="791" t="s">
        <v>768</v>
      </c>
      <c r="I43" s="793">
        <v>0.0944193436095882</v>
      </c>
      <c r="J43" s="794">
        <v>0.09119012623190126</v>
      </c>
    </row>
    <row r="44" spans="7:10" ht="12.75" customHeight="1">
      <c r="G44" s="765">
        <v>4</v>
      </c>
      <c r="H44" s="791" t="s">
        <v>769</v>
      </c>
      <c r="I44" s="793">
        <v>0.06999049125987396</v>
      </c>
      <c r="J44" s="794">
        <v>0.06414272836142729</v>
      </c>
    </row>
    <row r="45" spans="7:10" ht="12.75" customHeight="1">
      <c r="G45" s="765">
        <v>5</v>
      </c>
      <c r="H45" s="791" t="s">
        <v>770</v>
      </c>
      <c r="I45" s="793">
        <v>0.04197500108681203</v>
      </c>
      <c r="J45" s="794">
        <v>0.04397598520375985</v>
      </c>
    </row>
    <row r="46" spans="7:10" ht="12.75" customHeight="1">
      <c r="G46" s="765">
        <v>6</v>
      </c>
      <c r="H46" s="791" t="s">
        <v>771</v>
      </c>
      <c r="I46" s="793">
        <v>0.04077135388013588</v>
      </c>
      <c r="J46" s="794">
        <v>0.035508509695085094</v>
      </c>
    </row>
    <row r="47" spans="7:10" ht="12.75" customHeight="1">
      <c r="G47" s="765">
        <v>7</v>
      </c>
      <c r="H47" s="791" t="s">
        <v>772</v>
      </c>
      <c r="I47" s="793">
        <v>0.036713641024585145</v>
      </c>
      <c r="J47" s="794">
        <v>0.03640683791206838</v>
      </c>
    </row>
    <row r="48" spans="7:10" ht="12.75" customHeight="1">
      <c r="G48" s="765">
        <v>8</v>
      </c>
      <c r="H48" s="791" t="s">
        <v>758</v>
      </c>
      <c r="I48" s="793">
        <v>0.03417811316021506</v>
      </c>
      <c r="J48" s="794">
        <v>0.025434048830340488</v>
      </c>
    </row>
    <row r="49" spans="7:10" ht="12.75" customHeight="1">
      <c r="G49" s="765">
        <v>9</v>
      </c>
      <c r="H49" s="791" t="s">
        <v>773</v>
      </c>
      <c r="I49" s="793">
        <v>0.027966193246294044</v>
      </c>
      <c r="J49" s="794">
        <v>0.027098294238982943</v>
      </c>
    </row>
    <row r="50" spans="7:10" ht="12.75" customHeight="1">
      <c r="G50" s="765">
        <v>10</v>
      </c>
      <c r="H50" s="791" t="s">
        <v>754</v>
      </c>
      <c r="I50" s="793">
        <v>0.02479455408245696</v>
      </c>
      <c r="J50" s="794">
        <v>0.02380165790201658</v>
      </c>
    </row>
    <row r="51" spans="7:10" ht="12.75" customHeight="1">
      <c r="G51" s="765">
        <v>11</v>
      </c>
      <c r="H51" s="791" t="s">
        <v>774</v>
      </c>
      <c r="I51" s="793">
        <v>0.023832334312185642</v>
      </c>
      <c r="J51" s="794">
        <v>0.033318263529182636</v>
      </c>
    </row>
    <row r="52" spans="7:10" ht="12.75" customHeight="1">
      <c r="G52" s="765">
        <v>12</v>
      </c>
      <c r="H52" s="791" t="s">
        <v>775</v>
      </c>
      <c r="I52" s="793">
        <v>0.023472204979016822</v>
      </c>
      <c r="J52" s="794">
        <v>0.016974614689746148</v>
      </c>
    </row>
    <row r="53" spans="7:10" ht="12.75" customHeight="1">
      <c r="G53" s="765">
        <v>13</v>
      </c>
      <c r="H53" s="791" t="s">
        <v>776</v>
      </c>
      <c r="I53" s="793">
        <v>-0.020424113336750392</v>
      </c>
      <c r="J53" s="794">
        <v>-0.013176608771766088</v>
      </c>
    </row>
    <row r="54" spans="7:10" ht="12.75" customHeight="1" thickBot="1">
      <c r="G54" s="766">
        <v>14</v>
      </c>
      <c r="H54" s="792" t="s">
        <v>777</v>
      </c>
      <c r="I54" s="795">
        <v>0.019824827839675856</v>
      </c>
      <c r="J54" s="798">
        <v>0.027461862466618626</v>
      </c>
    </row>
    <row r="55" ht="12.75" customHeight="1"/>
  </sheetData>
  <sheetProtection/>
  <mergeCells count="8">
    <mergeCell ref="G5:J5"/>
    <mergeCell ref="G39:J39"/>
    <mergeCell ref="I8:J8"/>
    <mergeCell ref="I12:J12"/>
    <mergeCell ref="I13:J13"/>
    <mergeCell ref="I14:J14"/>
    <mergeCell ref="I15:J15"/>
    <mergeCell ref="G17:J17"/>
  </mergeCells>
  <printOptions/>
  <pageMargins left="0.5" right="0.5" top="0.5" bottom="0.5" header="0.3" footer="0.3"/>
  <pageSetup fitToHeight="1" fitToWidth="1"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B1:K54"/>
  <sheetViews>
    <sheetView showGridLines="0" zoomScalePageLayoutView="0" workbookViewId="0" topLeftCell="A12">
      <selection activeCell="J37" sqref="J37"/>
    </sheetView>
  </sheetViews>
  <sheetFormatPr defaultColWidth="9.140625" defaultRowHeight="12.75"/>
  <cols>
    <col min="1" max="1" width="0.2890625" style="0" customWidth="1"/>
    <col min="2" max="6" width="10.7109375" style="0" customWidth="1"/>
    <col min="7" max="7" width="9.7109375" style="0" customWidth="1"/>
    <col min="8" max="8" width="11.7109375" style="0" customWidth="1"/>
    <col min="9" max="10" width="8.7109375" style="0" customWidth="1"/>
    <col min="11" max="11" width="1.7109375" style="0" customWidth="1"/>
  </cols>
  <sheetData>
    <row r="1" s="759" customFormat="1" ht="18">
      <c r="B1" s="762" t="s">
        <v>701</v>
      </c>
    </row>
    <row r="2" s="760" customFormat="1" ht="10.5">
      <c r="B2" s="763" t="s">
        <v>702</v>
      </c>
    </row>
    <row r="3" s="761" customFormat="1" ht="12.75" customHeight="1">
      <c r="B3" s="764" t="s">
        <v>760</v>
      </c>
    </row>
    <row r="4" ht="12.75" customHeight="1" thickBot="1"/>
    <row r="5" spans="7:10" ht="12.75" customHeight="1" thickBot="1">
      <c r="G5" s="878" t="s">
        <v>703</v>
      </c>
      <c r="H5" s="879"/>
      <c r="I5" s="879"/>
      <c r="J5" s="880"/>
    </row>
    <row r="6" spans="7:11" ht="12.75" customHeight="1">
      <c r="G6" s="773" t="s">
        <v>704</v>
      </c>
      <c r="H6" s="771"/>
      <c r="I6" s="767" t="s">
        <v>705</v>
      </c>
      <c r="J6" s="769"/>
      <c r="K6" t="s">
        <v>706</v>
      </c>
    </row>
    <row r="7" spans="7:10" ht="12.75" customHeight="1">
      <c r="G7" s="773" t="s">
        <v>707</v>
      </c>
      <c r="H7" s="771"/>
      <c r="I7" s="767">
        <v>1</v>
      </c>
      <c r="J7" s="769"/>
    </row>
    <row r="8" spans="7:10" ht="12.75" customHeight="1">
      <c r="G8" s="773" t="s">
        <v>708</v>
      </c>
      <c r="H8" s="771"/>
      <c r="I8" s="884">
        <v>10000</v>
      </c>
      <c r="J8" s="885"/>
    </row>
    <row r="9" spans="7:10" ht="12.75" customHeight="1">
      <c r="G9" s="773" t="s">
        <v>709</v>
      </c>
      <c r="H9" s="771"/>
      <c r="I9" s="767">
        <v>86</v>
      </c>
      <c r="J9" s="769"/>
    </row>
    <row r="10" spans="7:10" ht="12.75" customHeight="1">
      <c r="G10" s="773" t="s">
        <v>710</v>
      </c>
      <c r="H10" s="771"/>
      <c r="I10" s="767">
        <v>5</v>
      </c>
      <c r="J10" s="769"/>
    </row>
    <row r="11" spans="7:10" ht="12.75" customHeight="1">
      <c r="G11" s="773" t="s">
        <v>711</v>
      </c>
      <c r="H11" s="771"/>
      <c r="I11" s="767" t="s">
        <v>712</v>
      </c>
      <c r="J11" s="769"/>
    </row>
    <row r="12" spans="7:10" ht="12.75" customHeight="1">
      <c r="G12" s="773" t="s">
        <v>713</v>
      </c>
      <c r="H12" s="771"/>
      <c r="I12" s="886">
        <v>42562.6844212963</v>
      </c>
      <c r="J12" s="885"/>
    </row>
    <row r="13" spans="7:10" ht="12.75" customHeight="1">
      <c r="G13" s="773" t="s">
        <v>714</v>
      </c>
      <c r="H13" s="771"/>
      <c r="I13" s="887">
        <v>0.00039351851592073217</v>
      </c>
      <c r="J13" s="885"/>
    </row>
    <row r="14" spans="7:10" ht="12.75" customHeight="1">
      <c r="G14" s="773" t="s">
        <v>715</v>
      </c>
      <c r="H14" s="771"/>
      <c r="I14" s="884" t="s">
        <v>716</v>
      </c>
      <c r="J14" s="885"/>
    </row>
    <row r="15" spans="7:10" ht="12.75" customHeight="1" thickBot="1">
      <c r="G15" s="774" t="s">
        <v>717</v>
      </c>
      <c r="H15" s="772"/>
      <c r="I15" s="888">
        <v>1</v>
      </c>
      <c r="J15" s="889"/>
    </row>
    <row r="16" ht="12.75" customHeight="1" thickBot="1"/>
    <row r="17" spans="7:10" ht="12.75" customHeight="1" thickBot="1">
      <c r="G17" s="881" t="s">
        <v>718</v>
      </c>
      <c r="H17" s="882"/>
      <c r="I17" s="882"/>
      <c r="J17" s="883"/>
    </row>
    <row r="18" spans="7:10" ht="12.75" customHeight="1">
      <c r="G18" s="776" t="s">
        <v>719</v>
      </c>
      <c r="H18" s="777"/>
      <c r="I18" s="778" t="s">
        <v>720</v>
      </c>
      <c r="J18" s="775"/>
    </row>
    <row r="19" spans="7:10" ht="12.75" customHeight="1">
      <c r="G19" s="781" t="s">
        <v>721</v>
      </c>
      <c r="H19" s="779">
        <v>0</v>
      </c>
      <c r="I19" s="785">
        <v>0.05</v>
      </c>
      <c r="J19" s="784">
        <v>0</v>
      </c>
    </row>
    <row r="20" spans="7:10" ht="12.75" customHeight="1">
      <c r="G20" s="782" t="s">
        <v>722</v>
      </c>
      <c r="H20" s="779">
        <v>311092.2517741459</v>
      </c>
      <c r="I20" s="786">
        <v>0.1</v>
      </c>
      <c r="J20" s="784">
        <v>0</v>
      </c>
    </row>
    <row r="21" spans="7:10" ht="12.75" customHeight="1">
      <c r="G21" s="782" t="s">
        <v>723</v>
      </c>
      <c r="H21" s="779">
        <v>71533.36451626141</v>
      </c>
      <c r="I21" s="786">
        <v>0.15</v>
      </c>
      <c r="J21" s="784">
        <v>0</v>
      </c>
    </row>
    <row r="22" spans="7:10" ht="12.75" customHeight="1">
      <c r="G22" s="782" t="s">
        <v>724</v>
      </c>
      <c r="H22" s="779">
        <v>52883.17032367467</v>
      </c>
      <c r="I22" s="786">
        <v>0.2</v>
      </c>
      <c r="J22" s="784">
        <v>15132.198662276682</v>
      </c>
    </row>
    <row r="23" spans="7:10" ht="12.75" customHeight="1">
      <c r="G23" s="782" t="s">
        <v>725</v>
      </c>
      <c r="H23" s="767">
        <v>2796629703.482785</v>
      </c>
      <c r="I23" s="786">
        <v>0.25</v>
      </c>
      <c r="J23" s="784">
        <v>37630.97827985256</v>
      </c>
    </row>
    <row r="24" spans="7:10" ht="12.75" customHeight="1">
      <c r="G24" s="782" t="s">
        <v>726</v>
      </c>
      <c r="H24" s="767">
        <v>0.4966516883959661</v>
      </c>
      <c r="I24" s="786">
        <v>0.3</v>
      </c>
      <c r="J24" s="784">
        <v>44732.486553367664</v>
      </c>
    </row>
    <row r="25" spans="7:10" ht="12.75" customHeight="1">
      <c r="G25" s="782" t="s">
        <v>727</v>
      </c>
      <c r="H25" s="767">
        <v>2.8571525798437003</v>
      </c>
      <c r="I25" s="786">
        <v>0.35</v>
      </c>
      <c r="J25" s="784">
        <v>50279.32070062279</v>
      </c>
    </row>
    <row r="26" spans="7:10" ht="12.75" customHeight="1">
      <c r="G26" s="782" t="s">
        <v>728</v>
      </c>
      <c r="H26" s="779">
        <v>64547.15920166476</v>
      </c>
      <c r="I26" s="786">
        <v>0.4</v>
      </c>
      <c r="J26" s="784">
        <v>54996.01164439346</v>
      </c>
    </row>
    <row r="27" spans="7:10" ht="12.75" customHeight="1" thickBot="1">
      <c r="G27" s="782" t="s">
        <v>729</v>
      </c>
      <c r="H27" s="779">
        <v>0</v>
      </c>
      <c r="I27" s="786">
        <v>0.45</v>
      </c>
      <c r="J27" s="784">
        <v>59681.61367303142</v>
      </c>
    </row>
    <row r="28" spans="7:10" ht="12.75" customHeight="1" thickBot="1">
      <c r="G28" s="782" t="s">
        <v>730</v>
      </c>
      <c r="H28" s="779">
        <v>0</v>
      </c>
      <c r="I28" s="796">
        <v>0.5</v>
      </c>
      <c r="J28" s="797">
        <v>64547.15920166476</v>
      </c>
    </row>
    <row r="29" spans="7:10" ht="12.75" customHeight="1">
      <c r="G29" s="782" t="s">
        <v>731</v>
      </c>
      <c r="H29" s="780">
        <v>0.05</v>
      </c>
      <c r="I29" s="786">
        <v>0.55</v>
      </c>
      <c r="J29" s="784">
        <v>70598.8929383167</v>
      </c>
    </row>
    <row r="30" spans="7:10" ht="12.75" customHeight="1">
      <c r="G30" s="782" t="s">
        <v>732</v>
      </c>
      <c r="H30" s="779">
        <v>163079.78055091237</v>
      </c>
      <c r="I30" s="786">
        <v>0.6</v>
      </c>
      <c r="J30" s="784">
        <v>78139.66081841312</v>
      </c>
    </row>
    <row r="31" spans="7:10" ht="12.75" customHeight="1">
      <c r="G31" s="782" t="s">
        <v>733</v>
      </c>
      <c r="H31" s="780">
        <v>0.95</v>
      </c>
      <c r="I31" s="786">
        <v>0.65</v>
      </c>
      <c r="J31" s="784">
        <v>86848.84124389006</v>
      </c>
    </row>
    <row r="32" spans="7:10" ht="12.75" customHeight="1">
      <c r="G32" s="782" t="s">
        <v>734</v>
      </c>
      <c r="H32" s="779">
        <v>163079.78055091237</v>
      </c>
      <c r="I32" s="786">
        <v>0.7</v>
      </c>
      <c r="J32" s="784">
        <v>98270.34907088146</v>
      </c>
    </row>
    <row r="33" spans="7:10" ht="12.75" customHeight="1">
      <c r="G33" s="782" t="s">
        <v>735</v>
      </c>
      <c r="H33" s="780">
        <v>0.8999999999999999</v>
      </c>
      <c r="I33" s="786">
        <v>0.75</v>
      </c>
      <c r="J33" s="784">
        <v>109689.38640182021</v>
      </c>
    </row>
    <row r="34" spans="7:10" ht="12.75" customHeight="1">
      <c r="G34" s="782" t="s">
        <v>736</v>
      </c>
      <c r="H34" s="767">
        <v>0</v>
      </c>
      <c r="I34" s="786">
        <v>0.8</v>
      </c>
      <c r="J34" s="784">
        <v>119887.30831676608</v>
      </c>
    </row>
    <row r="35" spans="7:10" ht="12.75" customHeight="1">
      <c r="G35" s="782" t="s">
        <v>737</v>
      </c>
      <c r="H35" s="767" t="s">
        <v>738</v>
      </c>
      <c r="I35" s="786">
        <v>0.85</v>
      </c>
      <c r="J35" s="784">
        <v>130044.92440004289</v>
      </c>
    </row>
    <row r="36" spans="7:10" ht="12.75" customHeight="1" thickBot="1">
      <c r="G36" s="782" t="s">
        <v>739</v>
      </c>
      <c r="H36" s="767" t="s">
        <v>738</v>
      </c>
      <c r="I36" s="786">
        <v>0.9</v>
      </c>
      <c r="J36" s="784">
        <v>141608.35922604622</v>
      </c>
    </row>
    <row r="37" spans="7:10" ht="12.75" customHeight="1" thickBot="1">
      <c r="G37" s="783" t="s">
        <v>740</v>
      </c>
      <c r="H37" s="768">
        <v>0</v>
      </c>
      <c r="I37" s="796">
        <v>0.95</v>
      </c>
      <c r="J37" s="797">
        <v>163079.78055091237</v>
      </c>
    </row>
    <row r="38" ht="12.75" customHeight="1" thickBot="1"/>
    <row r="39" spans="7:10" ht="12.75" customHeight="1" thickBot="1">
      <c r="G39" s="881" t="s">
        <v>741</v>
      </c>
      <c r="H39" s="882"/>
      <c r="I39" s="882"/>
      <c r="J39" s="883"/>
    </row>
    <row r="40" spans="7:10" ht="12.75" customHeight="1">
      <c r="G40" s="787" t="s">
        <v>742</v>
      </c>
      <c r="H40" s="790" t="s">
        <v>743</v>
      </c>
      <c r="I40" s="789" t="s">
        <v>744</v>
      </c>
      <c r="J40" s="788" t="s">
        <v>745</v>
      </c>
    </row>
    <row r="41" spans="7:10" ht="12.75" customHeight="1">
      <c r="G41" s="765">
        <v>1</v>
      </c>
      <c r="H41" s="791" t="s">
        <v>746</v>
      </c>
      <c r="I41" s="793">
        <v>0.10699787136893059</v>
      </c>
      <c r="J41" s="794">
        <v>0.09972054184888653</v>
      </c>
    </row>
    <row r="42" spans="7:10" ht="12.75" customHeight="1">
      <c r="G42" s="765">
        <v>2</v>
      </c>
      <c r="H42" s="791" t="s">
        <v>747</v>
      </c>
      <c r="I42" s="793">
        <v>0.08878713291353696</v>
      </c>
      <c r="J42" s="794">
        <v>0.09778966877422558</v>
      </c>
    </row>
    <row r="43" spans="7:10" ht="12.75" customHeight="1">
      <c r="G43" s="765">
        <v>3</v>
      </c>
      <c r="H43" s="791" t="s">
        <v>748</v>
      </c>
      <c r="I43" s="793">
        <v>0.03808143055104523</v>
      </c>
      <c r="J43" s="794">
        <v>0.02848699739155185</v>
      </c>
    </row>
    <row r="44" spans="7:10" ht="12.75" customHeight="1">
      <c r="G44" s="765">
        <v>4</v>
      </c>
      <c r="H44" s="791" t="s">
        <v>749</v>
      </c>
      <c r="I44" s="793">
        <v>-0.02369883242506867</v>
      </c>
      <c r="J44" s="794">
        <v>-0.022402797482501065</v>
      </c>
    </row>
    <row r="45" spans="7:10" ht="12.75" customHeight="1">
      <c r="G45" s="765">
        <v>5</v>
      </c>
      <c r="H45" s="791" t="s">
        <v>750</v>
      </c>
      <c r="I45" s="793">
        <v>-0.019375671849940962</v>
      </c>
      <c r="J45" s="794">
        <v>-0.01978745403892102</v>
      </c>
    </row>
    <row r="46" spans="7:10" ht="12.75" customHeight="1">
      <c r="G46" s="765">
        <v>6</v>
      </c>
      <c r="H46" s="791" t="s">
        <v>751</v>
      </c>
      <c r="I46" s="793">
        <v>-0.018813739767139247</v>
      </c>
      <c r="J46" s="794">
        <v>-0.017048632897266977</v>
      </c>
    </row>
    <row r="47" spans="7:10" ht="12.75" customHeight="1">
      <c r="G47" s="765">
        <v>7</v>
      </c>
      <c r="H47" s="791" t="s">
        <v>752</v>
      </c>
      <c r="I47" s="793">
        <v>0</v>
      </c>
      <c r="J47" s="769">
        <v>-0.017342418699820544</v>
      </c>
    </row>
    <row r="48" spans="7:10" ht="12.75" customHeight="1">
      <c r="G48" s="765">
        <v>8</v>
      </c>
      <c r="H48" s="791" t="s">
        <v>753</v>
      </c>
      <c r="I48" s="793">
        <v>0</v>
      </c>
      <c r="J48" s="769">
        <v>-0.01706151389297901</v>
      </c>
    </row>
    <row r="49" spans="7:10" ht="12.75" customHeight="1">
      <c r="G49" s="765">
        <v>9</v>
      </c>
      <c r="H49" s="791" t="s">
        <v>754</v>
      </c>
      <c r="I49" s="793">
        <v>0</v>
      </c>
      <c r="J49" s="769">
        <v>-0.017048632897266977</v>
      </c>
    </row>
    <row r="50" spans="7:10" ht="12.75" customHeight="1">
      <c r="G50" s="765">
        <v>10</v>
      </c>
      <c r="H50" s="791" t="s">
        <v>755</v>
      </c>
      <c r="I50" s="793">
        <v>0</v>
      </c>
      <c r="J50" s="769">
        <v>0.015436800020777372</v>
      </c>
    </row>
    <row r="51" spans="7:10" ht="12.75" customHeight="1">
      <c r="G51" s="765">
        <v>11</v>
      </c>
      <c r="H51" s="791" t="s">
        <v>756</v>
      </c>
      <c r="I51" s="793">
        <v>0</v>
      </c>
      <c r="J51" s="769">
        <v>-0.015129695845328759</v>
      </c>
    </row>
    <row r="52" spans="7:10" ht="12.75" customHeight="1">
      <c r="G52" s="765">
        <v>12</v>
      </c>
      <c r="H52" s="791" t="s">
        <v>757</v>
      </c>
      <c r="I52" s="793">
        <v>0</v>
      </c>
      <c r="J52" s="769">
        <v>-0.01465981615238463</v>
      </c>
    </row>
    <row r="53" spans="7:10" ht="12.75" customHeight="1">
      <c r="G53" s="765">
        <v>13</v>
      </c>
      <c r="H53" s="791" t="s">
        <v>758</v>
      </c>
      <c r="I53" s="793">
        <v>0</v>
      </c>
      <c r="J53" s="769">
        <v>0.014634641169396669</v>
      </c>
    </row>
    <row r="54" spans="7:10" ht="12.75" customHeight="1" thickBot="1">
      <c r="G54" s="766">
        <v>14</v>
      </c>
      <c r="H54" s="792" t="s">
        <v>759</v>
      </c>
      <c r="I54" s="795">
        <v>0</v>
      </c>
      <c r="J54" s="770">
        <v>0.014532078163477496</v>
      </c>
    </row>
    <row r="55" ht="12.75" customHeight="1"/>
  </sheetData>
  <sheetProtection/>
  <mergeCells count="8">
    <mergeCell ref="G5:J5"/>
    <mergeCell ref="G39:J39"/>
    <mergeCell ref="I8:J8"/>
    <mergeCell ref="I12:J12"/>
    <mergeCell ref="I13:J13"/>
    <mergeCell ref="I14:J14"/>
    <mergeCell ref="I15:J15"/>
    <mergeCell ref="G17:J17"/>
  </mergeCells>
  <printOptions/>
  <pageMargins left="0.5" right="0.5" top="0.5" bottom="0.5" header="0.3" footer="0.3"/>
  <pageSetup fitToHeight="1" fitToWidth="1"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sheetPr codeName="Sheet6">
    <tabColor indexed="44"/>
    <pageSetUpPr fitToPage="1"/>
  </sheetPr>
  <dimension ref="B1:AP69"/>
  <sheetViews>
    <sheetView zoomScale="90" zoomScaleNormal="90" zoomScalePageLayoutView="0" workbookViewId="0" topLeftCell="C1">
      <selection activeCell="A9" sqref="A9"/>
    </sheetView>
  </sheetViews>
  <sheetFormatPr defaultColWidth="10.28125" defaultRowHeight="12.75"/>
  <cols>
    <col min="1" max="1" width="3.7109375" style="232" customWidth="1"/>
    <col min="2" max="2" width="14.8515625" style="232" customWidth="1"/>
    <col min="3" max="3" width="20.57421875" style="232" customWidth="1"/>
    <col min="4" max="4" width="3.421875" style="232" customWidth="1"/>
    <col min="5" max="5" width="32.57421875" style="232" customWidth="1"/>
    <col min="6" max="6" width="6.7109375" style="232" customWidth="1"/>
    <col min="7" max="7" width="15.57421875" style="232" customWidth="1"/>
    <col min="8" max="8" width="19.7109375" style="232" customWidth="1"/>
    <col min="9" max="9" width="6.8515625" style="232" customWidth="1"/>
    <col min="10" max="10" width="7.7109375" style="232" customWidth="1"/>
    <col min="11" max="11" width="20.421875" style="232" customWidth="1"/>
    <col min="12" max="13" width="13.7109375" style="232" bestFit="1" customWidth="1"/>
    <col min="14" max="14" width="12.00390625" style="232" customWidth="1"/>
    <col min="15" max="15" width="9.57421875" style="232" customWidth="1"/>
    <col min="16" max="16" width="8.7109375" style="232" customWidth="1"/>
    <col min="17" max="17" width="7.7109375" style="232" customWidth="1"/>
    <col min="18" max="18" width="9.57421875" style="232" customWidth="1"/>
    <col min="19" max="19" width="9.421875" style="232" customWidth="1"/>
    <col min="20" max="21" width="13.7109375" style="232" bestFit="1" customWidth="1"/>
    <col min="22" max="22" width="11.57421875" style="232" customWidth="1"/>
    <col min="23" max="23" width="10.57421875" style="232" customWidth="1"/>
    <col min="24" max="24" width="13.7109375" style="232" bestFit="1" customWidth="1"/>
    <col min="25" max="25" width="8.140625" style="232" customWidth="1"/>
    <col min="26" max="28" width="7.7109375" style="232" customWidth="1"/>
    <col min="29" max="29" width="8.421875" style="232" customWidth="1"/>
    <col min="30" max="30" width="12.421875" style="232" customWidth="1"/>
    <col min="31" max="31" width="12.00390625" style="232" customWidth="1"/>
    <col min="32" max="32" width="18.421875" style="232" customWidth="1"/>
    <col min="33" max="33" width="18.28125" style="232" customWidth="1"/>
    <col min="34" max="34" width="15.8515625" style="232" customWidth="1"/>
    <col min="35" max="35" width="14.00390625" style="232" customWidth="1"/>
    <col min="36" max="36" width="16.00390625" style="232" customWidth="1"/>
    <col min="37" max="37" width="17.8515625" style="232" customWidth="1"/>
    <col min="38" max="38" width="17.00390625" style="232" customWidth="1"/>
    <col min="39" max="39" width="16.57421875" style="232" customWidth="1"/>
    <col min="40" max="40" width="11.57421875" style="232" bestFit="1" customWidth="1"/>
    <col min="41" max="41" width="10.28125" style="232" customWidth="1"/>
    <col min="42" max="42" width="16.28125" style="232" customWidth="1"/>
    <col min="43" max="16384" width="10.28125" style="232" customWidth="1"/>
  </cols>
  <sheetData>
    <row r="1" spans="17:21" ht="15" customHeight="1">
      <c r="Q1" s="233"/>
      <c r="R1" s="233"/>
      <c r="S1" s="233"/>
      <c r="T1" s="234"/>
      <c r="U1" s="235"/>
    </row>
    <row r="2" spans="5:28" ht="18">
      <c r="E2" s="233"/>
      <c r="Q2" s="241"/>
      <c r="R2" s="241"/>
      <c r="S2" s="241"/>
      <c r="T2" s="242"/>
      <c r="U2" s="242"/>
      <c r="V2" s="242"/>
      <c r="W2" s="242"/>
      <c r="X2" s="933"/>
      <c r="Y2" s="933"/>
      <c r="Z2" s="933"/>
      <c r="AA2" s="933"/>
      <c r="AB2" s="243"/>
    </row>
    <row r="3" spans="2:28" ht="28.5" customHeight="1">
      <c r="B3" s="905" t="s">
        <v>281</v>
      </c>
      <c r="C3" s="906"/>
      <c r="E3" s="253" t="s">
        <v>283</v>
      </c>
      <c r="F3" s="301"/>
      <c r="G3" s="301"/>
      <c r="H3" s="275"/>
      <c r="I3" s="275"/>
      <c r="J3" s="275"/>
      <c r="K3" s="275"/>
      <c r="L3" s="275"/>
      <c r="M3" s="275"/>
      <c r="N3" s="275"/>
      <c r="O3" s="276"/>
      <c r="Q3" s="247"/>
      <c r="R3" s="242"/>
      <c r="S3" s="242"/>
      <c r="T3" s="242"/>
      <c r="U3" s="242"/>
      <c r="V3" s="242"/>
      <c r="W3" s="242"/>
      <c r="X3" s="932"/>
      <c r="Y3" s="932"/>
      <c r="Z3" s="932"/>
      <c r="AA3" s="932"/>
      <c r="AB3" s="242"/>
    </row>
    <row r="4" spans="5:28" ht="16.5">
      <c r="E4" s="248"/>
      <c r="F4" s="248"/>
      <c r="G4" s="248"/>
      <c r="H4" s="248"/>
      <c r="I4" s="248"/>
      <c r="J4" s="248"/>
      <c r="K4" s="248"/>
      <c r="L4" s="248"/>
      <c r="M4" s="248"/>
      <c r="N4" s="248"/>
      <c r="O4" s="248"/>
      <c r="Q4" s="249"/>
      <c r="R4" s="242"/>
      <c r="S4" s="242"/>
      <c r="T4" s="242"/>
      <c r="U4" s="242"/>
      <c r="V4" s="242"/>
      <c r="W4" s="242"/>
      <c r="X4" s="913"/>
      <c r="Y4" s="913"/>
      <c r="Z4" s="913"/>
      <c r="AA4" s="913"/>
      <c r="AB4" s="242"/>
    </row>
    <row r="5" spans="6:27" ht="23.25" customHeight="1" thickBot="1">
      <c r="F5" s="937" t="s">
        <v>144</v>
      </c>
      <c r="G5" s="938"/>
      <c r="H5" s="920" t="s">
        <v>145</v>
      </c>
      <c r="I5" s="921"/>
      <c r="J5" s="920" t="s">
        <v>146</v>
      </c>
      <c r="K5" s="921"/>
      <c r="L5" s="920" t="s">
        <v>147</v>
      </c>
      <c r="M5" s="921"/>
      <c r="N5" s="942" t="s">
        <v>148</v>
      </c>
      <c r="O5" s="923"/>
      <c r="Q5" s="929"/>
      <c r="R5" s="930"/>
      <c r="S5" s="930"/>
      <c r="T5" s="930"/>
      <c r="U5" s="930"/>
      <c r="V5" s="242"/>
      <c r="W5" s="242"/>
      <c r="X5" s="242"/>
      <c r="Y5" s="242"/>
      <c r="Z5" s="242"/>
      <c r="AA5" s="242"/>
    </row>
    <row r="6" spans="5:27" ht="22.5" customHeight="1" thickTop="1">
      <c r="E6" s="934" t="s">
        <v>284</v>
      </c>
      <c r="F6" s="922" t="s">
        <v>288</v>
      </c>
      <c r="G6" s="939"/>
      <c r="H6" s="922" t="s">
        <v>289</v>
      </c>
      <c r="I6" s="923"/>
      <c r="J6" s="922" t="s">
        <v>290</v>
      </c>
      <c r="K6" s="923"/>
      <c r="L6" s="922" t="s">
        <v>291</v>
      </c>
      <c r="M6" s="951"/>
      <c r="N6" s="943" t="s">
        <v>292</v>
      </c>
      <c r="O6" s="944"/>
      <c r="Q6" s="930"/>
      <c r="R6" s="930"/>
      <c r="S6" s="930"/>
      <c r="T6" s="930"/>
      <c r="U6" s="930"/>
      <c r="V6" s="242"/>
      <c r="W6" s="242"/>
      <c r="X6" s="242"/>
      <c r="Y6" s="242"/>
      <c r="Z6" s="242"/>
      <c r="AA6" s="242"/>
    </row>
    <row r="7" spans="5:27" ht="16.5" customHeight="1">
      <c r="E7" s="935"/>
      <c r="F7" s="924"/>
      <c r="G7" s="940"/>
      <c r="H7" s="924"/>
      <c r="I7" s="925"/>
      <c r="J7" s="924"/>
      <c r="K7" s="925"/>
      <c r="L7" s="924"/>
      <c r="M7" s="952"/>
      <c r="N7" s="945"/>
      <c r="O7" s="946"/>
      <c r="Q7" s="931"/>
      <c r="R7" s="897"/>
      <c r="S7" s="897"/>
      <c r="T7" s="901"/>
      <c r="U7" s="897"/>
      <c r="V7" s="242"/>
      <c r="W7" s="242"/>
      <c r="X7" s="896"/>
      <c r="Y7" s="897"/>
      <c r="Z7" s="896"/>
      <c r="AA7" s="897"/>
    </row>
    <row r="8" spans="5:27" s="236" customFormat="1" ht="12" customHeight="1" thickBot="1">
      <c r="E8" s="936"/>
      <c r="F8" s="941"/>
      <c r="G8" s="940"/>
      <c r="H8" s="926"/>
      <c r="I8" s="927"/>
      <c r="J8" s="941"/>
      <c r="K8" s="925"/>
      <c r="L8" s="926"/>
      <c r="M8" s="953"/>
      <c r="N8" s="947"/>
      <c r="O8" s="948"/>
      <c r="Q8" s="896"/>
      <c r="R8" s="897"/>
      <c r="S8" s="897"/>
      <c r="T8" s="902"/>
      <c r="U8" s="897"/>
      <c r="V8" s="279"/>
      <c r="W8" s="279"/>
      <c r="X8" s="897"/>
      <c r="Y8" s="897"/>
      <c r="Z8" s="897"/>
      <c r="AA8" s="897"/>
    </row>
    <row r="9" spans="2:27" ht="15" customHeight="1">
      <c r="B9" s="907" t="s">
        <v>149</v>
      </c>
      <c r="C9" s="908"/>
      <c r="E9" s="250" t="s">
        <v>285</v>
      </c>
      <c r="F9" s="914">
        <v>300000</v>
      </c>
      <c r="G9" s="915"/>
      <c r="H9" s="949">
        <v>20000</v>
      </c>
      <c r="I9" s="949"/>
      <c r="J9" s="959">
        <v>280000</v>
      </c>
      <c r="K9" s="960"/>
      <c r="L9" s="954">
        <f>J9+H9+H11</f>
        <v>305000</v>
      </c>
      <c r="M9" s="954"/>
      <c r="N9" s="955">
        <f>F9-L9</f>
        <v>-5000</v>
      </c>
      <c r="O9" s="956"/>
      <c r="Q9" s="896"/>
      <c r="R9" s="897"/>
      <c r="S9" s="897"/>
      <c r="T9" s="901"/>
      <c r="U9" s="897"/>
      <c r="V9" s="242"/>
      <c r="W9" s="254"/>
      <c r="X9" s="900"/>
      <c r="Y9" s="897"/>
      <c r="Z9" s="898"/>
      <c r="AA9" s="899"/>
    </row>
    <row r="10" spans="2:27" ht="15" customHeight="1">
      <c r="B10" s="909"/>
      <c r="C10" s="910"/>
      <c r="E10" s="250" t="s">
        <v>286</v>
      </c>
      <c r="F10" s="916">
        <v>200000</v>
      </c>
      <c r="G10" s="917"/>
      <c r="H10" s="950"/>
      <c r="I10" s="950"/>
      <c r="J10" s="961">
        <v>180000</v>
      </c>
      <c r="K10" s="962"/>
      <c r="L10" s="954">
        <f>H9+J10+H11</f>
        <v>205000</v>
      </c>
      <c r="M10" s="954"/>
      <c r="N10" s="955">
        <f>F10-L10</f>
        <v>-5000</v>
      </c>
      <c r="O10" s="956"/>
      <c r="Q10" s="896"/>
      <c r="R10" s="897"/>
      <c r="S10" s="897"/>
      <c r="T10" s="901"/>
      <c r="U10" s="897"/>
      <c r="V10" s="242"/>
      <c r="W10" s="254"/>
      <c r="X10" s="900"/>
      <c r="Y10" s="897"/>
      <c r="Z10" s="898"/>
      <c r="AA10" s="899"/>
    </row>
    <row r="11" spans="2:27" ht="15.75" customHeight="1" thickBot="1">
      <c r="B11" s="911"/>
      <c r="C11" s="912"/>
      <c r="E11" s="250" t="s">
        <v>287</v>
      </c>
      <c r="F11" s="918">
        <v>50000</v>
      </c>
      <c r="G11" s="919"/>
      <c r="H11" s="928">
        <v>5000</v>
      </c>
      <c r="I11" s="928"/>
      <c r="J11" s="963">
        <v>45000</v>
      </c>
      <c r="K11" s="964"/>
      <c r="L11" s="954">
        <f>J11+H11</f>
        <v>50000</v>
      </c>
      <c r="M11" s="954"/>
      <c r="N11" s="957">
        <f>F11-L11</f>
        <v>0</v>
      </c>
      <c r="O11" s="958"/>
      <c r="Q11" s="896"/>
      <c r="R11" s="904"/>
      <c r="S11" s="904"/>
      <c r="T11" s="902"/>
      <c r="U11" s="903"/>
      <c r="V11" s="242"/>
      <c r="W11" s="242"/>
      <c r="X11" s="242"/>
      <c r="Y11" s="242"/>
      <c r="Z11" s="242"/>
      <c r="AA11" s="242"/>
    </row>
    <row r="12" spans="5:27" ht="15" customHeight="1">
      <c r="E12" s="252"/>
      <c r="F12" s="252"/>
      <c r="G12" s="252"/>
      <c r="H12" s="252"/>
      <c r="I12" s="252"/>
      <c r="J12" s="252"/>
      <c r="K12" s="252"/>
      <c r="L12" s="252"/>
      <c r="M12" s="252"/>
      <c r="N12" s="252"/>
      <c r="O12" s="252"/>
      <c r="Q12" s="242"/>
      <c r="R12" s="242"/>
      <c r="S12" s="242"/>
      <c r="T12" s="242"/>
      <c r="U12" s="242"/>
      <c r="V12" s="242"/>
      <c r="W12" s="242"/>
      <c r="X12" s="242"/>
      <c r="Y12" s="242"/>
      <c r="Z12" s="242"/>
      <c r="AA12" s="242"/>
    </row>
    <row r="13" spans="5:15" ht="14.25">
      <c r="E13" s="251"/>
      <c r="F13" s="895"/>
      <c r="G13" s="830"/>
      <c r="H13" s="830"/>
      <c r="I13" s="895"/>
      <c r="J13" s="830"/>
      <c r="K13" s="830"/>
      <c r="L13" s="895"/>
      <c r="M13" s="830"/>
      <c r="N13" s="830"/>
      <c r="O13" s="830"/>
    </row>
    <row r="14" ht="14.25"/>
    <row r="15" spans="2:42" ht="24" customHeight="1">
      <c r="B15" s="1009" t="s">
        <v>282</v>
      </c>
      <c r="C15" s="1010"/>
      <c r="E15" s="253" t="s">
        <v>293</v>
      </c>
      <c r="F15" s="244"/>
      <c r="G15" s="244"/>
      <c r="H15" s="245"/>
      <c r="I15" s="245"/>
      <c r="J15" s="245"/>
      <c r="K15" s="245"/>
      <c r="L15" s="245"/>
      <c r="M15" s="245"/>
      <c r="N15" s="245"/>
      <c r="O15" s="246"/>
      <c r="AC15" s="242"/>
      <c r="AD15" s="242"/>
      <c r="AE15" s="242"/>
      <c r="AF15" s="242"/>
      <c r="AG15" s="242"/>
      <c r="AH15" s="242"/>
      <c r="AI15" s="242"/>
      <c r="AJ15" s="242"/>
      <c r="AK15" s="242"/>
      <c r="AL15" s="242"/>
      <c r="AM15" s="242"/>
      <c r="AN15" s="242"/>
      <c r="AO15" s="242"/>
      <c r="AP15" s="242"/>
    </row>
    <row r="16" spans="2:42" ht="15" thickBot="1">
      <c r="B16" s="1011"/>
      <c r="C16" s="1012"/>
      <c r="AC16" s="242"/>
      <c r="AD16" s="242"/>
      <c r="AE16" s="242"/>
      <c r="AF16" s="242"/>
      <c r="AG16" s="242"/>
      <c r="AH16" s="242"/>
      <c r="AI16" s="242"/>
      <c r="AJ16" s="242"/>
      <c r="AK16" s="242"/>
      <c r="AL16" s="242"/>
      <c r="AM16" s="242"/>
      <c r="AN16" s="242"/>
      <c r="AO16" s="242"/>
      <c r="AP16" s="242"/>
    </row>
    <row r="17" spans="2:42" ht="33.75" customHeight="1" thickBot="1">
      <c r="B17" s="1013"/>
      <c r="C17" s="1014"/>
      <c r="E17" s="256" t="s">
        <v>150</v>
      </c>
      <c r="F17" s="969" t="s">
        <v>294</v>
      </c>
      <c r="G17" s="970"/>
      <c r="H17" s="970"/>
      <c r="I17" s="969" t="s">
        <v>11</v>
      </c>
      <c r="J17" s="970"/>
      <c r="K17" s="970"/>
      <c r="L17" s="969" t="s">
        <v>261</v>
      </c>
      <c r="M17" s="970"/>
      <c r="N17" s="970"/>
      <c r="O17" s="971"/>
      <c r="AC17" s="257"/>
      <c r="AD17" s="257"/>
      <c r="AE17" s="257"/>
      <c r="AF17" s="257"/>
      <c r="AG17" s="257"/>
      <c r="AH17" s="257"/>
      <c r="AI17" s="257"/>
      <c r="AJ17" s="257"/>
      <c r="AK17" s="257"/>
      <c r="AL17" s="257"/>
      <c r="AM17" s="257"/>
      <c r="AN17" s="257"/>
      <c r="AO17" s="242"/>
      <c r="AP17" s="242"/>
    </row>
    <row r="18" spans="5:42" ht="37.5" customHeight="1">
      <c r="E18" s="258"/>
      <c r="F18" s="972"/>
      <c r="G18" s="973"/>
      <c r="H18" s="974"/>
      <c r="I18" s="972"/>
      <c r="J18" s="973"/>
      <c r="K18" s="974"/>
      <c r="L18" s="975"/>
      <c r="M18" s="976"/>
      <c r="N18" s="976"/>
      <c r="O18" s="977"/>
      <c r="AC18" s="242"/>
      <c r="AD18" s="242"/>
      <c r="AE18" s="242"/>
      <c r="AF18" s="242"/>
      <c r="AG18" s="242"/>
      <c r="AH18" s="242"/>
      <c r="AI18" s="242"/>
      <c r="AJ18" s="242"/>
      <c r="AK18" s="242"/>
      <c r="AL18" s="242"/>
      <c r="AM18" s="242"/>
      <c r="AN18" s="242"/>
      <c r="AO18" s="242"/>
      <c r="AP18" s="242"/>
    </row>
    <row r="19" spans="5:42" ht="33.75" customHeight="1">
      <c r="E19" s="259"/>
      <c r="F19" s="965"/>
      <c r="G19" s="966"/>
      <c r="H19" s="966"/>
      <c r="I19" s="965"/>
      <c r="J19" s="966"/>
      <c r="K19" s="966"/>
      <c r="L19" s="978"/>
      <c r="M19" s="979"/>
      <c r="N19" s="979"/>
      <c r="O19" s="980"/>
      <c r="AC19" s="242"/>
      <c r="AD19" s="242"/>
      <c r="AE19" s="242"/>
      <c r="AF19" s="242"/>
      <c r="AG19" s="242"/>
      <c r="AH19" s="242"/>
      <c r="AI19" s="242"/>
      <c r="AJ19" s="242"/>
      <c r="AK19" s="242"/>
      <c r="AL19" s="242"/>
      <c r="AM19" s="242"/>
      <c r="AN19" s="242"/>
      <c r="AO19" s="242"/>
      <c r="AP19" s="242"/>
    </row>
    <row r="20" spans="5:42" ht="42" customHeight="1">
      <c r="E20" s="260"/>
      <c r="F20" s="965"/>
      <c r="G20" s="966"/>
      <c r="H20" s="966"/>
      <c r="I20" s="965"/>
      <c r="J20" s="966"/>
      <c r="K20" s="966"/>
      <c r="L20" s="981"/>
      <c r="M20" s="982"/>
      <c r="N20" s="982"/>
      <c r="O20" s="983"/>
      <c r="AC20" s="242"/>
      <c r="AD20" s="242"/>
      <c r="AE20" s="242"/>
      <c r="AF20" s="242"/>
      <c r="AG20" s="242"/>
      <c r="AH20" s="242"/>
      <c r="AI20" s="242"/>
      <c r="AJ20" s="242"/>
      <c r="AK20" s="242"/>
      <c r="AL20" s="242"/>
      <c r="AM20" s="242"/>
      <c r="AN20" s="242"/>
      <c r="AO20" s="242"/>
      <c r="AP20" s="242"/>
    </row>
    <row r="21" spans="5:42" ht="35.25" customHeight="1">
      <c r="E21" s="260"/>
      <c r="F21" s="965"/>
      <c r="G21" s="966"/>
      <c r="H21" s="966"/>
      <c r="I21" s="965"/>
      <c r="J21" s="966"/>
      <c r="K21" s="966"/>
      <c r="L21" s="978"/>
      <c r="M21" s="979"/>
      <c r="N21" s="979"/>
      <c r="O21" s="980"/>
      <c r="AC21" s="242"/>
      <c r="AD21" s="242"/>
      <c r="AE21" s="242"/>
      <c r="AF21" s="242"/>
      <c r="AG21" s="242"/>
      <c r="AH21" s="242"/>
      <c r="AI21" s="242"/>
      <c r="AJ21" s="242"/>
      <c r="AK21" s="242"/>
      <c r="AL21" s="242"/>
      <c r="AM21" s="242"/>
      <c r="AN21" s="242"/>
      <c r="AO21" s="242"/>
      <c r="AP21" s="242"/>
    </row>
    <row r="22" spans="5:15" ht="48" customHeight="1">
      <c r="E22" s="260"/>
      <c r="F22" s="965"/>
      <c r="G22" s="966"/>
      <c r="H22" s="966"/>
      <c r="I22" s="965"/>
      <c r="J22" s="966"/>
      <c r="K22" s="966"/>
      <c r="L22" s="978"/>
      <c r="M22" s="979"/>
      <c r="N22" s="979"/>
      <c r="O22" s="980"/>
    </row>
    <row r="23" spans="5:15" ht="39" customHeight="1" thickBot="1">
      <c r="E23" s="300"/>
      <c r="F23" s="997"/>
      <c r="G23" s="998"/>
      <c r="H23" s="998"/>
      <c r="I23" s="997"/>
      <c r="J23" s="998"/>
      <c r="K23" s="998"/>
      <c r="L23" s="986"/>
      <c r="M23" s="987"/>
      <c r="N23" s="987"/>
      <c r="O23" s="988"/>
    </row>
    <row r="24" ht="14.25"/>
    <row r="25" ht="14.25"/>
    <row r="26" spans="2:19" ht="23.25" customHeight="1">
      <c r="B26" s="907" t="s">
        <v>151</v>
      </c>
      <c r="C26" s="1015"/>
      <c r="D26" s="242"/>
      <c r="E26" s="253" t="s">
        <v>152</v>
      </c>
      <c r="F26" s="244"/>
      <c r="G26" s="244"/>
      <c r="H26" s="245"/>
      <c r="I26" s="245"/>
      <c r="J26" s="245"/>
      <c r="K26" s="275"/>
      <c r="L26" s="275"/>
      <c r="M26" s="275"/>
      <c r="N26" s="275"/>
      <c r="O26" s="276"/>
      <c r="P26" s="255"/>
      <c r="Q26" s="255"/>
      <c r="R26" s="255"/>
      <c r="S26" s="255"/>
    </row>
    <row r="27" spans="2:16" ht="15" thickBot="1">
      <c r="B27" s="1016"/>
      <c r="C27" s="1017"/>
      <c r="D27" s="242"/>
      <c r="E27" s="242"/>
      <c r="F27" s="242"/>
      <c r="G27" s="242"/>
      <c r="H27" s="242"/>
      <c r="I27" s="242"/>
      <c r="J27" s="242"/>
      <c r="K27" s="242"/>
      <c r="L27" s="242"/>
      <c r="M27" s="242"/>
      <c r="N27" s="242"/>
      <c r="O27" s="242"/>
      <c r="P27" s="242"/>
    </row>
    <row r="28" spans="2:15" ht="34.5" customHeight="1">
      <c r="B28" s="1016"/>
      <c r="C28" s="1017"/>
      <c r="D28" s="242"/>
      <c r="E28" s="989" t="s">
        <v>150</v>
      </c>
      <c r="F28" s="991" t="s">
        <v>294</v>
      </c>
      <c r="G28" s="992"/>
      <c r="H28" s="993"/>
      <c r="I28" s="991" t="s">
        <v>295</v>
      </c>
      <c r="J28" s="1003"/>
      <c r="K28" s="999" t="s">
        <v>296</v>
      </c>
      <c r="L28" s="991" t="s">
        <v>252</v>
      </c>
      <c r="M28" s="1003"/>
      <c r="N28" s="1003"/>
      <c r="O28" s="1007"/>
    </row>
    <row r="29" spans="2:15" ht="14.25">
      <c r="B29" s="1018"/>
      <c r="C29" s="1019"/>
      <c r="D29" s="242"/>
      <c r="E29" s="990"/>
      <c r="F29" s="994"/>
      <c r="G29" s="995"/>
      <c r="H29" s="996"/>
      <c r="I29" s="1004"/>
      <c r="J29" s="953"/>
      <c r="K29" s="1000"/>
      <c r="L29" s="1004"/>
      <c r="M29" s="953"/>
      <c r="N29" s="953"/>
      <c r="O29" s="1008"/>
    </row>
    <row r="30" spans="4:15" ht="24.75" customHeight="1">
      <c r="D30" s="242"/>
      <c r="E30" s="299"/>
      <c r="F30" s="965"/>
      <c r="G30" s="966"/>
      <c r="H30" s="966"/>
      <c r="I30" s="967"/>
      <c r="J30" s="968"/>
      <c r="K30" s="261"/>
      <c r="L30" s="967"/>
      <c r="M30" s="984"/>
      <c r="N30" s="984"/>
      <c r="O30" s="985"/>
    </row>
    <row r="31" spans="4:15" ht="27" customHeight="1">
      <c r="D31" s="242"/>
      <c r="E31" s="299"/>
      <c r="F31" s="965"/>
      <c r="G31" s="966"/>
      <c r="H31" s="966"/>
      <c r="I31" s="967"/>
      <c r="J31" s="968"/>
      <c r="K31" s="261"/>
      <c r="L31" s="967"/>
      <c r="M31" s="984"/>
      <c r="N31" s="984"/>
      <c r="O31" s="985"/>
    </row>
    <row r="32" spans="4:15" ht="24" customHeight="1">
      <c r="D32" s="242"/>
      <c r="E32" s="262"/>
      <c r="F32" s="965"/>
      <c r="G32" s="966"/>
      <c r="H32" s="966"/>
      <c r="I32" s="967"/>
      <c r="J32" s="968"/>
      <c r="K32" s="261"/>
      <c r="L32" s="967"/>
      <c r="M32" s="984"/>
      <c r="N32" s="984"/>
      <c r="O32" s="985"/>
    </row>
    <row r="33" spans="5:15" ht="31.5" customHeight="1">
      <c r="E33" s="262"/>
      <c r="F33" s="965"/>
      <c r="G33" s="966"/>
      <c r="H33" s="966"/>
      <c r="I33" s="967"/>
      <c r="J33" s="968"/>
      <c r="K33" s="261"/>
      <c r="L33" s="967"/>
      <c r="M33" s="984"/>
      <c r="N33" s="984"/>
      <c r="O33" s="985"/>
    </row>
    <row r="34" spans="5:15" ht="31.5" customHeight="1">
      <c r="E34" s="262"/>
      <c r="F34" s="965"/>
      <c r="G34" s="966"/>
      <c r="H34" s="966"/>
      <c r="I34" s="967"/>
      <c r="J34" s="968"/>
      <c r="K34" s="261"/>
      <c r="L34" s="967"/>
      <c r="M34" s="984"/>
      <c r="N34" s="984"/>
      <c r="O34" s="985"/>
    </row>
    <row r="35" spans="5:15" ht="27" customHeight="1" thickBot="1">
      <c r="E35" s="263"/>
      <c r="F35" s="997"/>
      <c r="G35" s="998"/>
      <c r="H35" s="998"/>
      <c r="I35" s="1001"/>
      <c r="J35" s="1002"/>
      <c r="K35" s="264"/>
      <c r="L35" s="1001"/>
      <c r="M35" s="1005"/>
      <c r="N35" s="1005"/>
      <c r="O35" s="1006"/>
    </row>
    <row r="38" ht="15" thickBot="1"/>
    <row r="39" spans="9:17" ht="14.25">
      <c r="I39" s="890" t="s">
        <v>297</v>
      </c>
      <c r="J39" s="891"/>
      <c r="K39" s="891"/>
      <c r="L39" s="892"/>
      <c r="N39" s="895"/>
      <c r="O39" s="830"/>
      <c r="P39" s="830"/>
      <c r="Q39" s="830"/>
    </row>
    <row r="40" spans="9:12" ht="14.25">
      <c r="I40" s="893"/>
      <c r="J40" s="830"/>
      <c r="K40" s="830"/>
      <c r="L40" s="894"/>
    </row>
    <row r="41" spans="9:12" ht="14.25">
      <c r="I41" s="265"/>
      <c r="J41" s="266"/>
      <c r="K41" s="266"/>
      <c r="L41" s="267"/>
    </row>
    <row r="42" spans="9:14" ht="14.25">
      <c r="I42" s="265" t="s">
        <v>298</v>
      </c>
      <c r="J42" s="266"/>
      <c r="K42" s="266"/>
      <c r="L42" s="267"/>
      <c r="N42" s="251"/>
    </row>
    <row r="43" spans="9:14" ht="14.25">
      <c r="I43" s="265" t="s">
        <v>153</v>
      </c>
      <c r="J43" s="266"/>
      <c r="K43" s="266"/>
      <c r="L43" s="267"/>
      <c r="N43" s="251"/>
    </row>
    <row r="44" spans="9:12" ht="14.25">
      <c r="I44" s="265" t="s">
        <v>155</v>
      </c>
      <c r="J44" s="266"/>
      <c r="K44" s="266"/>
      <c r="L44" s="267"/>
    </row>
    <row r="45" spans="9:12" ht="14.25">
      <c r="I45" s="265" t="s">
        <v>156</v>
      </c>
      <c r="J45" s="266"/>
      <c r="K45" s="266"/>
      <c r="L45" s="267"/>
    </row>
    <row r="46" spans="9:12" ht="14.25">
      <c r="I46" s="265" t="s">
        <v>157</v>
      </c>
      <c r="J46" s="266"/>
      <c r="K46" s="266"/>
      <c r="L46" s="267"/>
    </row>
    <row r="47" spans="9:12" ht="14.25">
      <c r="I47" s="265" t="s">
        <v>154</v>
      </c>
      <c r="J47" s="266"/>
      <c r="K47" s="266"/>
      <c r="L47" s="267"/>
    </row>
    <row r="48" spans="9:12" ht="14.25">
      <c r="I48" s="265" t="s">
        <v>158</v>
      </c>
      <c r="J48" s="266"/>
      <c r="K48" s="266"/>
      <c r="L48" s="267"/>
    </row>
    <row r="49" spans="9:12" ht="14.25">
      <c r="I49" s="265" t="s">
        <v>90</v>
      </c>
      <c r="J49" s="266"/>
      <c r="K49" s="266"/>
      <c r="L49" s="267"/>
    </row>
    <row r="50" spans="9:14" ht="14.25">
      <c r="I50" s="265" t="s">
        <v>159</v>
      </c>
      <c r="J50" s="266"/>
      <c r="K50" s="266"/>
      <c r="L50" s="267"/>
      <c r="N50" s="251"/>
    </row>
    <row r="51" spans="9:14" ht="14.25">
      <c r="I51" s="265" t="s">
        <v>160</v>
      </c>
      <c r="J51" s="266"/>
      <c r="K51" s="266"/>
      <c r="L51" s="267"/>
      <c r="N51" s="251"/>
    </row>
    <row r="52" spans="9:12" ht="14.25">
      <c r="I52" s="265" t="s">
        <v>96</v>
      </c>
      <c r="J52" s="266"/>
      <c r="K52" s="266"/>
      <c r="L52" s="267"/>
    </row>
    <row r="53" spans="9:12" ht="14.25">
      <c r="I53" s="265" t="s">
        <v>161</v>
      </c>
      <c r="J53" s="266"/>
      <c r="K53" s="266"/>
      <c r="L53" s="267"/>
    </row>
    <row r="54" spans="9:12" ht="14.25">
      <c r="I54" s="265" t="s">
        <v>93</v>
      </c>
      <c r="J54" s="266"/>
      <c r="K54" s="266"/>
      <c r="L54" s="267"/>
    </row>
    <row r="55" spans="9:12" ht="14.25">
      <c r="I55" s="265" t="s">
        <v>162</v>
      </c>
      <c r="J55" s="266"/>
      <c r="K55" s="266"/>
      <c r="L55" s="267"/>
    </row>
    <row r="56" spans="9:12" ht="14.25">
      <c r="I56" s="265" t="s">
        <v>97</v>
      </c>
      <c r="J56" s="266"/>
      <c r="K56" s="266"/>
      <c r="L56" s="267"/>
    </row>
    <row r="57" spans="9:12" ht="14.25">
      <c r="I57" s="265" t="s">
        <v>86</v>
      </c>
      <c r="J57" s="266"/>
      <c r="K57" s="266"/>
      <c r="L57" s="267"/>
    </row>
    <row r="58" spans="9:12" ht="14.25">
      <c r="I58" s="265" t="s">
        <v>163</v>
      </c>
      <c r="J58" s="266"/>
      <c r="K58" s="266"/>
      <c r="L58" s="267"/>
    </row>
    <row r="59" spans="9:14" ht="14.25">
      <c r="I59" s="265" t="s">
        <v>164</v>
      </c>
      <c r="J59" s="266"/>
      <c r="K59" s="266"/>
      <c r="L59" s="267"/>
      <c r="N59" s="251"/>
    </row>
    <row r="60" spans="9:12" ht="14.25">
      <c r="I60" s="265" t="s">
        <v>165</v>
      </c>
      <c r="J60" s="266"/>
      <c r="K60" s="266"/>
      <c r="L60" s="267"/>
    </row>
    <row r="61" spans="9:12" ht="14.25">
      <c r="I61" s="265" t="s">
        <v>166</v>
      </c>
      <c r="J61" s="266"/>
      <c r="K61" s="266"/>
      <c r="L61" s="267"/>
    </row>
    <row r="62" spans="9:12" ht="14.25">
      <c r="I62" s="265" t="s">
        <v>167</v>
      </c>
      <c r="J62" s="242"/>
      <c r="K62" s="242"/>
      <c r="L62" s="268"/>
    </row>
    <row r="63" spans="9:12" ht="14.25">
      <c r="I63" s="265" t="s">
        <v>168</v>
      </c>
      <c r="J63" s="242"/>
      <c r="K63" s="242"/>
      <c r="L63" s="268"/>
    </row>
    <row r="64" spans="9:12" ht="15" thickBot="1">
      <c r="I64" s="269" t="s">
        <v>169</v>
      </c>
      <c r="J64" s="270"/>
      <c r="K64" s="270"/>
      <c r="L64" s="271"/>
    </row>
    <row r="65" spans="9:12" ht="14.25">
      <c r="I65" s="272" t="s">
        <v>170</v>
      </c>
      <c r="J65" s="273"/>
      <c r="K65" s="273"/>
      <c r="L65" s="274"/>
    </row>
    <row r="66" spans="9:12" ht="14.25">
      <c r="I66" s="265" t="s">
        <v>171</v>
      </c>
      <c r="J66" s="242"/>
      <c r="K66" s="242"/>
      <c r="L66" s="268"/>
    </row>
    <row r="67" spans="9:12" ht="14.25">
      <c r="I67" s="265" t="s">
        <v>172</v>
      </c>
      <c r="J67" s="242"/>
      <c r="K67" s="242"/>
      <c r="L67" s="268"/>
    </row>
    <row r="68" spans="9:12" ht="14.25">
      <c r="I68" s="265" t="s">
        <v>173</v>
      </c>
      <c r="J68" s="242"/>
      <c r="K68" s="242"/>
      <c r="L68" s="268"/>
    </row>
    <row r="69" spans="9:12" ht="15" thickBot="1">
      <c r="I69" s="269" t="s">
        <v>174</v>
      </c>
      <c r="J69" s="270"/>
      <c r="K69" s="270"/>
      <c r="L69" s="271"/>
    </row>
  </sheetData>
  <sheetProtection/>
  <mergeCells count="98">
    <mergeCell ref="B15:C17"/>
    <mergeCell ref="B26:C29"/>
    <mergeCell ref="I32:J32"/>
    <mergeCell ref="I30:J30"/>
    <mergeCell ref="F23:H23"/>
    <mergeCell ref="I23:K23"/>
    <mergeCell ref="F19:H19"/>
    <mergeCell ref="I19:K19"/>
    <mergeCell ref="F17:H17"/>
    <mergeCell ref="I17:K17"/>
    <mergeCell ref="I33:J33"/>
    <mergeCell ref="I28:J29"/>
    <mergeCell ref="L33:O33"/>
    <mergeCell ref="L34:O34"/>
    <mergeCell ref="L35:O35"/>
    <mergeCell ref="L28:O29"/>
    <mergeCell ref="I22:K22"/>
    <mergeCell ref="L22:O22"/>
    <mergeCell ref="E28:E29"/>
    <mergeCell ref="F28:H29"/>
    <mergeCell ref="F30:H30"/>
    <mergeCell ref="F35:H35"/>
    <mergeCell ref="L32:O32"/>
    <mergeCell ref="K28:K29"/>
    <mergeCell ref="I35:J35"/>
    <mergeCell ref="I34:J34"/>
    <mergeCell ref="F20:H20"/>
    <mergeCell ref="I20:K20"/>
    <mergeCell ref="L20:O20"/>
    <mergeCell ref="L30:O30"/>
    <mergeCell ref="L31:O31"/>
    <mergeCell ref="L23:O23"/>
    <mergeCell ref="F21:H21"/>
    <mergeCell ref="I21:K21"/>
    <mergeCell ref="L21:O21"/>
    <mergeCell ref="F22:H22"/>
    <mergeCell ref="F34:H34"/>
    <mergeCell ref="F32:H32"/>
    <mergeCell ref="F33:H33"/>
    <mergeCell ref="F31:H31"/>
    <mergeCell ref="I31:J31"/>
    <mergeCell ref="L17:O17"/>
    <mergeCell ref="F18:H18"/>
    <mergeCell ref="I18:K18"/>
    <mergeCell ref="L18:O18"/>
    <mergeCell ref="L19:O19"/>
    <mergeCell ref="L11:M11"/>
    <mergeCell ref="N11:O11"/>
    <mergeCell ref="J9:K9"/>
    <mergeCell ref="J10:K10"/>
    <mergeCell ref="J11:K11"/>
    <mergeCell ref="F13:H13"/>
    <mergeCell ref="I13:K13"/>
    <mergeCell ref="L13:O13"/>
    <mergeCell ref="N6:O8"/>
    <mergeCell ref="H9:I10"/>
    <mergeCell ref="L5:M5"/>
    <mergeCell ref="L6:M8"/>
    <mergeCell ref="L9:M9"/>
    <mergeCell ref="L10:M10"/>
    <mergeCell ref="N9:O9"/>
    <mergeCell ref="N10:O10"/>
    <mergeCell ref="Q7:S7"/>
    <mergeCell ref="Q8:S8"/>
    <mergeCell ref="X3:AA3"/>
    <mergeCell ref="X2:AA2"/>
    <mergeCell ref="E6:E8"/>
    <mergeCell ref="F5:G5"/>
    <mergeCell ref="F6:G8"/>
    <mergeCell ref="J5:K5"/>
    <mergeCell ref="J6:K8"/>
    <mergeCell ref="N5:O5"/>
    <mergeCell ref="B3:C3"/>
    <mergeCell ref="B9:C11"/>
    <mergeCell ref="X4:AA4"/>
    <mergeCell ref="F9:G9"/>
    <mergeCell ref="F10:G10"/>
    <mergeCell ref="F11:G11"/>
    <mergeCell ref="H5:I5"/>
    <mergeCell ref="H6:I8"/>
    <mergeCell ref="H11:I11"/>
    <mergeCell ref="Q5:U6"/>
    <mergeCell ref="T11:U11"/>
    <mergeCell ref="Q11:S11"/>
    <mergeCell ref="Q9:S9"/>
    <mergeCell ref="T9:U9"/>
    <mergeCell ref="T10:U10"/>
    <mergeCell ref="Q10:S10"/>
    <mergeCell ref="I39:L40"/>
    <mergeCell ref="N39:Q39"/>
    <mergeCell ref="X7:Y8"/>
    <mergeCell ref="Z7:AA8"/>
    <mergeCell ref="Z9:AA9"/>
    <mergeCell ref="Z10:AA10"/>
    <mergeCell ref="X9:Y9"/>
    <mergeCell ref="X10:Y10"/>
    <mergeCell ref="T7:U7"/>
    <mergeCell ref="T8:U8"/>
  </mergeCells>
  <conditionalFormatting sqref="N9:O11">
    <cfRule type="cellIs" priority="1" dxfId="1" operator="greaterThan" stopIfTrue="1">
      <formula>0</formula>
    </cfRule>
    <cfRule type="cellIs" priority="2" dxfId="0" operator="lessThanOrEqual" stopIfTrue="1">
      <formula>0</formula>
    </cfRule>
  </conditionalFormatting>
  <dataValidations count="1">
    <dataValidation type="list" allowBlank="1" showInputMessage="1" showErrorMessage="1" sqref="K30:K35">
      <formula1>$I$42:$I$69</formula1>
    </dataValidation>
  </dataValidations>
  <printOptions/>
  <pageMargins left="0.7480314960629921" right="0.7480314960629921" top="0.984251968503937" bottom="0.984251968503937" header="0.5118110236220472" footer="0.5118110236220472"/>
  <pageSetup fitToHeight="2" fitToWidth="1" horizontalDpi="600" verticalDpi="600" orientation="portrait" paperSize="9" scale="16"/>
  <drawing r:id="rId3"/>
  <legacyDrawing r:id="rId2"/>
</worksheet>
</file>

<file path=xl/worksheets/sheet8.xml><?xml version="1.0" encoding="utf-8"?>
<worksheet xmlns="http://schemas.openxmlformats.org/spreadsheetml/2006/main" xmlns:r="http://schemas.openxmlformats.org/officeDocument/2006/relationships">
  <sheetPr codeName="Sheet5">
    <pageSetUpPr fitToPage="1"/>
  </sheetPr>
  <dimension ref="A1:I43"/>
  <sheetViews>
    <sheetView zoomScale="75" zoomScaleNormal="75" zoomScalePageLayoutView="0" workbookViewId="0" topLeftCell="A19">
      <selection activeCell="G4" sqref="G4"/>
    </sheetView>
  </sheetViews>
  <sheetFormatPr defaultColWidth="9.140625" defaultRowHeight="12.75"/>
  <cols>
    <col min="1" max="1" width="9.140625" style="60" customWidth="1"/>
    <col min="2" max="2" width="63.140625" style="60" customWidth="1"/>
    <col min="3" max="4" width="9.140625" style="60" customWidth="1"/>
    <col min="5" max="5" width="38.7109375" style="60" customWidth="1"/>
    <col min="6" max="6" width="6.421875" style="60" customWidth="1"/>
    <col min="7" max="7" width="38.7109375" style="60" customWidth="1"/>
    <col min="8" max="8" width="9.140625" style="60" customWidth="1"/>
    <col min="9" max="9" width="38.140625" style="60" customWidth="1"/>
    <col min="10" max="16384" width="9.140625" style="60" customWidth="1"/>
  </cols>
  <sheetData>
    <row r="1" spans="1:9" ht="18">
      <c r="A1" s="59" t="s">
        <v>299</v>
      </c>
      <c r="E1" s="59" t="s">
        <v>303</v>
      </c>
      <c r="G1" s="59" t="s">
        <v>304</v>
      </c>
      <c r="I1" s="59" t="s">
        <v>98</v>
      </c>
    </row>
    <row r="3" spans="1:9" ht="15.75">
      <c r="A3" s="321" t="s">
        <v>300</v>
      </c>
      <c r="B3" s="61"/>
      <c r="E3" s="93" t="s">
        <v>87</v>
      </c>
      <c r="F3" s="93"/>
      <c r="G3" s="93" t="s">
        <v>92</v>
      </c>
      <c r="H3" s="93"/>
      <c r="I3" s="93" t="s">
        <v>99</v>
      </c>
    </row>
    <row r="4" spans="1:9" ht="15.75">
      <c r="A4" s="62">
        <v>1</v>
      </c>
      <c r="B4" s="63" t="s">
        <v>30</v>
      </c>
      <c r="E4" s="93" t="s">
        <v>33</v>
      </c>
      <c r="F4" s="93"/>
      <c r="G4" s="93" t="s">
        <v>105</v>
      </c>
      <c r="H4" s="93"/>
      <c r="I4" s="93" t="s">
        <v>100</v>
      </c>
    </row>
    <row r="5" spans="1:9" ht="15.75">
      <c r="A5" s="62">
        <v>2</v>
      </c>
      <c r="B5" s="63" t="s">
        <v>31</v>
      </c>
      <c r="E5" s="93" t="s">
        <v>81</v>
      </c>
      <c r="F5" s="93"/>
      <c r="G5" s="93" t="s">
        <v>93</v>
      </c>
      <c r="H5" s="93"/>
      <c r="I5" s="93" t="s">
        <v>101</v>
      </c>
    </row>
    <row r="6" spans="1:9" ht="15.75">
      <c r="A6" s="62">
        <v>3</v>
      </c>
      <c r="B6" s="63" t="s">
        <v>32</v>
      </c>
      <c r="E6" s="93" t="s">
        <v>82</v>
      </c>
      <c r="F6" s="93"/>
      <c r="G6" s="93" t="s">
        <v>94</v>
      </c>
      <c r="H6" s="93"/>
      <c r="I6" s="93" t="s">
        <v>102</v>
      </c>
    </row>
    <row r="7" spans="1:9" ht="15.75">
      <c r="A7" s="62">
        <v>4</v>
      </c>
      <c r="B7" s="63" t="s">
        <v>33</v>
      </c>
      <c r="E7" s="93" t="s">
        <v>83</v>
      </c>
      <c r="F7" s="93"/>
      <c r="G7" s="93" t="s">
        <v>187</v>
      </c>
      <c r="H7" s="93"/>
      <c r="I7" s="93" t="s">
        <v>103</v>
      </c>
    </row>
    <row r="8" spans="1:9" ht="15.75">
      <c r="A8" s="62">
        <v>5</v>
      </c>
      <c r="B8" s="64" t="s">
        <v>34</v>
      </c>
      <c r="E8" s="93" t="s">
        <v>84</v>
      </c>
      <c r="F8" s="93"/>
      <c r="G8" s="93" t="s">
        <v>95</v>
      </c>
      <c r="H8" s="93"/>
      <c r="I8" s="93" t="s">
        <v>107</v>
      </c>
    </row>
    <row r="9" spans="1:9" ht="15.75">
      <c r="A9" s="62">
        <v>6</v>
      </c>
      <c r="B9" s="63" t="s">
        <v>35</v>
      </c>
      <c r="E9" s="93" t="s">
        <v>85</v>
      </c>
      <c r="F9" s="93"/>
      <c r="G9" s="93" t="s">
        <v>189</v>
      </c>
      <c r="H9" s="93"/>
      <c r="I9" s="93"/>
    </row>
    <row r="10" spans="1:9" ht="28.5">
      <c r="A10" s="62">
        <v>7</v>
      </c>
      <c r="B10" s="64" t="s">
        <v>36</v>
      </c>
      <c r="E10" s="93" t="s">
        <v>86</v>
      </c>
      <c r="F10" s="93"/>
      <c r="G10" s="93" t="s">
        <v>96</v>
      </c>
      <c r="H10" s="93"/>
      <c r="I10" s="93"/>
    </row>
    <row r="11" spans="1:9" ht="15.75">
      <c r="A11" s="62">
        <v>8</v>
      </c>
      <c r="B11" s="64" t="s">
        <v>37</v>
      </c>
      <c r="E11" s="93" t="s">
        <v>88</v>
      </c>
      <c r="F11" s="93"/>
      <c r="G11" s="93" t="s">
        <v>188</v>
      </c>
      <c r="H11" s="93"/>
      <c r="I11" s="93"/>
    </row>
    <row r="12" spans="1:9" ht="28.5">
      <c r="A12" s="62">
        <v>9</v>
      </c>
      <c r="B12" s="64" t="s">
        <v>38</v>
      </c>
      <c r="E12" s="93" t="s">
        <v>89</v>
      </c>
      <c r="F12" s="93"/>
      <c r="G12" s="93" t="s">
        <v>97</v>
      </c>
      <c r="H12" s="93"/>
      <c r="I12" s="93"/>
    </row>
    <row r="13" spans="1:9" ht="15.75">
      <c r="A13" s="62">
        <v>10</v>
      </c>
      <c r="B13" s="64" t="s">
        <v>39</v>
      </c>
      <c r="E13" s="93" t="s">
        <v>90</v>
      </c>
      <c r="F13" s="93"/>
      <c r="G13" s="93" t="s">
        <v>87</v>
      </c>
      <c r="H13" s="93"/>
      <c r="I13" s="93"/>
    </row>
    <row r="14" spans="1:9" ht="15.75">
      <c r="A14" s="322" t="s">
        <v>301</v>
      </c>
      <c r="B14" s="64"/>
      <c r="E14" s="93" t="s">
        <v>91</v>
      </c>
      <c r="F14" s="93"/>
      <c r="G14" s="93"/>
      <c r="H14" s="93"/>
      <c r="I14" s="93"/>
    </row>
    <row r="15" spans="1:9" ht="15.75">
      <c r="A15" s="65">
        <v>1</v>
      </c>
      <c r="B15" s="64" t="s">
        <v>40</v>
      </c>
      <c r="E15" s="93" t="s">
        <v>104</v>
      </c>
      <c r="F15" s="93"/>
      <c r="G15" s="93"/>
      <c r="H15" s="93"/>
      <c r="I15" s="93"/>
    </row>
    <row r="16" spans="1:9" ht="28.5">
      <c r="A16" s="65">
        <v>2</v>
      </c>
      <c r="B16" s="64" t="s">
        <v>41</v>
      </c>
      <c r="E16" s="93" t="s">
        <v>105</v>
      </c>
      <c r="F16" s="93"/>
      <c r="G16" s="93"/>
      <c r="H16" s="93"/>
      <c r="I16" s="93"/>
    </row>
    <row r="17" spans="1:9" ht="15.75">
      <c r="A17" s="65">
        <v>3</v>
      </c>
      <c r="B17" s="64" t="s">
        <v>42</v>
      </c>
      <c r="E17" s="93" t="s">
        <v>106</v>
      </c>
      <c r="F17" s="93"/>
      <c r="G17" s="93"/>
      <c r="H17" s="93"/>
      <c r="I17" s="93"/>
    </row>
    <row r="18" spans="1:9" ht="15.75">
      <c r="A18" s="65">
        <v>4</v>
      </c>
      <c r="B18" s="64" t="s">
        <v>43</v>
      </c>
      <c r="E18" s="93"/>
      <c r="F18" s="93"/>
      <c r="G18" s="93"/>
      <c r="H18" s="93"/>
      <c r="I18" s="93"/>
    </row>
    <row r="19" spans="1:9" ht="15.75">
      <c r="A19" s="65">
        <v>5</v>
      </c>
      <c r="B19" s="64" t="s">
        <v>44</v>
      </c>
      <c r="E19" s="93"/>
      <c r="F19" s="93"/>
      <c r="G19" s="93"/>
      <c r="H19" s="93"/>
      <c r="I19" s="93"/>
    </row>
    <row r="20" spans="1:9" ht="28.5">
      <c r="A20" s="65">
        <v>6</v>
      </c>
      <c r="B20" s="64" t="s">
        <v>45</v>
      </c>
      <c r="E20" s="94"/>
      <c r="F20" s="94"/>
      <c r="G20" s="93"/>
      <c r="H20" s="94"/>
      <c r="I20" s="94"/>
    </row>
    <row r="21" spans="1:7" ht="15.75">
      <c r="A21" s="65">
        <v>7</v>
      </c>
      <c r="B21" s="64" t="s">
        <v>46</v>
      </c>
      <c r="G21" s="93"/>
    </row>
    <row r="22" spans="1:7" ht="28.5">
      <c r="A22" s="65">
        <v>8</v>
      </c>
      <c r="B22" s="64" t="s">
        <v>47</v>
      </c>
      <c r="G22" s="94"/>
    </row>
    <row r="23" spans="1:2" ht="28.5">
      <c r="A23" s="65">
        <v>9</v>
      </c>
      <c r="B23" s="64" t="s">
        <v>48</v>
      </c>
    </row>
    <row r="24" spans="1:2" ht="15">
      <c r="A24" s="65">
        <v>10</v>
      </c>
      <c r="B24" s="64" t="s">
        <v>49</v>
      </c>
    </row>
    <row r="25" spans="1:2" ht="15">
      <c r="A25" s="65">
        <v>11</v>
      </c>
      <c r="B25" s="64" t="s">
        <v>50</v>
      </c>
    </row>
    <row r="26" spans="1:2" ht="15">
      <c r="A26" s="65">
        <v>12</v>
      </c>
      <c r="B26" s="64" t="s">
        <v>51</v>
      </c>
    </row>
    <row r="27" spans="1:2" ht="28.5">
      <c r="A27" s="65">
        <v>13</v>
      </c>
      <c r="B27" s="64" t="s">
        <v>52</v>
      </c>
    </row>
    <row r="28" spans="1:2" ht="15">
      <c r="A28" s="65">
        <v>14</v>
      </c>
      <c r="B28" s="64" t="s">
        <v>53</v>
      </c>
    </row>
    <row r="29" spans="1:2" ht="15">
      <c r="A29" s="65">
        <v>15</v>
      </c>
      <c r="B29" s="64" t="s">
        <v>54</v>
      </c>
    </row>
    <row r="30" spans="1:2" ht="15">
      <c r="A30" s="65">
        <v>16</v>
      </c>
      <c r="B30" s="66" t="s">
        <v>55</v>
      </c>
    </row>
    <row r="31" spans="1:2" ht="15">
      <c r="A31" s="322" t="s">
        <v>302</v>
      </c>
      <c r="B31" s="64"/>
    </row>
    <row r="32" spans="1:2" ht="28.5">
      <c r="A32" s="65">
        <v>1</v>
      </c>
      <c r="B32" s="64" t="s">
        <v>307</v>
      </c>
    </row>
    <row r="33" spans="1:2" ht="28.5">
      <c r="A33" s="65">
        <v>2</v>
      </c>
      <c r="B33" s="64" t="s">
        <v>56</v>
      </c>
    </row>
    <row r="34" spans="1:2" ht="28.5">
      <c r="A34" s="65">
        <v>3</v>
      </c>
      <c r="B34" s="64" t="s">
        <v>57</v>
      </c>
    </row>
    <row r="35" spans="1:2" ht="28.5">
      <c r="A35" s="65">
        <v>4</v>
      </c>
      <c r="B35" s="64" t="s">
        <v>58</v>
      </c>
    </row>
    <row r="36" spans="1:2" ht="42.75">
      <c r="A36" s="65">
        <v>5</v>
      </c>
      <c r="B36" s="64" t="s">
        <v>59</v>
      </c>
    </row>
    <row r="37" spans="1:2" ht="28.5">
      <c r="A37" s="65">
        <v>6</v>
      </c>
      <c r="B37" s="64" t="s">
        <v>60</v>
      </c>
    </row>
    <row r="38" spans="1:2" ht="28.5">
      <c r="A38" s="65">
        <v>7</v>
      </c>
      <c r="B38" s="64" t="s">
        <v>61</v>
      </c>
    </row>
    <row r="39" spans="1:2" ht="28.5">
      <c r="A39" s="65">
        <v>8</v>
      </c>
      <c r="B39" s="64" t="s">
        <v>62</v>
      </c>
    </row>
    <row r="40" spans="1:2" ht="15">
      <c r="A40" s="65">
        <v>9</v>
      </c>
      <c r="B40" s="64" t="s">
        <v>63</v>
      </c>
    </row>
    <row r="41" spans="1:2" ht="28.5">
      <c r="A41" s="65">
        <v>10</v>
      </c>
      <c r="B41" s="64" t="s">
        <v>64</v>
      </c>
    </row>
    <row r="42" spans="1:2" ht="15">
      <c r="A42" s="65">
        <v>11</v>
      </c>
      <c r="B42" s="64" t="s">
        <v>65</v>
      </c>
    </row>
    <row r="43" spans="1:2" ht="15">
      <c r="A43" s="67">
        <v>12</v>
      </c>
      <c r="B43" s="64" t="s">
        <v>66</v>
      </c>
    </row>
  </sheetData>
  <sheetProtection/>
  <printOptions/>
  <pageMargins left="0.75" right="0.75" top="1" bottom="1" header="0.5" footer="0.5"/>
  <pageSetup fitToHeight="1" fitToWidth="1" horizontalDpi="600" verticalDpi="600" orientation="landscape" paperSize="9" scale="52"/>
  <headerFooter alignWithMargins="0">
    <oddHeader>&amp;C&amp;"Arial,Bold"&amp;9Environment Agency Management System document: Uncontrolled when printed &amp;D</oddHeader>
    <oddFooter>&amp;C&amp;9Risk Register - prompt list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510_09_SD07 Risk register template</dc:title>
  <dc:subject/>
  <dc:creator>Suzanne Littlejohns</dc:creator>
  <cp:keywords/>
  <dc:description>510_09_SD07 version 2
issue date: 30/03/2010</dc:description>
  <cp:lastModifiedBy>Havana Mitcham</cp:lastModifiedBy>
  <cp:lastPrinted>2016-06-28T08:31:18Z</cp:lastPrinted>
  <dcterms:created xsi:type="dcterms:W3CDTF">2002-10-01T15:02:28Z</dcterms:created>
  <dcterms:modified xsi:type="dcterms:W3CDTF">2019-04-09T09:40:51Z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This still needs work on the Risk Reporting section</vt:lpwstr>
  </property>
  <property fmtid="{D5CDD505-2E9C-101B-9397-08002B2CF9AE}" pid="3" name="_NewReviewCycle">
    <vt:lpwstr/>
  </property>
  <property fmtid="{D5CDD505-2E9C-101B-9397-08002B2CF9AE}" pid="4" name="BS_DocClass">
    <vt:lpwstr>CON</vt:lpwstr>
  </property>
</Properties>
</file>