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90" activeTab="2"/>
  </bookViews>
  <sheets>
    <sheet name="Bulk chem" sheetId="1" r:id="rId1"/>
    <sheet name="Bulk Chem Risk" sheetId="2" r:id="rId2"/>
    <sheet name="Relevant Haz Substances" sheetId="3" r:id="rId3"/>
  </sheets>
  <definedNames/>
  <calcPr fullCalcOnLoad="1"/>
</workbook>
</file>

<file path=xl/comments1.xml><?xml version="1.0" encoding="utf-8"?>
<comments xmlns="http://schemas.openxmlformats.org/spreadsheetml/2006/main">
  <authors>
    <author>Fissore, Fabio</author>
  </authors>
  <commentList>
    <comment ref="C29" authorId="0">
      <text>
        <r>
          <rPr>
            <b/>
            <sz val="9"/>
            <rFont val="Tahoma"/>
            <family val="2"/>
          </rPr>
          <t xml:space="preserve">Fissore, Fabio:
</t>
        </r>
        <r>
          <rPr>
            <sz val="9"/>
            <rFont val="Tahoma"/>
            <family val="2"/>
          </rPr>
          <t>No changes from distillery 1 + 2</t>
        </r>
      </text>
    </comment>
    <comment ref="C20" authorId="0">
      <text>
        <r>
          <rPr>
            <b/>
            <sz val="9"/>
            <rFont val="Tahoma"/>
            <family val="0"/>
          </rPr>
          <t>Fissore, Fabio:</t>
        </r>
        <r>
          <rPr>
            <sz val="9"/>
            <rFont val="Tahoma"/>
            <family val="0"/>
          </rPr>
          <t xml:space="preserve">
2 distilleries = double consumption</t>
        </r>
      </text>
    </comment>
  </commentList>
</comments>
</file>

<file path=xl/sharedStrings.xml><?xml version="1.0" encoding="utf-8"?>
<sst xmlns="http://schemas.openxmlformats.org/spreadsheetml/2006/main" count="604" uniqueCount="150">
  <si>
    <t>m3</t>
  </si>
  <si>
    <t>l/h</t>
  </si>
  <si>
    <t>l</t>
  </si>
  <si>
    <t>Sulphuric acid</t>
  </si>
  <si>
    <t>Hydrogen peroxide</t>
  </si>
  <si>
    <t>kg/l</t>
  </si>
  <si>
    <t>[]%</t>
  </si>
  <si>
    <t>kg/y</t>
  </si>
  <si>
    <t>2020 consumption - Distillery 1</t>
  </si>
  <si>
    <t>Distillery 1 + 2</t>
  </si>
  <si>
    <t>kg x delivery</t>
  </si>
  <si>
    <t>Sodium hypochlorite</t>
  </si>
  <si>
    <t>Sodium hydroxide</t>
  </si>
  <si>
    <t>Delivery/month</t>
  </si>
  <si>
    <t>Delivery</t>
  </si>
  <si>
    <t>Bulk</t>
  </si>
  <si>
    <t>IBC</t>
  </si>
  <si>
    <t>Stock capacity</t>
  </si>
  <si>
    <t>Distillery 1 + 2 + Glucose</t>
  </si>
  <si>
    <t>Hydrochloric acid</t>
  </si>
  <si>
    <t>Total bulk deliveries</t>
  </si>
  <si>
    <t>Days</t>
  </si>
  <si>
    <t>Max stock on site</t>
  </si>
  <si>
    <t>50% stock on site</t>
  </si>
  <si>
    <t>Sodium hydroxide in wet mill</t>
  </si>
  <si>
    <t>l/y</t>
  </si>
  <si>
    <t>l/ton flour</t>
  </si>
  <si>
    <t>Sodium hydroxide CIP</t>
  </si>
  <si>
    <t>Flour rate</t>
  </si>
  <si>
    <t>ton/h</t>
  </si>
  <si>
    <t>l/d</t>
  </si>
  <si>
    <t>Keep away from combustible material. Organic materials, Keep away from strong oxidizing agents and strong reducing agents. Copper, Aluminium, Zinc, Iron, Acetone, alkalis, Bases, Metal oxides</t>
  </si>
  <si>
    <t>Acids, ammonium compounds, Acetic anhydride, Organic materials, Hydrogen peroxide, metal salts, Copper, Nickel, Iron</t>
  </si>
  <si>
    <t>Hydrogen chloride gas, Chlorine, chlorine oxides</t>
  </si>
  <si>
    <t>Oxygen</t>
  </si>
  <si>
    <t>Reactivity</t>
  </si>
  <si>
    <t>Chemical stability</t>
  </si>
  <si>
    <t>Possibility of hazardous reactions</t>
  </si>
  <si>
    <t>Conditions to avoid</t>
  </si>
  <si>
    <t>Incompatible materials</t>
  </si>
  <si>
    <t>Hazardous decomposition products</t>
  </si>
  <si>
    <t>Reacts with copper, aluminum, zinc and their alloys.</t>
  </si>
  <si>
    <t>Stable under recommended storage conditions</t>
  </si>
  <si>
    <t>Gives off hydrogen by reaction with metals</t>
  </si>
  <si>
    <t>Heat, flames and sparks.Keep away from direct sunlight.Generation of gas from decomposition causes pressure in closed systems. To avoid thermal decomposition, do not overheat</t>
  </si>
  <si>
    <t>Contact with acids liberates toxic gas</t>
  </si>
  <si>
    <t>Decomposes on heating. Decomposes on exposure to light</t>
  </si>
  <si>
    <t>May develop chlorine if mixed with acidic solutions</t>
  </si>
  <si>
    <t>Keep away from open flames, hot surfaces and sources of ignition.Keep away from direct sunlight. Thermal decomposition &gt; 111 °C</t>
  </si>
  <si>
    <t>No decomposition if stored and applied as directed. Corrosive in contact with metals</t>
  </si>
  <si>
    <t>Reacts exothermically with water. Gives off hydrogen by reaction with metals. Exothermic reaction with: Alkali metals Bases Hydrogen peroxide Risk of explosion</t>
  </si>
  <si>
    <t>Heat</t>
  </si>
  <si>
    <t>Organic materials, Bases, Reducing agents, Metals</t>
  </si>
  <si>
    <t>Under fire conditions: Sulphur oxides</t>
  </si>
  <si>
    <t>Reactions with the following materials may generate heat: Acids. In contact with some metals can generate hydrogen gas, which can form explosive mixtures with air.</t>
  </si>
  <si>
    <t>Stable at normal ambient temperatures and when used as recommended</t>
  </si>
  <si>
    <t>Reacts violently with water</t>
  </si>
  <si>
    <t>Avoid excessive heat for prolonged periods of time</t>
  </si>
  <si>
    <t>Strong acids. Other halogenated organics</t>
  </si>
  <si>
    <t>When heated, vapours/gases hazardous to health may be formed</t>
  </si>
  <si>
    <t>Stable under normal temperature conditions</t>
  </si>
  <si>
    <t>In contact with metals liberates flammable hydrogen gas, which may form explosive mixtures in a confined space</t>
  </si>
  <si>
    <t>Toxic gases are generated when heated. Reacts with alkalis and amines generating excessive heat</t>
  </si>
  <si>
    <t>Strong alkalis. Metals.</t>
  </si>
  <si>
    <t>Irritating gases/vapours/fumes of: Chlorine. Hydrogen chloride (HCl)</t>
  </si>
  <si>
    <t>5 days storage m3</t>
  </si>
  <si>
    <t>Name</t>
  </si>
  <si>
    <t>kg/month</t>
  </si>
  <si>
    <t>Comments</t>
  </si>
  <si>
    <t>Yeast</t>
  </si>
  <si>
    <t>Monthly</t>
  </si>
  <si>
    <t>Ventilation. Stable, non reactive</t>
  </si>
  <si>
    <t>Antifoam distillery</t>
  </si>
  <si>
    <t>Viscamyl pro</t>
  </si>
  <si>
    <t>Saczyme Go</t>
  </si>
  <si>
    <t>Acetic acid</t>
  </si>
  <si>
    <t>Yearly</t>
  </si>
  <si>
    <t>Sodium bicarbonate</t>
  </si>
  <si>
    <t>Formic acid</t>
  </si>
  <si>
    <t>Diammonium phosphate</t>
  </si>
  <si>
    <t>Ammonium sulphate</t>
  </si>
  <si>
    <t>Deltazym</t>
  </si>
  <si>
    <t>Cassurit</t>
  </si>
  <si>
    <t>Colatan</t>
  </si>
  <si>
    <t>Sodium carbonate</t>
  </si>
  <si>
    <t>LpHera</t>
  </si>
  <si>
    <t>Antifoam mylbond</t>
  </si>
  <si>
    <t>FoodPro DCF9839</t>
  </si>
  <si>
    <t>Hazardous reactions, Incompatible with oxidizing agents. Gives off hydrogen by reaction with metals. Materials to avoid: Oxidizing agents, Acids, Bases, Alcohols, Light metals, Nitric acid, Reacts with base metals</t>
  </si>
  <si>
    <t>Distillery 1 scenario</t>
  </si>
  <si>
    <t>Materials to avoid Strong acids</t>
  </si>
  <si>
    <t>Spot</t>
  </si>
  <si>
    <t>Quarterly</t>
  </si>
  <si>
    <t>Bimonthly</t>
  </si>
  <si>
    <t>Unit/y</t>
  </si>
  <si>
    <t>kg/unit</t>
  </si>
  <si>
    <t>Biweekly</t>
  </si>
  <si>
    <t>Optimash BG</t>
  </si>
  <si>
    <t>Protect from freeze. Incompatible materials: Oxidizing agent</t>
  </si>
  <si>
    <t>Ideally storage at 0-10 C degree. Stable, not reactive</t>
  </si>
  <si>
    <t>Keep away from strong acids and oxidizers. Do not freeze</t>
  </si>
  <si>
    <t>Product is hygroscopic. Do not store near acids.</t>
  </si>
  <si>
    <t>Store in dry, cool, well-ventilated area. Incompatible materials: strong acids</t>
  </si>
  <si>
    <t>Segregate from alkalies, alkalising, nitrites and alkaline substances.</t>
  </si>
  <si>
    <t>Stable under normal conditions. Incompatible with strong bases.</t>
  </si>
  <si>
    <t>Keep in a well-ventilated place. Materials to avoid: alkalis, alkalines, sulphuric acid, peroxides, e.g. hydrogen peroxide</t>
  </si>
  <si>
    <t>Keep away from direct sunlight. Materials to avoid: Acids, ammonium compounds, Acetic anhydride, Organic materials, Hydrogen peroxide, metal salts, Copper, Nickel, Iron</t>
  </si>
  <si>
    <t>Materials to avoid: ammonium compounds, mixture with water or acids will release large quantities of heat.</t>
  </si>
  <si>
    <t>Incompatible materials: not known</t>
  </si>
  <si>
    <t>Materials to avoid: Keep away from combustible material, Organic materials, Keep away from strong oxidizing agents and strong reducing agents. Copper, Aluminium, Zinc, Iron, Acetone, alkalis, Bases, Metal oxides</t>
  </si>
  <si>
    <t>Average stock x unit</t>
  </si>
  <si>
    <t>Permatreat PC-191T</t>
  </si>
  <si>
    <t>Incompatible materials: Strong oxidizing agents Strong acids</t>
  </si>
  <si>
    <t>Boilers chemicals/others</t>
  </si>
  <si>
    <t>Distillery 1 + 2 scenario</t>
  </si>
  <si>
    <t>Sixmonthly</t>
  </si>
  <si>
    <t>2 months stock</t>
  </si>
  <si>
    <t>Total enzyme/antifoam</t>
  </si>
  <si>
    <t>Total liquid chemicals</t>
  </si>
  <si>
    <t>Total powders</t>
  </si>
  <si>
    <t>Total</t>
  </si>
  <si>
    <t>Solubility</t>
  </si>
  <si>
    <t>Toxicity</t>
  </si>
  <si>
    <t>Mobility</t>
  </si>
  <si>
    <t>Persistence</t>
  </si>
  <si>
    <t>Soil and Groundwater Pollution Potential</t>
  </si>
  <si>
    <t>Complete</t>
  </si>
  <si>
    <t>Acute</t>
  </si>
  <si>
    <t>High</t>
  </si>
  <si>
    <t xml:space="preserve">Low </t>
  </si>
  <si>
    <t>Can cause a strong drop in the pH value of water and soil</t>
  </si>
  <si>
    <t>Low</t>
  </si>
  <si>
    <t>Can cause a strong rise in the pH value of water and soil</t>
  </si>
  <si>
    <t>Medium</t>
  </si>
  <si>
    <t>Chemical Characteristics</t>
  </si>
  <si>
    <t>Physical State</t>
  </si>
  <si>
    <t>Corrosive</t>
  </si>
  <si>
    <t>Toxic</t>
  </si>
  <si>
    <t>Liquid</t>
  </si>
  <si>
    <t>Corrosive
Toxic
Chronic</t>
  </si>
  <si>
    <t>High potential for mobility in
soil</t>
  </si>
  <si>
    <t>Solid</t>
  </si>
  <si>
    <t>Potential for mobility in soil,
soluble in water</t>
  </si>
  <si>
    <t>Irritant</t>
  </si>
  <si>
    <t>Corrosive Irritant</t>
  </si>
  <si>
    <t>Flammable
Corrosive</t>
  </si>
  <si>
    <t>Flammable
Irritant</t>
  </si>
  <si>
    <t>Corrosive
Irritant</t>
  </si>
  <si>
    <t>Storage</t>
  </si>
  <si>
    <t>Deliveries are made in bulk tankers and the RHS is automatically fed into the plant.  The tanks and bund are inspected regularly as part of the site’s PPM schedule.  Tanks and ETP are alarmed for failure.  Site storage is fully bunded on impermeable hard standing with drainage to ETP to allo for additional control of unexpected releases.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</si>
</sst>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1"/>
      <color theme="1"/>
      <name val="Calibri"/>
      <family val="2"/>
    </font>
    <font>
      <sz val="12"/>
      <color indexed="8"/>
      <name val="Arial"/>
      <family val="2"/>
    </font>
    <font>
      <sz val="8"/>
      <name val="Calibri"/>
      <family val="2"/>
    </font>
    <font>
      <sz val="9"/>
      <name val="Tahoma"/>
      <family val="2"/>
    </font>
    <font>
      <b/>
      <sz val="9"/>
      <name val="Tahoma"/>
      <family val="2"/>
    </font>
    <font>
      <sz val="11"/>
      <color indexed="8"/>
      <name val="Calibri"/>
      <family val="2"/>
    </font>
    <font>
      <b/>
      <sz val="11"/>
      <color indexed="8"/>
      <name val="Calibri"/>
      <family val="2"/>
    </font>
    <font>
      <sz val="11"/>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sz val="11"/>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7" tint="-0.24997000396251678"/>
        <bgColor indexed="64"/>
      </patternFill>
    </fill>
    <fill>
      <patternFill patternType="solid">
        <fgColor rgb="FF0070C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right/>
      <top/>
      <bottom style="medium"/>
    </border>
    <border>
      <left/>
      <right/>
      <top/>
      <bottom style="thin"/>
    </border>
    <border>
      <left style="thin"/>
      <right/>
      <top/>
      <bottom style="medium"/>
    </border>
    <border>
      <left style="thin"/>
      <right/>
      <top style="medium"/>
      <bottom style="thin"/>
    </border>
    <border>
      <left style="thin"/>
      <right/>
      <top style="thin"/>
      <bottom style="thin"/>
    </border>
    <border>
      <left style="thin"/>
      <right/>
      <top/>
      <bottom/>
    </border>
    <border>
      <left style="thin"/>
      <right style="thin"/>
      <top/>
      <bottom style="medium"/>
    </border>
    <border>
      <left style="thin"/>
      <right style="thin"/>
      <top style="medium"/>
      <bottom style="thin"/>
    </border>
    <border>
      <left style="thin"/>
      <right style="thin"/>
      <top style="thin"/>
      <bottom style="thin"/>
    </border>
    <border>
      <left style="thin"/>
      <right style="thin"/>
      <top/>
      <bottom/>
    </border>
    <border>
      <left/>
      <right style="thin"/>
      <top/>
      <bottom style="medium"/>
    </border>
    <border>
      <left/>
      <right style="thin"/>
      <top style="medium"/>
      <bottom style="thin"/>
    </border>
    <border>
      <left/>
      <right style="thin"/>
      <top style="thin"/>
      <bottom style="thin"/>
    </border>
    <border>
      <left/>
      <right style="thin"/>
      <top/>
      <bottom/>
    </border>
    <border>
      <left/>
      <right style="medium"/>
      <top style="medium"/>
      <bottom style="thin"/>
    </border>
    <border>
      <left/>
      <right style="medium"/>
      <top style="thin"/>
      <bottom style="thin"/>
    </border>
    <border>
      <left/>
      <right style="medium"/>
      <top/>
      <bottom/>
    </border>
    <border>
      <left/>
      <right/>
      <top style="medium"/>
      <bottom/>
    </border>
    <border>
      <left/>
      <right/>
      <top style="medium"/>
      <bottom style="medium"/>
    </border>
    <border>
      <left style="medium"/>
      <right/>
      <top style="medium"/>
      <bottom/>
    </border>
    <border>
      <left/>
      <right style="medium"/>
      <top style="medium"/>
      <bottom/>
    </border>
    <border>
      <left style="medium"/>
      <right/>
      <top/>
      <bottom/>
    </border>
    <border>
      <left style="medium"/>
      <right/>
      <top/>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1">
    <xf numFmtId="0" fontId="0" fillId="0" borderId="0" xfId="0" applyFont="1" applyAlignment="1">
      <alignment/>
    </xf>
    <xf numFmtId="0" fontId="0" fillId="0" borderId="10" xfId="0" applyBorder="1" applyAlignment="1">
      <alignment wrapText="1"/>
    </xf>
    <xf numFmtId="0" fontId="0" fillId="0" borderId="0" xfId="0" applyAlignment="1">
      <alignment wrapText="1"/>
    </xf>
    <xf numFmtId="0" fontId="0" fillId="0" borderId="11" xfId="0" applyBorder="1" applyAlignment="1">
      <alignment/>
    </xf>
    <xf numFmtId="0" fontId="0" fillId="0" borderId="0" xfId="0" applyAlignment="1">
      <alignment horizontal="center" vertical="center"/>
    </xf>
    <xf numFmtId="164" fontId="0" fillId="0" borderId="0" xfId="0" applyNumberFormat="1" applyAlignment="1">
      <alignment horizontal="center" vertical="center"/>
    </xf>
    <xf numFmtId="1"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right" vertical="center"/>
    </xf>
    <xf numFmtId="1" fontId="0" fillId="33" borderId="0" xfId="0" applyNumberFormat="1" applyFill="1" applyAlignment="1">
      <alignment horizontal="center" vertical="center"/>
    </xf>
    <xf numFmtId="164" fontId="0" fillId="33" borderId="0" xfId="0" applyNumberFormat="1" applyFill="1" applyAlignment="1">
      <alignment horizontal="center" vertical="center"/>
    </xf>
    <xf numFmtId="3" fontId="0" fillId="0" borderId="0" xfId="0" applyNumberFormat="1" applyAlignment="1">
      <alignment/>
    </xf>
    <xf numFmtId="0" fontId="0" fillId="0" borderId="11" xfId="0" applyBorder="1" applyAlignment="1">
      <alignment horizontal="center" vertical="center"/>
    </xf>
    <xf numFmtId="3" fontId="0" fillId="0" borderId="11" xfId="0" applyNumberFormat="1" applyBorder="1" applyAlignment="1">
      <alignment horizontal="center" vertical="center"/>
    </xf>
    <xf numFmtId="1" fontId="0" fillId="0" borderId="11" xfId="0" applyNumberFormat="1" applyBorder="1" applyAlignment="1">
      <alignment horizontal="center" vertical="center"/>
    </xf>
    <xf numFmtId="164" fontId="0" fillId="0" borderId="11" xfId="0" applyNumberFormat="1" applyBorder="1" applyAlignment="1">
      <alignment horizontal="center" vertical="center"/>
    </xf>
    <xf numFmtId="0" fontId="41" fillId="0" borderId="12" xfId="0" applyFont="1" applyBorder="1" applyAlignment="1">
      <alignment/>
    </xf>
    <xf numFmtId="0" fontId="0" fillId="0" borderId="12" xfId="0" applyBorder="1" applyAlignment="1">
      <alignment horizontal="right" vertical="center"/>
    </xf>
    <xf numFmtId="0" fontId="0" fillId="0" borderId="12" xfId="0" applyBorder="1" applyAlignment="1">
      <alignment horizontal="center" vertical="center"/>
    </xf>
    <xf numFmtId="0" fontId="0" fillId="0" borderId="12" xfId="0" applyBorder="1" applyAlignment="1">
      <alignment/>
    </xf>
    <xf numFmtId="0" fontId="0" fillId="0" borderId="13"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center"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1" xfId="0" applyFill="1" applyBorder="1" applyAlignment="1">
      <alignment/>
    </xf>
    <xf numFmtId="0" fontId="41" fillId="0" borderId="0" xfId="0" applyFont="1" applyAlignment="1">
      <alignment horizontal="left" vertical="center"/>
    </xf>
    <xf numFmtId="0" fontId="41" fillId="0" borderId="0" xfId="0" applyFont="1" applyAlignment="1">
      <alignment horizontal="center" vertical="center"/>
    </xf>
    <xf numFmtId="3" fontId="0" fillId="13" borderId="28" xfId="0" applyNumberFormat="1" applyFill="1" applyBorder="1" applyAlignment="1">
      <alignment horizontal="center" vertical="center"/>
    </xf>
    <xf numFmtId="0" fontId="0" fillId="13" borderId="28" xfId="0" applyFill="1" applyBorder="1" applyAlignment="1">
      <alignment horizontal="center" vertical="center"/>
    </xf>
    <xf numFmtId="3" fontId="0" fillId="13" borderId="0" xfId="0" applyNumberFormat="1" applyFill="1" applyBorder="1" applyAlignment="1">
      <alignment horizontal="center" vertical="center"/>
    </xf>
    <xf numFmtId="0" fontId="0" fillId="13" borderId="0" xfId="0" applyFill="1" applyBorder="1" applyAlignment="1">
      <alignment horizontal="center" vertical="center"/>
    </xf>
    <xf numFmtId="0" fontId="0" fillId="13" borderId="27" xfId="0" applyFill="1" applyBorder="1" applyAlignment="1">
      <alignment horizontal="left"/>
    </xf>
    <xf numFmtId="3" fontId="0" fillId="13" borderId="11" xfId="0" applyNumberFormat="1" applyFill="1" applyBorder="1" applyAlignment="1">
      <alignment horizontal="center" vertical="center"/>
    </xf>
    <xf numFmtId="0" fontId="0" fillId="13" borderId="11" xfId="0" applyFill="1" applyBorder="1" applyAlignment="1">
      <alignment horizontal="center" vertical="center"/>
    </xf>
    <xf numFmtId="3" fontId="0" fillId="0" borderId="0" xfId="0" applyNumberFormat="1" applyBorder="1" applyAlignment="1">
      <alignment horizontal="center" vertical="center"/>
    </xf>
    <xf numFmtId="0" fontId="0" fillId="0" borderId="0" xfId="0" applyBorder="1" applyAlignment="1">
      <alignment horizontal="center" vertical="center"/>
    </xf>
    <xf numFmtId="0" fontId="41" fillId="0" borderId="0" xfId="0" applyFont="1" applyAlignment="1">
      <alignment horizontal="center" vertical="center" wrapText="1"/>
    </xf>
    <xf numFmtId="3" fontId="0" fillId="8" borderId="0" xfId="0" applyNumberFormat="1" applyFill="1" applyBorder="1" applyAlignment="1">
      <alignment horizontal="center" vertical="center"/>
    </xf>
    <xf numFmtId="0" fontId="0" fillId="8" borderId="0" xfId="0" applyFill="1" applyBorder="1" applyAlignment="1">
      <alignment horizontal="center" vertical="center"/>
    </xf>
    <xf numFmtId="3" fontId="0" fillId="2" borderId="0" xfId="0" applyNumberFormat="1" applyFill="1" applyBorder="1" applyAlignment="1">
      <alignment horizontal="center" vertical="center"/>
    </xf>
    <xf numFmtId="0" fontId="0" fillId="2" borderId="0" xfId="0" applyFill="1" applyBorder="1" applyAlignment="1">
      <alignment horizontal="center" vertical="center"/>
    </xf>
    <xf numFmtId="3" fontId="0" fillId="14" borderId="11" xfId="0" applyNumberFormat="1" applyFill="1" applyBorder="1" applyAlignment="1">
      <alignment horizontal="center" vertical="center"/>
    </xf>
    <xf numFmtId="0" fontId="0" fillId="14" borderId="11" xfId="0" applyFill="1" applyBorder="1" applyAlignment="1">
      <alignment horizontal="center" vertical="center"/>
    </xf>
    <xf numFmtId="3" fontId="0" fillId="18" borderId="28" xfId="0" applyNumberFormat="1" applyFill="1" applyBorder="1" applyAlignment="1">
      <alignment horizontal="center" vertical="center"/>
    </xf>
    <xf numFmtId="0" fontId="0" fillId="18" borderId="28" xfId="0" applyFill="1" applyBorder="1" applyAlignment="1">
      <alignment horizontal="center" vertical="center"/>
    </xf>
    <xf numFmtId="0" fontId="7" fillId="17" borderId="28" xfId="0" applyFont="1" applyFill="1" applyBorder="1" applyAlignment="1">
      <alignment horizontal="center" vertical="center"/>
    </xf>
    <xf numFmtId="3" fontId="0" fillId="17" borderId="28" xfId="0" applyNumberFormat="1" applyFill="1" applyBorder="1" applyAlignment="1">
      <alignment horizontal="center" vertical="center"/>
    </xf>
    <xf numFmtId="0" fontId="0" fillId="17" borderId="28" xfId="0" applyFill="1" applyBorder="1" applyAlignment="1">
      <alignment horizontal="center" vertical="center"/>
    </xf>
    <xf numFmtId="3" fontId="0" fillId="5" borderId="0" xfId="0" applyNumberFormat="1" applyFill="1" applyBorder="1" applyAlignment="1">
      <alignment horizontal="center" vertical="center"/>
    </xf>
    <xf numFmtId="0" fontId="0" fillId="5" borderId="0" xfId="0" applyFill="1" applyBorder="1" applyAlignment="1">
      <alignment horizontal="center" vertical="center"/>
    </xf>
    <xf numFmtId="3" fontId="0" fillId="34" borderId="0" xfId="0" applyNumberFormat="1" applyFill="1" applyBorder="1" applyAlignment="1">
      <alignment horizontal="center" vertical="center"/>
    </xf>
    <xf numFmtId="0" fontId="0" fillId="34" borderId="0" xfId="0" applyFill="1" applyBorder="1" applyAlignment="1">
      <alignment horizontal="center" vertical="center"/>
    </xf>
    <xf numFmtId="3" fontId="0" fillId="34" borderId="11" xfId="0" applyNumberFormat="1" applyFill="1" applyBorder="1" applyAlignment="1">
      <alignment horizontal="center" vertical="center"/>
    </xf>
    <xf numFmtId="0" fontId="0" fillId="34" borderId="11" xfId="0" applyFill="1" applyBorder="1" applyAlignment="1">
      <alignment horizontal="center" vertical="center"/>
    </xf>
    <xf numFmtId="3" fontId="0" fillId="0" borderId="0" xfId="0" applyNumberFormat="1" applyFill="1" applyBorder="1" applyAlignment="1">
      <alignment horizontal="center" vertical="center"/>
    </xf>
    <xf numFmtId="0" fontId="0" fillId="0" borderId="0" xfId="0" applyFill="1" applyBorder="1" applyAlignment="1">
      <alignment horizontal="center" vertical="center"/>
    </xf>
    <xf numFmtId="3" fontId="41" fillId="0" borderId="0" xfId="0" applyNumberFormat="1" applyFont="1" applyFill="1" applyBorder="1" applyAlignment="1">
      <alignment horizontal="center" vertical="center"/>
    </xf>
    <xf numFmtId="3" fontId="0" fillId="33" borderId="0" xfId="0" applyNumberFormat="1" applyFill="1" applyBorder="1" applyAlignment="1">
      <alignment horizontal="center" vertical="center"/>
    </xf>
    <xf numFmtId="3" fontId="41" fillId="33" borderId="0" xfId="0" applyNumberFormat="1" applyFont="1" applyFill="1" applyBorder="1" applyAlignment="1">
      <alignment horizontal="center" vertical="center"/>
    </xf>
    <xf numFmtId="0" fontId="0" fillId="33" borderId="0" xfId="0" applyFill="1" applyBorder="1" applyAlignment="1">
      <alignment horizontal="center" vertical="center"/>
    </xf>
    <xf numFmtId="3" fontId="41" fillId="35" borderId="0" xfId="0" applyNumberFormat="1" applyFont="1" applyFill="1" applyBorder="1" applyAlignment="1">
      <alignment horizontal="center" vertical="center"/>
    </xf>
    <xf numFmtId="0" fontId="41" fillId="35" borderId="0" xfId="0" applyFont="1" applyFill="1" applyBorder="1" applyAlignment="1">
      <alignment horizontal="center" vertical="center"/>
    </xf>
    <xf numFmtId="3" fontId="0" fillId="36" borderId="29" xfId="0" applyNumberFormat="1" applyFill="1" applyBorder="1" applyAlignment="1">
      <alignment horizontal="center" vertical="center"/>
    </xf>
    <xf numFmtId="3" fontId="41" fillId="36" borderId="29" xfId="0" applyNumberFormat="1" applyFont="1" applyFill="1" applyBorder="1" applyAlignment="1">
      <alignment horizontal="center" vertical="center"/>
    </xf>
    <xf numFmtId="0" fontId="0" fillId="36" borderId="29" xfId="0" applyFill="1" applyBorder="1" applyAlignment="1">
      <alignment horizontal="center" vertical="center"/>
    </xf>
    <xf numFmtId="3" fontId="41" fillId="33" borderId="0" xfId="0" applyNumberFormat="1" applyFont="1" applyFill="1" applyBorder="1" applyAlignment="1">
      <alignment horizontal="right" vertical="center"/>
    </xf>
    <xf numFmtId="3" fontId="41" fillId="35" borderId="0" xfId="0" applyNumberFormat="1" applyFont="1" applyFill="1" applyBorder="1" applyAlignment="1">
      <alignment horizontal="right" vertical="center"/>
    </xf>
    <xf numFmtId="3" fontId="41" fillId="36" borderId="29" xfId="0"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0" fontId="41" fillId="0" borderId="0" xfId="0" applyFont="1" applyAlignment="1">
      <alignment horizontal="left" vertical="center" wrapText="1"/>
    </xf>
    <xf numFmtId="0" fontId="41" fillId="0" borderId="0" xfId="0" applyFont="1" applyAlignment="1">
      <alignment wrapText="1"/>
    </xf>
    <xf numFmtId="0" fontId="0" fillId="13" borderId="0" xfId="0" applyFill="1" applyBorder="1" applyAlignment="1">
      <alignment horizontal="center" vertical="center" wrapText="1"/>
    </xf>
    <xf numFmtId="0" fontId="0" fillId="18" borderId="28" xfId="0" applyFill="1" applyBorder="1" applyAlignment="1">
      <alignment horizontal="center" vertical="center" wrapText="1"/>
    </xf>
    <xf numFmtId="0" fontId="0" fillId="2" borderId="0" xfId="0" applyFill="1" applyBorder="1" applyAlignment="1">
      <alignment horizontal="center" vertical="center" wrapText="1"/>
    </xf>
    <xf numFmtId="0" fontId="0" fillId="8" borderId="0" xfId="0" applyFill="1" applyBorder="1" applyAlignment="1">
      <alignment horizontal="center" vertical="center" wrapText="1"/>
    </xf>
    <xf numFmtId="0" fontId="0" fillId="0" borderId="0" xfId="0" applyAlignment="1">
      <alignment/>
    </xf>
    <xf numFmtId="0" fontId="0" fillId="0" borderId="12" xfId="0" applyBorder="1" applyAlignment="1">
      <alignment/>
    </xf>
    <xf numFmtId="0" fontId="41" fillId="0" borderId="0" xfId="0" applyFont="1" applyAlignment="1">
      <alignment/>
    </xf>
    <xf numFmtId="0" fontId="0" fillId="13" borderId="30" xfId="0" applyFill="1" applyBorder="1" applyAlignment="1">
      <alignment/>
    </xf>
    <xf numFmtId="0" fontId="0" fillId="13" borderId="31" xfId="0" applyFill="1" applyBorder="1" applyAlignment="1">
      <alignment/>
    </xf>
    <xf numFmtId="0" fontId="0" fillId="13" borderId="32" xfId="0" applyFill="1" applyBorder="1" applyAlignment="1">
      <alignment/>
    </xf>
    <xf numFmtId="0" fontId="0" fillId="13" borderId="27" xfId="0" applyFill="1" applyBorder="1" applyAlignment="1">
      <alignment/>
    </xf>
    <xf numFmtId="0" fontId="0" fillId="13" borderId="33" xfId="0" applyFill="1" applyBorder="1" applyAlignment="1">
      <alignment/>
    </xf>
    <xf numFmtId="0" fontId="0" fillId="13" borderId="10" xfId="0" applyFill="1" applyBorder="1" applyAlignment="1">
      <alignment/>
    </xf>
    <xf numFmtId="0" fontId="41" fillId="33" borderId="32" xfId="0" applyFont="1" applyFill="1" applyBorder="1" applyAlignment="1">
      <alignment/>
    </xf>
    <xf numFmtId="0" fontId="0" fillId="33" borderId="27" xfId="0" applyFill="1" applyBorder="1" applyAlignment="1">
      <alignment/>
    </xf>
    <xf numFmtId="0" fontId="0" fillId="18" borderId="30" xfId="0" applyFill="1" applyBorder="1" applyAlignment="1">
      <alignment/>
    </xf>
    <xf numFmtId="0" fontId="0" fillId="18" borderId="31" xfId="0" applyFill="1" applyBorder="1" applyAlignment="1">
      <alignment/>
    </xf>
    <xf numFmtId="0" fontId="0" fillId="2" borderId="32" xfId="0" applyFill="1" applyBorder="1" applyAlignment="1">
      <alignment/>
    </xf>
    <xf numFmtId="0" fontId="0" fillId="2" borderId="27" xfId="0" applyFill="1" applyBorder="1" applyAlignment="1">
      <alignment/>
    </xf>
    <xf numFmtId="0" fontId="0" fillId="8" borderId="32" xfId="0" applyFill="1" applyBorder="1" applyAlignment="1">
      <alignment/>
    </xf>
    <xf numFmtId="0" fontId="0" fillId="8" borderId="27" xfId="0" applyFill="1" applyBorder="1" applyAlignment="1">
      <alignment/>
    </xf>
    <xf numFmtId="0" fontId="0" fillId="0" borderId="32" xfId="0" applyBorder="1" applyAlignment="1">
      <alignment/>
    </xf>
    <xf numFmtId="0" fontId="0" fillId="0" borderId="27" xfId="0" applyBorder="1" applyAlignment="1">
      <alignment/>
    </xf>
    <xf numFmtId="0" fontId="0" fillId="14" borderId="33" xfId="0" applyFill="1" applyBorder="1" applyAlignment="1">
      <alignment/>
    </xf>
    <xf numFmtId="0" fontId="0" fillId="14" borderId="10" xfId="0" applyFill="1" applyBorder="1" applyAlignment="1">
      <alignment/>
    </xf>
    <xf numFmtId="0" fontId="41" fillId="35" borderId="32" xfId="0" applyFont="1" applyFill="1" applyBorder="1" applyAlignment="1">
      <alignment/>
    </xf>
    <xf numFmtId="0" fontId="41" fillId="35" borderId="0" xfId="0" applyFont="1" applyFill="1" applyBorder="1" applyAlignment="1">
      <alignment/>
    </xf>
    <xf numFmtId="0" fontId="0" fillId="17" borderId="30" xfId="0" applyFill="1" applyBorder="1" applyAlignment="1">
      <alignment/>
    </xf>
    <xf numFmtId="0" fontId="0" fillId="17" borderId="31" xfId="0" applyFill="1" applyBorder="1" applyAlignment="1">
      <alignment/>
    </xf>
    <xf numFmtId="0" fontId="0" fillId="5" borderId="32" xfId="0" applyFill="1" applyBorder="1" applyAlignment="1">
      <alignment/>
    </xf>
    <xf numFmtId="0" fontId="0" fillId="5" borderId="27" xfId="0" applyFill="1" applyBorder="1" applyAlignment="1">
      <alignment/>
    </xf>
    <xf numFmtId="0" fontId="0" fillId="34" borderId="32" xfId="0" applyFill="1" applyBorder="1" applyAlignment="1">
      <alignment/>
    </xf>
    <xf numFmtId="0" fontId="0" fillId="34" borderId="27" xfId="0" applyFill="1" applyBorder="1" applyAlignment="1">
      <alignment/>
    </xf>
    <xf numFmtId="0" fontId="0" fillId="34" borderId="33" xfId="0" applyFill="1" applyBorder="1" applyAlignment="1">
      <alignment/>
    </xf>
    <xf numFmtId="0" fontId="0" fillId="34" borderId="10" xfId="0" applyFill="1" applyBorder="1" applyAlignment="1">
      <alignment/>
    </xf>
    <xf numFmtId="0" fontId="41" fillId="36" borderId="34" xfId="0" applyFont="1" applyFill="1" applyBorder="1" applyAlignment="1">
      <alignment/>
    </xf>
    <xf numFmtId="0" fontId="0" fillId="36" borderId="35" xfId="0" applyFill="1" applyBorder="1" applyAlignment="1">
      <alignment/>
    </xf>
    <xf numFmtId="0" fontId="0" fillId="0" borderId="0" xfId="0" applyFill="1" applyBorder="1" applyAlignment="1">
      <alignment/>
    </xf>
    <xf numFmtId="0" fontId="0" fillId="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5"/>
  <sheetViews>
    <sheetView zoomScalePageLayoutView="0" workbookViewId="0" topLeftCell="A1">
      <selection activeCell="G44" sqref="G43:G44"/>
    </sheetView>
  </sheetViews>
  <sheetFormatPr defaultColWidth="9.140625" defaultRowHeight="15"/>
  <cols>
    <col min="1" max="1" width="27.140625" style="0" customWidth="1"/>
    <col min="2" max="2" width="8.8515625" style="0" customWidth="1"/>
    <col min="3" max="3" width="9.8515625" style="0" bestFit="1" customWidth="1"/>
    <col min="5" max="5" width="9.28125" style="0" bestFit="1" customWidth="1"/>
    <col min="8" max="8" width="10.8515625" style="0" bestFit="1" customWidth="1"/>
    <col min="9" max="9" width="9.28125" style="0" customWidth="1"/>
    <col min="10" max="10" width="14.8515625" style="0" bestFit="1" customWidth="1"/>
    <col min="11" max="12" width="15.7109375" style="0" bestFit="1" customWidth="1"/>
    <col min="14" max="14" width="13.00390625" style="0" bestFit="1" customWidth="1"/>
    <col min="17" max="17" width="16.28125" style="0" bestFit="1" customWidth="1"/>
  </cols>
  <sheetData>
    <row r="1" spans="1:12" ht="15">
      <c r="A1" s="16" t="s">
        <v>8</v>
      </c>
      <c r="B1" s="16"/>
      <c r="C1" s="17" t="s">
        <v>28</v>
      </c>
      <c r="D1" s="18">
        <v>25.2</v>
      </c>
      <c r="E1" s="19" t="s">
        <v>29</v>
      </c>
      <c r="K1" s="4" t="s">
        <v>22</v>
      </c>
      <c r="L1" s="4" t="s">
        <v>23</v>
      </c>
    </row>
    <row r="2" spans="1:16" ht="15.75" thickBot="1">
      <c r="A2" s="3"/>
      <c r="B2" s="12" t="s">
        <v>6</v>
      </c>
      <c r="C2" s="12" t="s">
        <v>7</v>
      </c>
      <c r="D2" s="12" t="s">
        <v>5</v>
      </c>
      <c r="E2" s="12" t="s">
        <v>2</v>
      </c>
      <c r="F2" s="12" t="s">
        <v>1</v>
      </c>
      <c r="G2" s="12" t="s">
        <v>30</v>
      </c>
      <c r="H2" s="12" t="s">
        <v>10</v>
      </c>
      <c r="I2" s="12" t="s">
        <v>14</v>
      </c>
      <c r="J2" s="12" t="s">
        <v>13</v>
      </c>
      <c r="K2" s="12" t="s">
        <v>21</v>
      </c>
      <c r="L2" s="12" t="s">
        <v>21</v>
      </c>
      <c r="M2" s="3"/>
      <c r="N2" s="12" t="s">
        <v>17</v>
      </c>
      <c r="O2" s="3"/>
      <c r="P2" s="12" t="s">
        <v>14</v>
      </c>
    </row>
    <row r="3" spans="1:16" ht="15">
      <c r="A3" t="s">
        <v>12</v>
      </c>
      <c r="B3" s="4">
        <v>32</v>
      </c>
      <c r="C3" s="7">
        <v>2125629.471</v>
      </c>
      <c r="D3" s="4">
        <v>1.35</v>
      </c>
      <c r="E3" s="7">
        <f>C3/D3</f>
        <v>1574540.3488888887</v>
      </c>
      <c r="F3" s="7">
        <f>E3/365/24</f>
        <v>179.74204895991878</v>
      </c>
      <c r="G3" s="7">
        <f>F3*24</f>
        <v>4313.809175038051</v>
      </c>
      <c r="H3" s="7">
        <v>28000</v>
      </c>
      <c r="I3" s="4" t="s">
        <v>15</v>
      </c>
      <c r="J3" s="6">
        <f>C3/H3/12</f>
        <v>6.326278187499999</v>
      </c>
      <c r="K3" s="5">
        <f>N3*1000/F3/24</f>
        <v>18.545094776774484</v>
      </c>
      <c r="L3" s="5">
        <f>N3*1000/F3/24*0.5</f>
        <v>9.272547388387242</v>
      </c>
      <c r="N3" s="4">
        <v>80</v>
      </c>
      <c r="O3" t="s">
        <v>0</v>
      </c>
      <c r="P3" s="5">
        <f>N3/(H3/D3)*1000</f>
        <v>3.857142857142857</v>
      </c>
    </row>
    <row r="4" spans="1:16" ht="15">
      <c r="A4" t="s">
        <v>3</v>
      </c>
      <c r="B4" s="4">
        <v>98</v>
      </c>
      <c r="C4" s="7">
        <v>294720.39999999997</v>
      </c>
      <c r="D4" s="4">
        <v>1.84</v>
      </c>
      <c r="E4" s="7">
        <f>C4/D4</f>
        <v>160174.1304347826</v>
      </c>
      <c r="F4" s="7">
        <f>E4/365/24</f>
        <v>18.284718086162396</v>
      </c>
      <c r="G4" s="7">
        <f>F4*24</f>
        <v>438.8332340678975</v>
      </c>
      <c r="H4" s="7">
        <v>25000</v>
      </c>
      <c r="I4" s="4" t="s">
        <v>15</v>
      </c>
      <c r="J4" s="6">
        <f>C4/H4/12</f>
        <v>0.9824013333333332</v>
      </c>
      <c r="K4" s="5">
        <f>N4*1000/F4/24</f>
        <v>91.15079919815527</v>
      </c>
      <c r="L4" s="5">
        <f>N4*1000/F4/24*0.5</f>
        <v>45.575399599077635</v>
      </c>
      <c r="N4" s="4">
        <v>40</v>
      </c>
      <c r="O4" t="s">
        <v>0</v>
      </c>
      <c r="P4" s="5">
        <f>N4/(H4/D4)*1000</f>
        <v>2.944</v>
      </c>
    </row>
    <row r="5" spans="1:15" ht="15">
      <c r="A5" t="s">
        <v>4</v>
      </c>
      <c r="B5" s="4">
        <v>35</v>
      </c>
      <c r="C5" s="7">
        <v>541208</v>
      </c>
      <c r="D5" s="4">
        <v>1.13</v>
      </c>
      <c r="E5" s="7">
        <f>C5/D5</f>
        <v>478945.13274336286</v>
      </c>
      <c r="F5" s="7">
        <f>E5/365/24</f>
        <v>54.674101911342795</v>
      </c>
      <c r="G5" s="7">
        <f>F5*24</f>
        <v>1312.178445872227</v>
      </c>
      <c r="H5" s="7">
        <v>1000</v>
      </c>
      <c r="I5" s="4" t="s">
        <v>16</v>
      </c>
      <c r="J5" s="6">
        <f>C5/H5/12</f>
        <v>45.10066666666666</v>
      </c>
      <c r="K5" s="5">
        <f>N5/D5*1000/F5/24</f>
        <v>20.232516888146517</v>
      </c>
      <c r="L5" s="5">
        <f>N5/D5*1000/F5/24*0.5</f>
        <v>10.116258444073258</v>
      </c>
      <c r="N5" s="4">
        <v>30</v>
      </c>
      <c r="O5" t="s">
        <v>16</v>
      </c>
    </row>
    <row r="6" spans="1:16" ht="15.75" thickBot="1">
      <c r="A6" s="3" t="s">
        <v>11</v>
      </c>
      <c r="B6" s="12">
        <v>15</v>
      </c>
      <c r="C6" s="13">
        <v>52878.30799999999</v>
      </c>
      <c r="D6" s="12">
        <v>1.26</v>
      </c>
      <c r="E6" s="13">
        <f>C6/D6</f>
        <v>41966.911111111105</v>
      </c>
      <c r="F6" s="13">
        <f>E6/365/24</f>
        <v>4.790743277524099</v>
      </c>
      <c r="G6" s="13">
        <f>F6*24</f>
        <v>114.97783866057837</v>
      </c>
      <c r="H6" s="13">
        <v>1260</v>
      </c>
      <c r="I6" s="12" t="s">
        <v>16</v>
      </c>
      <c r="J6" s="14">
        <f>C6/H6/12</f>
        <v>3.497242592592592</v>
      </c>
      <c r="K6" s="15">
        <f>N6/D6*1000/F6/24</f>
        <v>69.0264143852712</v>
      </c>
      <c r="L6" s="15">
        <f>N6/D6*1000/F6/24*0.5</f>
        <v>34.5132071926356</v>
      </c>
      <c r="M6" s="3"/>
      <c r="N6" s="12">
        <v>10</v>
      </c>
      <c r="O6" s="3" t="s">
        <v>16</v>
      </c>
      <c r="P6" s="3"/>
    </row>
    <row r="7" spans="9:10" ht="15">
      <c r="I7" s="8" t="s">
        <v>20</v>
      </c>
      <c r="J7" s="6">
        <f>J3+J4</f>
        <v>7.308679520833332</v>
      </c>
    </row>
    <row r="8" spans="9:10" ht="15">
      <c r="I8" s="8"/>
      <c r="J8" s="6"/>
    </row>
    <row r="9" spans="1:10" ht="15.75" thickBot="1">
      <c r="A9" s="3"/>
      <c r="B9" s="12" t="s">
        <v>6</v>
      </c>
      <c r="C9" s="12" t="s">
        <v>7</v>
      </c>
      <c r="D9" s="12" t="s">
        <v>5</v>
      </c>
      <c r="E9" s="12" t="s">
        <v>2</v>
      </c>
      <c r="F9" s="12" t="s">
        <v>1</v>
      </c>
      <c r="G9" s="12" t="s">
        <v>26</v>
      </c>
      <c r="J9" s="4"/>
    </row>
    <row r="10" spans="1:10" ht="15">
      <c r="A10" t="s">
        <v>24</v>
      </c>
      <c r="B10" s="4">
        <v>32</v>
      </c>
      <c r="C10" s="7">
        <f>F10*24*365</f>
        <v>481800</v>
      </c>
      <c r="D10" s="4">
        <v>1.35</v>
      </c>
      <c r="E10" s="7">
        <f>C10/D10</f>
        <v>356888.8888888889</v>
      </c>
      <c r="F10" s="7">
        <v>55</v>
      </c>
      <c r="G10" s="5">
        <f>F10/D1</f>
        <v>2.182539682539683</v>
      </c>
      <c r="J10" s="6"/>
    </row>
    <row r="11" spans="1:6" ht="15">
      <c r="A11" t="s">
        <v>27</v>
      </c>
      <c r="B11" s="4">
        <v>32</v>
      </c>
      <c r="C11" s="7">
        <f>C3-C10</f>
        <v>1643829.471</v>
      </c>
      <c r="D11" s="4">
        <v>1.35</v>
      </c>
      <c r="E11" s="7">
        <f>C11/D11</f>
        <v>1217651.46</v>
      </c>
      <c r="F11" s="7">
        <f>F3-F10</f>
        <v>124.74204895991878</v>
      </c>
    </row>
    <row r="12" spans="1:7" ht="15">
      <c r="A12" t="s">
        <v>4</v>
      </c>
      <c r="B12" s="4"/>
      <c r="C12" s="7"/>
      <c r="D12" s="4"/>
      <c r="E12" s="7"/>
      <c r="F12" s="7"/>
      <c r="G12" s="5">
        <f>F5/D1</f>
        <v>2.1696072187040794</v>
      </c>
    </row>
    <row r="13" spans="1:7" ht="15">
      <c r="A13" t="s">
        <v>11</v>
      </c>
      <c r="B13" s="4"/>
      <c r="C13" s="7"/>
      <c r="D13" s="4"/>
      <c r="E13" s="7"/>
      <c r="F13" s="7"/>
      <c r="G13" s="5">
        <f>F6/D1</f>
        <v>0.19010886021921028</v>
      </c>
    </row>
    <row r="14" spans="2:7" ht="15">
      <c r="B14" s="4"/>
      <c r="C14" s="11"/>
      <c r="D14" s="4"/>
      <c r="E14" s="7"/>
      <c r="F14" s="7"/>
      <c r="G14" s="7"/>
    </row>
    <row r="17" spans="1:12" ht="15">
      <c r="A17" s="16" t="s">
        <v>9</v>
      </c>
      <c r="B17" s="19"/>
      <c r="C17" s="17" t="s">
        <v>28</v>
      </c>
      <c r="D17" s="18">
        <v>40</v>
      </c>
      <c r="E17" s="19" t="s">
        <v>29</v>
      </c>
      <c r="K17" s="4" t="s">
        <v>22</v>
      </c>
      <c r="L17" s="4" t="s">
        <v>23</v>
      </c>
    </row>
    <row r="18" spans="1:16" ht="15.75" thickBot="1">
      <c r="A18" s="3"/>
      <c r="B18" s="12" t="s">
        <v>6</v>
      </c>
      <c r="C18" s="12" t="s">
        <v>7</v>
      </c>
      <c r="D18" s="12" t="s">
        <v>5</v>
      </c>
      <c r="E18" s="12" t="s">
        <v>2</v>
      </c>
      <c r="F18" s="12" t="s">
        <v>1</v>
      </c>
      <c r="G18" s="12" t="s">
        <v>30</v>
      </c>
      <c r="H18" s="12" t="s">
        <v>10</v>
      </c>
      <c r="I18" s="12" t="s">
        <v>14</v>
      </c>
      <c r="J18" s="12" t="s">
        <v>13</v>
      </c>
      <c r="K18" s="12" t="s">
        <v>21</v>
      </c>
      <c r="L18" s="12" t="s">
        <v>21</v>
      </c>
      <c r="M18" s="3"/>
      <c r="N18" s="12" t="s">
        <v>17</v>
      </c>
      <c r="O18" s="3"/>
      <c r="P18" s="12" t="s">
        <v>14</v>
      </c>
    </row>
    <row r="19" spans="1:16" ht="15">
      <c r="A19" t="s">
        <v>12</v>
      </c>
      <c r="B19" s="4">
        <v>32</v>
      </c>
      <c r="C19" s="7">
        <f>C11*2+G10*D17*24*365</f>
        <v>4052420.8467619047</v>
      </c>
      <c r="D19" s="4">
        <v>1.35</v>
      </c>
      <c r="E19" s="7">
        <f>C19/D19</f>
        <v>3001793.219823633</v>
      </c>
      <c r="F19" s="7">
        <f>E19/365/24</f>
        <v>342.6704588839764</v>
      </c>
      <c r="G19" s="7">
        <f>F19*24</f>
        <v>8224.091013215433</v>
      </c>
      <c r="H19" s="7">
        <v>28000</v>
      </c>
      <c r="I19" s="4" t="s">
        <v>15</v>
      </c>
      <c r="J19" s="6">
        <f>C19/H19/12</f>
        <v>12.060776329648526</v>
      </c>
      <c r="K19" s="5">
        <f>N19*1000/F19/24</f>
        <v>9.727518806813618</v>
      </c>
      <c r="L19" s="5">
        <f>N19*1000/F19/24*0.5</f>
        <v>4.863759403406809</v>
      </c>
      <c r="N19" s="4">
        <v>80</v>
      </c>
      <c r="O19" t="s">
        <v>0</v>
      </c>
      <c r="P19" s="5">
        <f>N19/(H19/D19)*1000</f>
        <v>3.857142857142857</v>
      </c>
    </row>
    <row r="20" spans="1:16" ht="15">
      <c r="A20" t="s">
        <v>3</v>
      </c>
      <c r="B20" s="4">
        <v>98</v>
      </c>
      <c r="C20" s="7">
        <f>C4*2</f>
        <v>589440.7999999999</v>
      </c>
      <c r="D20" s="4">
        <v>1.84</v>
      </c>
      <c r="E20" s="7">
        <f>C20/D20</f>
        <v>320348.2608695652</v>
      </c>
      <c r="F20" s="7">
        <f>E20/365/24</f>
        <v>36.56943617232479</v>
      </c>
      <c r="G20" s="7">
        <f>F20*24</f>
        <v>877.666468135795</v>
      </c>
      <c r="H20" s="7">
        <v>25000</v>
      </c>
      <c r="I20" s="4" t="s">
        <v>15</v>
      </c>
      <c r="J20" s="5">
        <f>C20/H20/12</f>
        <v>1.9648026666666665</v>
      </c>
      <c r="K20" s="5">
        <f>N20*1000/F20/24</f>
        <v>45.575399599077635</v>
      </c>
      <c r="L20" s="5">
        <f>N20*1000/F20/24*0.5</f>
        <v>22.787699799538817</v>
      </c>
      <c r="N20" s="4">
        <v>40</v>
      </c>
      <c r="O20" t="s">
        <v>0</v>
      </c>
      <c r="P20" s="5">
        <f>N20/(H20/D20)*1000</f>
        <v>2.944</v>
      </c>
    </row>
    <row r="21" spans="1:15" ht="15">
      <c r="A21" t="s">
        <v>4</v>
      </c>
      <c r="B21" s="4">
        <v>35</v>
      </c>
      <c r="C21" s="7">
        <f>D21*E21</f>
        <v>859060.3174603175</v>
      </c>
      <c r="D21" s="4">
        <v>1.13</v>
      </c>
      <c r="E21" s="7">
        <f>F21*365*24</f>
        <v>760230.3694339094</v>
      </c>
      <c r="F21" s="7">
        <f>+$D$17*$G$12</f>
        <v>86.78428874816318</v>
      </c>
      <c r="G21" s="7">
        <f>F21*24</f>
        <v>2082.822929955916</v>
      </c>
      <c r="H21" s="7">
        <v>1000</v>
      </c>
      <c r="I21" s="4" t="s">
        <v>16</v>
      </c>
      <c r="J21" s="6">
        <f>C21/H21/12</f>
        <v>71.5883597883598</v>
      </c>
      <c r="K21" s="5">
        <f>N21/D21*1000/F21/24</f>
        <v>12.746485639532304</v>
      </c>
      <c r="L21" s="5">
        <f>N21/D21*1000/F21/24*0.5</f>
        <v>6.373242819766152</v>
      </c>
      <c r="N21" s="4">
        <v>30</v>
      </c>
      <c r="O21" t="s">
        <v>16</v>
      </c>
    </row>
    <row r="22" spans="1:16" ht="15.75" thickBot="1">
      <c r="A22" s="3" t="s">
        <v>11</v>
      </c>
      <c r="B22" s="12">
        <v>15</v>
      </c>
      <c r="C22" s="13">
        <f>D22*E22</f>
        <v>83933.82222222221</v>
      </c>
      <c r="D22" s="12">
        <v>1.26</v>
      </c>
      <c r="E22" s="13">
        <f>F22*365*24</f>
        <v>66614.14462081128</v>
      </c>
      <c r="F22" s="13">
        <f>+$D$17*$G$13</f>
        <v>7.604354408768411</v>
      </c>
      <c r="G22" s="13">
        <f>F22*24</f>
        <v>182.50450581044186</v>
      </c>
      <c r="H22" s="13">
        <v>1260</v>
      </c>
      <c r="I22" s="12" t="s">
        <v>16</v>
      </c>
      <c r="J22" s="14">
        <f>C22/H22/12</f>
        <v>5.55117871840094</v>
      </c>
      <c r="K22" s="15">
        <f>N22/D22*1000/F22/24</f>
        <v>43.48664106272085</v>
      </c>
      <c r="L22" s="15">
        <f>N22/D22*1000/F22/24*0.5</f>
        <v>21.743320531360425</v>
      </c>
      <c r="M22" s="3"/>
      <c r="N22" s="12">
        <v>10</v>
      </c>
      <c r="O22" s="3" t="s">
        <v>16</v>
      </c>
      <c r="P22" s="3"/>
    </row>
    <row r="23" spans="9:10" ht="15">
      <c r="I23" s="8" t="s">
        <v>20</v>
      </c>
      <c r="J23" s="6">
        <f>J19+J20</f>
        <v>14.025578996315193</v>
      </c>
    </row>
    <row r="26" spans="1:12" ht="15">
      <c r="A26" s="16" t="s">
        <v>18</v>
      </c>
      <c r="B26" s="19"/>
      <c r="C26" s="17" t="s">
        <v>28</v>
      </c>
      <c r="D26" s="18">
        <v>60</v>
      </c>
      <c r="E26" s="19" t="s">
        <v>29</v>
      </c>
      <c r="K26" s="4" t="s">
        <v>22</v>
      </c>
      <c r="L26" s="4" t="s">
        <v>23</v>
      </c>
    </row>
    <row r="27" spans="1:17" ht="15.75" thickBot="1">
      <c r="A27" s="3"/>
      <c r="B27" s="12" t="s">
        <v>6</v>
      </c>
      <c r="C27" s="12" t="s">
        <v>7</v>
      </c>
      <c r="D27" s="12" t="s">
        <v>5</v>
      </c>
      <c r="E27" s="12" t="s">
        <v>25</v>
      </c>
      <c r="F27" s="12" t="s">
        <v>1</v>
      </c>
      <c r="G27" s="12" t="s">
        <v>30</v>
      </c>
      <c r="H27" s="12" t="s">
        <v>10</v>
      </c>
      <c r="I27" s="12" t="s">
        <v>14</v>
      </c>
      <c r="J27" s="12" t="s">
        <v>13</v>
      </c>
      <c r="K27" s="12" t="s">
        <v>21</v>
      </c>
      <c r="L27" s="12" t="s">
        <v>21</v>
      </c>
      <c r="M27" s="3"/>
      <c r="N27" s="12" t="s">
        <v>17</v>
      </c>
      <c r="O27" s="3"/>
      <c r="P27" s="12" t="s">
        <v>14</v>
      </c>
      <c r="Q27" s="35" t="s">
        <v>65</v>
      </c>
    </row>
    <row r="28" spans="1:17" ht="15">
      <c r="A28" t="s">
        <v>12</v>
      </c>
      <c r="B28" s="4">
        <v>32</v>
      </c>
      <c r="C28" s="7" t="e">
        <f>C11*2+G10*D26*24*365+#REF!*12</f>
        <v>#REF!</v>
      </c>
      <c r="D28" s="4">
        <v>1.35</v>
      </c>
      <c r="E28" s="7" t="e">
        <f>C28/D28</f>
        <v>#REF!</v>
      </c>
      <c r="F28" s="7" t="e">
        <f>E28/365/24</f>
        <v>#REF!</v>
      </c>
      <c r="G28" s="7" t="e">
        <f>F28*24</f>
        <v>#REF!</v>
      </c>
      <c r="H28" s="7">
        <v>28000</v>
      </c>
      <c r="I28" s="4" t="s">
        <v>15</v>
      </c>
      <c r="J28" s="6" t="e">
        <f>C28/H28/12</f>
        <v>#REF!</v>
      </c>
      <c r="K28" s="5" t="e">
        <f>N28*1000/F28/24</f>
        <v>#REF!</v>
      </c>
      <c r="L28" s="5" t="e">
        <f>N28*1000/F28/24*0.5</f>
        <v>#REF!</v>
      </c>
      <c r="N28" s="4">
        <v>80</v>
      </c>
      <c r="O28" t="s">
        <v>0</v>
      </c>
      <c r="P28" s="5">
        <f>N28/(H28/D28)*1000</f>
        <v>3.857142857142857</v>
      </c>
      <c r="Q28" s="5" t="e">
        <f>G28*5/1000</f>
        <v>#REF!</v>
      </c>
    </row>
    <row r="29" spans="1:17" ht="15">
      <c r="A29" t="s">
        <v>3</v>
      </c>
      <c r="B29" s="4">
        <v>98</v>
      </c>
      <c r="C29" s="7">
        <f>C20</f>
        <v>589440.7999999999</v>
      </c>
      <c r="D29" s="4">
        <v>1.84</v>
      </c>
      <c r="E29" s="7">
        <f>C29/D29</f>
        <v>320348.2608695652</v>
      </c>
      <c r="F29" s="7">
        <f>E29/365/24</f>
        <v>36.56943617232479</v>
      </c>
      <c r="G29" s="7">
        <f>F29*24</f>
        <v>877.666468135795</v>
      </c>
      <c r="H29" s="7">
        <v>25000</v>
      </c>
      <c r="I29" s="4" t="s">
        <v>15</v>
      </c>
      <c r="J29" s="10">
        <f>C29/H29/12</f>
        <v>1.9648026666666665</v>
      </c>
      <c r="K29" s="5">
        <f>N29*1000/F29/24</f>
        <v>45.575399599077635</v>
      </c>
      <c r="L29" s="5">
        <f>N29*1000/F29/24*0.5</f>
        <v>22.787699799538817</v>
      </c>
      <c r="N29" s="4">
        <v>40</v>
      </c>
      <c r="O29" t="s">
        <v>0</v>
      </c>
      <c r="P29" s="5">
        <f>N29/(H29/D29)*1000</f>
        <v>2.944</v>
      </c>
      <c r="Q29" s="5">
        <f>G29*5/1000</f>
        <v>4.388332340678975</v>
      </c>
    </row>
    <row r="30" spans="1:17" ht="15">
      <c r="A30" t="s">
        <v>4</v>
      </c>
      <c r="B30" s="4">
        <v>35</v>
      </c>
      <c r="C30" s="7">
        <f>D30*E30</f>
        <v>1288590.4761904762</v>
      </c>
      <c r="D30" s="4">
        <v>1.13</v>
      </c>
      <c r="E30" s="7">
        <f>F30*365*24</f>
        <v>1140345.554150864</v>
      </c>
      <c r="F30" s="7">
        <f>+$D$26*$G$12</f>
        <v>130.17643312224476</v>
      </c>
      <c r="G30" s="7">
        <f>F30*24</f>
        <v>3124.2343949338742</v>
      </c>
      <c r="H30" s="7">
        <v>1000</v>
      </c>
      <c r="I30" s="4" t="s">
        <v>16</v>
      </c>
      <c r="J30" s="9">
        <f>C30/H30/12</f>
        <v>107.38253968253969</v>
      </c>
      <c r="K30" s="5">
        <f>N30/D30*1000/F30/24</f>
        <v>8.497657093021537</v>
      </c>
      <c r="L30" s="5">
        <f>N30/D30*1000/F30/24*0.5</f>
        <v>4.248828546510769</v>
      </c>
      <c r="N30" s="4">
        <v>30</v>
      </c>
      <c r="O30" t="s">
        <v>16</v>
      </c>
      <c r="P30" s="5"/>
      <c r="Q30" s="5">
        <f>G30*5/1000</f>
        <v>15.621171974669371</v>
      </c>
    </row>
    <row r="31" spans="1:17" ht="15">
      <c r="A31" t="s">
        <v>11</v>
      </c>
      <c r="B31" s="4">
        <v>15</v>
      </c>
      <c r="C31" s="7">
        <f>D31*E31</f>
        <v>125900.73333333331</v>
      </c>
      <c r="D31" s="4">
        <v>1.26</v>
      </c>
      <c r="E31" s="7">
        <f>F31*365*24</f>
        <v>99921.21693121691</v>
      </c>
      <c r="F31" s="7">
        <f>+$D$26*$G$13</f>
        <v>11.406531613152616</v>
      </c>
      <c r="G31" s="7">
        <f>F31*24</f>
        <v>273.7567587156628</v>
      </c>
      <c r="H31" s="7">
        <v>1260</v>
      </c>
      <c r="I31" s="4" t="s">
        <v>16</v>
      </c>
      <c r="J31" s="9">
        <f>C31/H31/12</f>
        <v>8.32676807760141</v>
      </c>
      <c r="K31" s="5">
        <f>N31/D31*1000/F31/24</f>
        <v>28.9910940418139</v>
      </c>
      <c r="L31" s="5">
        <f>N31/D31*1000/F31/24*0.5</f>
        <v>14.49554702090695</v>
      </c>
      <c r="N31" s="4">
        <v>10</v>
      </c>
      <c r="O31" t="s">
        <v>16</v>
      </c>
      <c r="P31" s="5"/>
      <c r="Q31" s="5">
        <f>G31*5/1000</f>
        <v>1.3687837935783138</v>
      </c>
    </row>
    <row r="32" spans="1:17" ht="15.75" thickBot="1">
      <c r="A32" s="3" t="s">
        <v>19</v>
      </c>
      <c r="B32" s="12">
        <v>33</v>
      </c>
      <c r="C32" s="13" t="e">
        <f>#REF!*12</f>
        <v>#REF!</v>
      </c>
      <c r="D32" s="12">
        <v>1.2</v>
      </c>
      <c r="E32" s="13" t="e">
        <f>C32/D32</f>
        <v>#REF!</v>
      </c>
      <c r="F32" s="13" t="e">
        <f>E32/365/24</f>
        <v>#REF!</v>
      </c>
      <c r="G32" s="13" t="e">
        <f>F32*24</f>
        <v>#REF!</v>
      </c>
      <c r="H32" s="13">
        <v>28000</v>
      </c>
      <c r="I32" s="12" t="s">
        <v>15</v>
      </c>
      <c r="J32" s="15" t="e">
        <f>C32/H32/12</f>
        <v>#REF!</v>
      </c>
      <c r="K32" s="15" t="e">
        <f>N32*1000/F32/24</f>
        <v>#REF!</v>
      </c>
      <c r="L32" s="15" t="e">
        <f>N32*1000/F32/24*0.5</f>
        <v>#REF!</v>
      </c>
      <c r="M32" s="3"/>
      <c r="N32" s="12">
        <v>80</v>
      </c>
      <c r="O32" s="3" t="s">
        <v>0</v>
      </c>
      <c r="P32" s="15">
        <f>N32/(H32/D32)*1000</f>
        <v>3.4285714285714284</v>
      </c>
      <c r="Q32" s="15" t="e">
        <f>G32*5/1000</f>
        <v>#REF!</v>
      </c>
    </row>
    <row r="33" spans="9:11" ht="15">
      <c r="I33" s="8" t="s">
        <v>20</v>
      </c>
      <c r="J33" s="6" t="e">
        <f>J28+J29+J32</f>
        <v>#REF!</v>
      </c>
      <c r="K33" s="6"/>
    </row>
    <row r="34" spans="9:11" ht="15">
      <c r="I34" s="8"/>
      <c r="J34" s="6"/>
      <c r="K34" s="6"/>
    </row>
    <row r="35" spans="9:11" ht="15">
      <c r="I35" s="8"/>
      <c r="J35" s="6"/>
      <c r="K35" s="6"/>
    </row>
  </sheetData>
  <sheetProtection/>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J4" sqref="J4"/>
    </sheetView>
  </sheetViews>
  <sheetFormatPr defaultColWidth="9.140625" defaultRowHeight="15"/>
  <cols>
    <col min="1" max="1" width="11.140625" style="0" customWidth="1"/>
    <col min="2" max="7" width="24.421875" style="0" customWidth="1"/>
  </cols>
  <sheetData>
    <row r="1" spans="1:7" ht="30.75" thickBot="1">
      <c r="A1" s="1"/>
      <c r="B1" s="28" t="s">
        <v>35</v>
      </c>
      <c r="C1" s="24" t="s">
        <v>36</v>
      </c>
      <c r="D1" s="24" t="s">
        <v>37</v>
      </c>
      <c r="E1" s="24" t="s">
        <v>38</v>
      </c>
      <c r="F1" s="24" t="s">
        <v>39</v>
      </c>
      <c r="G1" s="20" t="s">
        <v>40</v>
      </c>
    </row>
    <row r="2" spans="1:7" ht="120">
      <c r="A2" s="32" t="s">
        <v>12</v>
      </c>
      <c r="B2" s="29" t="s">
        <v>54</v>
      </c>
      <c r="C2" s="25" t="s">
        <v>55</v>
      </c>
      <c r="D2" s="25" t="s">
        <v>56</v>
      </c>
      <c r="E2" s="25" t="s">
        <v>57</v>
      </c>
      <c r="F2" s="25" t="s">
        <v>58</v>
      </c>
      <c r="G2" s="21" t="s">
        <v>59</v>
      </c>
    </row>
    <row r="3" spans="1:7" ht="120">
      <c r="A3" s="33" t="s">
        <v>3</v>
      </c>
      <c r="B3" s="30" t="s">
        <v>49</v>
      </c>
      <c r="C3" s="26" t="s">
        <v>42</v>
      </c>
      <c r="D3" s="26" t="s">
        <v>50</v>
      </c>
      <c r="E3" s="26" t="s">
        <v>51</v>
      </c>
      <c r="F3" s="26" t="s">
        <v>52</v>
      </c>
      <c r="G3" s="22" t="s">
        <v>53</v>
      </c>
    </row>
    <row r="4" spans="1:7" ht="135">
      <c r="A4" s="33" t="s">
        <v>4</v>
      </c>
      <c r="B4" s="30" t="s">
        <v>41</v>
      </c>
      <c r="C4" s="26" t="s">
        <v>42</v>
      </c>
      <c r="D4" s="26" t="s">
        <v>43</v>
      </c>
      <c r="E4" s="26" t="s">
        <v>44</v>
      </c>
      <c r="F4" s="26" t="s">
        <v>31</v>
      </c>
      <c r="G4" s="22" t="s">
        <v>34</v>
      </c>
    </row>
    <row r="5" spans="1:7" ht="90">
      <c r="A5" s="33" t="s">
        <v>11</v>
      </c>
      <c r="B5" s="30" t="s">
        <v>45</v>
      </c>
      <c r="C5" s="26" t="s">
        <v>46</v>
      </c>
      <c r="D5" s="26" t="s">
        <v>47</v>
      </c>
      <c r="E5" s="26" t="s">
        <v>48</v>
      </c>
      <c r="F5" s="26" t="s">
        <v>32</v>
      </c>
      <c r="G5" s="22" t="s">
        <v>33</v>
      </c>
    </row>
    <row r="6" spans="1:7" ht="75">
      <c r="A6" s="34" t="s">
        <v>19</v>
      </c>
      <c r="B6" s="31"/>
      <c r="C6" s="27" t="s">
        <v>60</v>
      </c>
      <c r="D6" s="27" t="s">
        <v>61</v>
      </c>
      <c r="E6" s="27" t="s">
        <v>62</v>
      </c>
      <c r="F6" s="27" t="s">
        <v>63</v>
      </c>
      <c r="G6" s="23" t="s">
        <v>64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7"/>
  <sheetViews>
    <sheetView tabSelected="1" zoomScale="90" zoomScaleNormal="90" zoomScalePageLayoutView="0" workbookViewId="0" topLeftCell="A1">
      <selection activeCell="P29" sqref="P29"/>
    </sheetView>
  </sheetViews>
  <sheetFormatPr defaultColWidth="9.140625" defaultRowHeight="15"/>
  <cols>
    <col min="1" max="1" width="22.7109375" style="86" bestFit="1" customWidth="1"/>
    <col min="2" max="2" width="8.8515625" style="86" customWidth="1"/>
    <col min="3" max="3" width="9.140625" style="86" customWidth="1"/>
    <col min="4" max="4" width="8.7109375" style="86" customWidth="1"/>
    <col min="5" max="5" width="9.140625" style="86" customWidth="1"/>
    <col min="6" max="6" width="10.7109375" style="86" bestFit="1" customWidth="1"/>
    <col min="7" max="7" width="9.8515625" style="86" customWidth="1"/>
    <col min="8" max="8" width="9.8515625" style="86" bestFit="1" customWidth="1"/>
    <col min="9" max="9" width="22.8515625" style="86" bestFit="1" customWidth="1"/>
    <col min="10" max="14" width="16.28125" style="86" customWidth="1"/>
    <col min="15" max="15" width="52.00390625" style="86" bestFit="1" customWidth="1"/>
    <col min="16" max="16" width="195.140625" style="86" bestFit="1" customWidth="1"/>
    <col min="17" max="17" width="255.421875" style="86" customWidth="1"/>
    <col min="18" max="16384" width="9.140625" style="86" customWidth="1"/>
  </cols>
  <sheetData>
    <row r="1" spans="1:7" ht="15">
      <c r="A1" s="4">
        <v>2020</v>
      </c>
      <c r="B1" s="36" t="s">
        <v>89</v>
      </c>
      <c r="E1" s="17" t="s">
        <v>28</v>
      </c>
      <c r="F1" s="18">
        <v>25.2</v>
      </c>
      <c r="G1" s="87" t="s">
        <v>29</v>
      </c>
    </row>
    <row r="2" spans="1:17" s="2" customFormat="1" ht="45.75" thickBot="1">
      <c r="A2" s="81" t="s">
        <v>66</v>
      </c>
      <c r="B2" s="47" t="s">
        <v>95</v>
      </c>
      <c r="C2" s="47" t="s">
        <v>7</v>
      </c>
      <c r="D2" s="47" t="s">
        <v>94</v>
      </c>
      <c r="E2" s="47" t="s">
        <v>67</v>
      </c>
      <c r="F2" s="47" t="s">
        <v>116</v>
      </c>
      <c r="G2" s="47" t="s">
        <v>110</v>
      </c>
      <c r="H2" s="47" t="s">
        <v>14</v>
      </c>
      <c r="I2" s="47" t="s">
        <v>134</v>
      </c>
      <c r="J2" s="47" t="s">
        <v>135</v>
      </c>
      <c r="K2" s="47" t="s">
        <v>121</v>
      </c>
      <c r="L2" s="47" t="s">
        <v>122</v>
      </c>
      <c r="M2" s="47" t="s">
        <v>123</v>
      </c>
      <c r="N2" s="47" t="s">
        <v>124</v>
      </c>
      <c r="O2" s="47" t="s">
        <v>125</v>
      </c>
      <c r="P2" s="80" t="s">
        <v>68</v>
      </c>
      <c r="Q2" s="80" t="s">
        <v>148</v>
      </c>
    </row>
    <row r="3" spans="1:17" ht="15">
      <c r="A3" s="89" t="s">
        <v>97</v>
      </c>
      <c r="B3" s="38">
        <v>1100</v>
      </c>
      <c r="C3" s="38">
        <v>40243.34</v>
      </c>
      <c r="D3" s="38">
        <f aca="true" t="shared" si="0" ref="D3:D9">C3/B3</f>
        <v>36.58485454545454</v>
      </c>
      <c r="E3" s="38">
        <f>C3/12</f>
        <v>3353.611666666666</v>
      </c>
      <c r="F3" s="38">
        <f>CEILING(C3/6/B3,1)</f>
        <v>7</v>
      </c>
      <c r="G3" s="38">
        <f>CEILING(E3/B3*1.5,1)</f>
        <v>5</v>
      </c>
      <c r="H3" s="39" t="s">
        <v>70</v>
      </c>
      <c r="I3" s="39" t="s">
        <v>143</v>
      </c>
      <c r="J3" s="39" t="s">
        <v>138</v>
      </c>
      <c r="K3" s="39" t="s">
        <v>126</v>
      </c>
      <c r="L3" s="39" t="s">
        <v>131</v>
      </c>
      <c r="M3" s="39" t="s">
        <v>128</v>
      </c>
      <c r="N3" s="39" t="s">
        <v>131</v>
      </c>
      <c r="O3" s="39" t="s">
        <v>142</v>
      </c>
      <c r="P3" s="90" t="s">
        <v>71</v>
      </c>
      <c r="Q3" s="90" t="s">
        <v>149</v>
      </c>
    </row>
    <row r="4" spans="1:17" ht="30">
      <c r="A4" s="91" t="s">
        <v>73</v>
      </c>
      <c r="B4" s="40">
        <v>1125</v>
      </c>
      <c r="C4" s="40">
        <f>E4*12</f>
        <v>25800</v>
      </c>
      <c r="D4" s="40">
        <f t="shared" si="0"/>
        <v>22.933333333333334</v>
      </c>
      <c r="E4" s="40">
        <v>2150</v>
      </c>
      <c r="F4" s="40">
        <f aca="true" t="shared" si="1" ref="F4:F26">CEILING(C4/6/B4,1)</f>
        <v>4</v>
      </c>
      <c r="G4" s="40">
        <f>CEILING(E4/B4*1.5,1)</f>
        <v>3</v>
      </c>
      <c r="H4" s="41" t="s">
        <v>70</v>
      </c>
      <c r="I4" s="41" t="s">
        <v>143</v>
      </c>
      <c r="J4" s="82" t="s">
        <v>138</v>
      </c>
      <c r="K4" s="82" t="s">
        <v>126</v>
      </c>
      <c r="L4" s="82" t="s">
        <v>131</v>
      </c>
      <c r="M4" s="82" t="s">
        <v>128</v>
      </c>
      <c r="N4" s="82" t="s">
        <v>131</v>
      </c>
      <c r="O4" s="82" t="s">
        <v>142</v>
      </c>
      <c r="P4" s="92" t="s">
        <v>71</v>
      </c>
      <c r="Q4" s="92" t="s">
        <v>149</v>
      </c>
    </row>
    <row r="5" spans="1:17" ht="30">
      <c r="A5" s="91" t="s">
        <v>74</v>
      </c>
      <c r="B5" s="40">
        <v>1100</v>
      </c>
      <c r="C5" s="40">
        <v>41709.746</v>
      </c>
      <c r="D5" s="40">
        <f t="shared" si="0"/>
        <v>37.917950909090905</v>
      </c>
      <c r="E5" s="40">
        <f aca="true" t="shared" si="2" ref="E5:E10">C5/12</f>
        <v>3475.8121666666666</v>
      </c>
      <c r="F5" s="40">
        <f t="shared" si="1"/>
        <v>7</v>
      </c>
      <c r="G5" s="40">
        <f>CEILING(E5/B5*1.5,1)</f>
        <v>5</v>
      </c>
      <c r="H5" s="41" t="s">
        <v>70</v>
      </c>
      <c r="I5" s="41" t="s">
        <v>143</v>
      </c>
      <c r="J5" s="82" t="s">
        <v>138</v>
      </c>
      <c r="K5" s="82" t="s">
        <v>126</v>
      </c>
      <c r="L5" s="82" t="s">
        <v>131</v>
      </c>
      <c r="M5" s="82" t="s">
        <v>128</v>
      </c>
      <c r="N5" s="82" t="s">
        <v>131</v>
      </c>
      <c r="O5" s="82" t="s">
        <v>142</v>
      </c>
      <c r="P5" s="92" t="s">
        <v>71</v>
      </c>
      <c r="Q5" s="92" t="s">
        <v>149</v>
      </c>
    </row>
    <row r="6" spans="1:17" ht="30">
      <c r="A6" s="91" t="s">
        <v>81</v>
      </c>
      <c r="B6" s="40">
        <v>600</v>
      </c>
      <c r="C6" s="40">
        <v>3338</v>
      </c>
      <c r="D6" s="40">
        <f t="shared" si="0"/>
        <v>5.5633333333333335</v>
      </c>
      <c r="E6" s="40">
        <f t="shared" si="2"/>
        <v>278.1666666666667</v>
      </c>
      <c r="F6" s="40">
        <f t="shared" si="1"/>
        <v>1</v>
      </c>
      <c r="G6" s="40">
        <f>CEILING(2*E6/B6*1.5,1)</f>
        <v>2</v>
      </c>
      <c r="H6" s="41" t="s">
        <v>93</v>
      </c>
      <c r="I6" s="41" t="s">
        <v>143</v>
      </c>
      <c r="J6" s="82" t="s">
        <v>138</v>
      </c>
      <c r="K6" s="82" t="s">
        <v>126</v>
      </c>
      <c r="L6" s="82" t="s">
        <v>131</v>
      </c>
      <c r="M6" s="82" t="s">
        <v>128</v>
      </c>
      <c r="N6" s="82" t="s">
        <v>131</v>
      </c>
      <c r="O6" s="82" t="s">
        <v>142</v>
      </c>
      <c r="P6" s="92" t="s">
        <v>71</v>
      </c>
      <c r="Q6" s="92" t="s">
        <v>149</v>
      </c>
    </row>
    <row r="7" spans="1:17" ht="30">
      <c r="A7" s="91" t="s">
        <v>85</v>
      </c>
      <c r="B7" s="40">
        <v>1200</v>
      </c>
      <c r="C7" s="40">
        <v>55122.642</v>
      </c>
      <c r="D7" s="40">
        <f t="shared" si="0"/>
        <v>45.935535</v>
      </c>
      <c r="E7" s="40">
        <f t="shared" si="2"/>
        <v>4593.5535</v>
      </c>
      <c r="F7" s="40">
        <f t="shared" si="1"/>
        <v>8</v>
      </c>
      <c r="G7" s="40">
        <f>CEILING(E7/B7*1.5,1)</f>
        <v>6</v>
      </c>
      <c r="H7" s="41" t="s">
        <v>70</v>
      </c>
      <c r="I7" s="41" t="s">
        <v>143</v>
      </c>
      <c r="J7" s="82" t="s">
        <v>138</v>
      </c>
      <c r="K7" s="82" t="s">
        <v>126</v>
      </c>
      <c r="L7" s="82" t="s">
        <v>131</v>
      </c>
      <c r="M7" s="82" t="s">
        <v>128</v>
      </c>
      <c r="N7" s="82" t="s">
        <v>131</v>
      </c>
      <c r="O7" s="82" t="s">
        <v>142</v>
      </c>
      <c r="P7" s="92" t="s">
        <v>99</v>
      </c>
      <c r="Q7" s="92" t="s">
        <v>149</v>
      </c>
    </row>
    <row r="8" spans="1:17" ht="30">
      <c r="A8" s="91" t="s">
        <v>72</v>
      </c>
      <c r="B8" s="40">
        <v>1000</v>
      </c>
      <c r="C8" s="40">
        <v>10066.261999999999</v>
      </c>
      <c r="D8" s="40">
        <f t="shared" si="0"/>
        <v>10.066261999999998</v>
      </c>
      <c r="E8" s="40">
        <f t="shared" si="2"/>
        <v>838.8551666666666</v>
      </c>
      <c r="F8" s="40">
        <f t="shared" si="1"/>
        <v>2</v>
      </c>
      <c r="G8" s="40">
        <f>CEILING(3*E8/B8*1.5,1)</f>
        <v>4</v>
      </c>
      <c r="H8" s="41" t="s">
        <v>92</v>
      </c>
      <c r="I8" s="82" t="s">
        <v>145</v>
      </c>
      <c r="J8" s="82" t="s">
        <v>138</v>
      </c>
      <c r="K8" s="82" t="s">
        <v>126</v>
      </c>
      <c r="L8" s="82" t="s">
        <v>131</v>
      </c>
      <c r="M8" s="82" t="s">
        <v>128</v>
      </c>
      <c r="N8" s="82" t="s">
        <v>131</v>
      </c>
      <c r="O8" s="82" t="s">
        <v>142</v>
      </c>
      <c r="P8" s="42" t="s">
        <v>98</v>
      </c>
      <c r="Q8" s="42" t="s">
        <v>149</v>
      </c>
    </row>
    <row r="9" spans="1:17" ht="30">
      <c r="A9" s="91" t="s">
        <v>86</v>
      </c>
      <c r="B9" s="40">
        <v>1000</v>
      </c>
      <c r="C9" s="40">
        <v>500</v>
      </c>
      <c r="D9" s="40">
        <f t="shared" si="0"/>
        <v>0.5</v>
      </c>
      <c r="E9" s="40">
        <f t="shared" si="2"/>
        <v>41.666666666666664</v>
      </c>
      <c r="F9" s="40">
        <f t="shared" si="1"/>
        <v>1</v>
      </c>
      <c r="G9" s="40">
        <f>CEILING(12*E9/B9*1.5,1)</f>
        <v>1</v>
      </c>
      <c r="H9" s="41" t="s">
        <v>76</v>
      </c>
      <c r="I9" s="82" t="s">
        <v>145</v>
      </c>
      <c r="J9" s="82" t="s">
        <v>138</v>
      </c>
      <c r="K9" s="82" t="s">
        <v>126</v>
      </c>
      <c r="L9" s="82" t="s">
        <v>131</v>
      </c>
      <c r="M9" s="82" t="s">
        <v>128</v>
      </c>
      <c r="N9" s="82" t="s">
        <v>131</v>
      </c>
      <c r="O9" s="82" t="s">
        <v>142</v>
      </c>
      <c r="P9" s="42" t="s">
        <v>98</v>
      </c>
      <c r="Q9" s="42" t="s">
        <v>149</v>
      </c>
    </row>
    <row r="10" spans="1:17" ht="15.75" thickBot="1">
      <c r="A10" s="93" t="s">
        <v>87</v>
      </c>
      <c r="B10" s="43">
        <v>1100</v>
      </c>
      <c r="C10" s="43">
        <v>11180</v>
      </c>
      <c r="D10" s="43">
        <f>C10/B10</f>
        <v>10.163636363636364</v>
      </c>
      <c r="E10" s="43">
        <f t="shared" si="2"/>
        <v>931.6666666666666</v>
      </c>
      <c r="F10" s="43">
        <f t="shared" si="1"/>
        <v>2</v>
      </c>
      <c r="G10" s="43">
        <f>CEILING(3*E10/B10*1.5,1)</f>
        <v>4</v>
      </c>
      <c r="H10" s="44" t="s">
        <v>92</v>
      </c>
      <c r="I10" s="82" t="s">
        <v>136</v>
      </c>
      <c r="J10" s="82" t="s">
        <v>138</v>
      </c>
      <c r="K10" s="82" t="s">
        <v>126</v>
      </c>
      <c r="L10" s="82" t="s">
        <v>131</v>
      </c>
      <c r="M10" s="82" t="s">
        <v>128</v>
      </c>
      <c r="N10" s="82" t="s">
        <v>129</v>
      </c>
      <c r="O10" s="44" t="s">
        <v>132</v>
      </c>
      <c r="P10" s="94" t="s">
        <v>100</v>
      </c>
      <c r="Q10" s="94" t="s">
        <v>149</v>
      </c>
    </row>
    <row r="11" spans="1:17" ht="15.75" thickBot="1">
      <c r="A11" s="95"/>
      <c r="B11" s="68"/>
      <c r="C11" s="68"/>
      <c r="D11" s="68"/>
      <c r="E11" s="76" t="s">
        <v>117</v>
      </c>
      <c r="F11" s="69">
        <f>SUM(F3:F10)</f>
        <v>32</v>
      </c>
      <c r="G11" s="69">
        <f>SUM(G3:G10)</f>
        <v>30</v>
      </c>
      <c r="H11" s="70"/>
      <c r="I11" s="70"/>
      <c r="J11" s="70"/>
      <c r="K11" s="70"/>
      <c r="L11" s="70"/>
      <c r="M11" s="70"/>
      <c r="N11" s="70"/>
      <c r="O11" s="70"/>
      <c r="P11" s="96"/>
      <c r="Q11" s="96"/>
    </row>
    <row r="12" spans="1:17" ht="30">
      <c r="A12" s="97" t="s">
        <v>75</v>
      </c>
      <c r="B12" s="54">
        <v>214</v>
      </c>
      <c r="C12" s="54">
        <v>274</v>
      </c>
      <c r="D12" s="54">
        <f aca="true" t="shared" si="3" ref="D12:D19">C12/B12</f>
        <v>1.280373831775701</v>
      </c>
      <c r="E12" s="54">
        <f aca="true" t="shared" si="4" ref="E12:E19">C12/12</f>
        <v>22.833333333333332</v>
      </c>
      <c r="F12" s="54">
        <f t="shared" si="1"/>
        <v>1</v>
      </c>
      <c r="G12" s="54">
        <f>CEILING(12*E12/B12*1.5,1)</f>
        <v>2</v>
      </c>
      <c r="H12" s="55" t="s">
        <v>76</v>
      </c>
      <c r="I12" s="83" t="s">
        <v>146</v>
      </c>
      <c r="J12" s="83" t="s">
        <v>138</v>
      </c>
      <c r="K12" s="83" t="s">
        <v>126</v>
      </c>
      <c r="L12" s="83" t="s">
        <v>131</v>
      </c>
      <c r="M12" s="83" t="s">
        <v>133</v>
      </c>
      <c r="N12" s="83" t="s">
        <v>133</v>
      </c>
      <c r="O12" s="83" t="s">
        <v>142</v>
      </c>
      <c r="P12" s="98" t="s">
        <v>88</v>
      </c>
      <c r="Q12" s="98" t="s">
        <v>149</v>
      </c>
    </row>
    <row r="13" spans="1:17" ht="30">
      <c r="A13" s="99" t="s">
        <v>78</v>
      </c>
      <c r="B13" s="50">
        <v>1200</v>
      </c>
      <c r="C13" s="50">
        <v>6244</v>
      </c>
      <c r="D13" s="50">
        <f t="shared" si="3"/>
        <v>5.203333333333333</v>
      </c>
      <c r="E13" s="50">
        <f t="shared" si="4"/>
        <v>520.3333333333334</v>
      </c>
      <c r="F13" s="50">
        <f t="shared" si="1"/>
        <v>1</v>
      </c>
      <c r="G13" s="50">
        <f>CEILING(E13/B13*1.5,1)</f>
        <v>1</v>
      </c>
      <c r="H13" s="51" t="s">
        <v>91</v>
      </c>
      <c r="I13" s="84" t="s">
        <v>147</v>
      </c>
      <c r="J13" s="51" t="s">
        <v>138</v>
      </c>
      <c r="K13" s="51" t="s">
        <v>126</v>
      </c>
      <c r="L13" s="51" t="s">
        <v>127</v>
      </c>
      <c r="M13" s="51" t="s">
        <v>128</v>
      </c>
      <c r="N13" s="51" t="s">
        <v>129</v>
      </c>
      <c r="O13" s="51" t="s">
        <v>130</v>
      </c>
      <c r="P13" s="100" t="s">
        <v>105</v>
      </c>
      <c r="Q13" s="100" t="s">
        <v>149</v>
      </c>
    </row>
    <row r="14" spans="1:17" ht="45">
      <c r="A14" s="101" t="s">
        <v>11</v>
      </c>
      <c r="B14" s="48">
        <v>1250</v>
      </c>
      <c r="C14" s="48">
        <v>52878.30799999999</v>
      </c>
      <c r="D14" s="48">
        <f t="shared" si="3"/>
        <v>42.30264639999999</v>
      </c>
      <c r="E14" s="48">
        <f t="shared" si="4"/>
        <v>4406.5256666666655</v>
      </c>
      <c r="F14" s="48">
        <f t="shared" si="1"/>
        <v>8</v>
      </c>
      <c r="G14" s="48">
        <f>CEILING(3*E14/B14*1.5,1)</f>
        <v>16</v>
      </c>
      <c r="H14" s="49" t="s">
        <v>92</v>
      </c>
      <c r="I14" s="85" t="s">
        <v>139</v>
      </c>
      <c r="J14" s="49" t="s">
        <v>138</v>
      </c>
      <c r="K14" s="49" t="s">
        <v>126</v>
      </c>
      <c r="L14" s="49" t="s">
        <v>128</v>
      </c>
      <c r="M14" s="49" t="s">
        <v>128</v>
      </c>
      <c r="N14" s="49" t="s">
        <v>133</v>
      </c>
      <c r="O14" s="49" t="s">
        <v>140</v>
      </c>
      <c r="P14" s="102" t="s">
        <v>106</v>
      </c>
      <c r="Q14" s="102" t="s">
        <v>149</v>
      </c>
    </row>
    <row r="15" spans="1:17" ht="15">
      <c r="A15" s="101" t="s">
        <v>12</v>
      </c>
      <c r="B15" s="48">
        <v>1350</v>
      </c>
      <c r="C15" s="48">
        <v>4000</v>
      </c>
      <c r="D15" s="48">
        <f t="shared" si="3"/>
        <v>2.962962962962963</v>
      </c>
      <c r="E15" s="48">
        <f t="shared" si="4"/>
        <v>333.3333333333333</v>
      </c>
      <c r="F15" s="48">
        <f t="shared" si="1"/>
        <v>1</v>
      </c>
      <c r="G15" s="48">
        <f>CEILING(3*E15/B15*1.5,1)</f>
        <v>2</v>
      </c>
      <c r="H15" s="49" t="s">
        <v>92</v>
      </c>
      <c r="I15" s="49" t="s">
        <v>136</v>
      </c>
      <c r="J15" s="49" t="s">
        <v>138</v>
      </c>
      <c r="K15" s="49" t="s">
        <v>126</v>
      </c>
      <c r="L15" s="49" t="s">
        <v>131</v>
      </c>
      <c r="M15" s="49" t="s">
        <v>128</v>
      </c>
      <c r="N15" s="49" t="s">
        <v>129</v>
      </c>
      <c r="O15" s="49" t="s">
        <v>132</v>
      </c>
      <c r="P15" s="102" t="s">
        <v>107</v>
      </c>
      <c r="Q15" s="102" t="s">
        <v>149</v>
      </c>
    </row>
    <row r="16" spans="1:17" ht="15">
      <c r="A16" s="103" t="s">
        <v>82</v>
      </c>
      <c r="B16" s="45">
        <v>1000</v>
      </c>
      <c r="C16" s="45">
        <v>8955</v>
      </c>
      <c r="D16" s="45">
        <f t="shared" si="3"/>
        <v>8.955</v>
      </c>
      <c r="E16" s="45">
        <f t="shared" si="4"/>
        <v>746.25</v>
      </c>
      <c r="F16" s="45">
        <f t="shared" si="1"/>
        <v>2</v>
      </c>
      <c r="G16" s="45">
        <f>CEILING(2*E16/B16*1.5,1)</f>
        <v>3</v>
      </c>
      <c r="H16" s="46" t="s">
        <v>93</v>
      </c>
      <c r="I16" s="46"/>
      <c r="J16" s="46"/>
      <c r="K16" s="46"/>
      <c r="L16" s="46"/>
      <c r="M16" s="46"/>
      <c r="N16" s="46"/>
      <c r="O16" s="46"/>
      <c r="P16" s="104" t="s">
        <v>108</v>
      </c>
      <c r="Q16" s="104" t="s">
        <v>149</v>
      </c>
    </row>
    <row r="17" spans="1:17" ht="15">
      <c r="A17" s="103" t="s">
        <v>113</v>
      </c>
      <c r="B17" s="45"/>
      <c r="C17" s="45"/>
      <c r="D17" s="45"/>
      <c r="E17" s="45"/>
      <c r="F17" s="45">
        <f>G17</f>
        <v>6</v>
      </c>
      <c r="G17" s="45">
        <v>6</v>
      </c>
      <c r="H17" s="46"/>
      <c r="I17" s="46"/>
      <c r="J17" s="46"/>
      <c r="K17" s="46"/>
      <c r="L17" s="46"/>
      <c r="M17" s="46"/>
      <c r="N17" s="46"/>
      <c r="O17" s="46"/>
      <c r="P17" s="104"/>
      <c r="Q17" s="104"/>
    </row>
    <row r="18" spans="1:17" ht="15">
      <c r="A18" s="103" t="s">
        <v>111</v>
      </c>
      <c r="B18" s="45">
        <v>400</v>
      </c>
      <c r="C18" s="45">
        <v>2894</v>
      </c>
      <c r="D18" s="45">
        <f t="shared" si="3"/>
        <v>7.235</v>
      </c>
      <c r="E18" s="45">
        <f t="shared" si="4"/>
        <v>241.16666666666666</v>
      </c>
      <c r="F18" s="45">
        <f t="shared" si="1"/>
        <v>2</v>
      </c>
      <c r="G18" s="45">
        <f>CEILING(2*E18/B18*1.5,1)</f>
        <v>2</v>
      </c>
      <c r="H18" s="46" t="s">
        <v>93</v>
      </c>
      <c r="I18" s="46"/>
      <c r="J18" s="46"/>
      <c r="K18" s="46"/>
      <c r="L18" s="46"/>
      <c r="M18" s="46"/>
      <c r="N18" s="46"/>
      <c r="O18" s="46"/>
      <c r="P18" s="104" t="s">
        <v>112</v>
      </c>
      <c r="Q18" s="104" t="s">
        <v>149</v>
      </c>
    </row>
    <row r="19" spans="1:17" ht="15.75" thickBot="1">
      <c r="A19" s="105" t="s">
        <v>4</v>
      </c>
      <c r="B19" s="52">
        <v>1000</v>
      </c>
      <c r="C19" s="52">
        <v>541208</v>
      </c>
      <c r="D19" s="52">
        <f t="shared" si="3"/>
        <v>541.208</v>
      </c>
      <c r="E19" s="52">
        <f t="shared" si="4"/>
        <v>45100.666666666664</v>
      </c>
      <c r="F19" s="52">
        <f t="shared" si="1"/>
        <v>91</v>
      </c>
      <c r="G19" s="52">
        <f>CEILING(0.5*E19/B19*1.5,1)</f>
        <v>34</v>
      </c>
      <c r="H19" s="53" t="s">
        <v>96</v>
      </c>
      <c r="I19" s="53" t="s">
        <v>144</v>
      </c>
      <c r="J19" s="53" t="s">
        <v>138</v>
      </c>
      <c r="K19" s="53" t="s">
        <v>126</v>
      </c>
      <c r="L19" s="53" t="s">
        <v>127</v>
      </c>
      <c r="M19" s="53" t="s">
        <v>128</v>
      </c>
      <c r="N19" s="53" t="s">
        <v>129</v>
      </c>
      <c r="O19" s="53" t="s">
        <v>130</v>
      </c>
      <c r="P19" s="106" t="s">
        <v>109</v>
      </c>
      <c r="Q19" s="106" t="s">
        <v>149</v>
      </c>
    </row>
    <row r="20" spans="1:17" ht="15.75" thickBot="1">
      <c r="A20" s="107"/>
      <c r="B20" s="71"/>
      <c r="C20" s="71"/>
      <c r="D20" s="71"/>
      <c r="E20" s="77" t="s">
        <v>118</v>
      </c>
      <c r="F20" s="71">
        <f>SUM(F12:F19)</f>
        <v>112</v>
      </c>
      <c r="G20" s="71">
        <f>SUM(G12:G19)</f>
        <v>66</v>
      </c>
      <c r="H20" s="72"/>
      <c r="I20" s="72"/>
      <c r="J20" s="72"/>
      <c r="K20" s="72"/>
      <c r="L20" s="72"/>
      <c r="M20" s="72"/>
      <c r="N20" s="72"/>
      <c r="O20" s="72"/>
      <c r="P20" s="108"/>
      <c r="Q20" s="108"/>
    </row>
    <row r="21" spans="1:17" ht="15">
      <c r="A21" s="109" t="s">
        <v>69</v>
      </c>
      <c r="B21" s="56">
        <v>480</v>
      </c>
      <c r="C21" s="57">
        <v>40710.48299999999</v>
      </c>
      <c r="D21" s="57">
        <f aca="true" t="shared" si="5" ref="D21:D26">C21/B21</f>
        <v>84.81350624999999</v>
      </c>
      <c r="E21" s="57">
        <f aca="true" t="shared" si="6" ref="E21:E26">C21/12</f>
        <v>3392.5402499999996</v>
      </c>
      <c r="F21" s="57">
        <f t="shared" si="1"/>
        <v>15</v>
      </c>
      <c r="G21" s="57">
        <f>CEILING(E21/B21*1.5,1)</f>
        <v>11</v>
      </c>
      <c r="H21" s="58" t="s">
        <v>70</v>
      </c>
      <c r="I21" s="58"/>
      <c r="J21" s="58"/>
      <c r="K21" s="58"/>
      <c r="L21" s="58"/>
      <c r="M21" s="58"/>
      <c r="N21" s="58"/>
      <c r="O21" s="58"/>
      <c r="P21" s="110" t="s">
        <v>71</v>
      </c>
      <c r="Q21" s="110"/>
    </row>
    <row r="22" spans="1:17" ht="15">
      <c r="A22" s="111" t="s">
        <v>84</v>
      </c>
      <c r="B22" s="59">
        <v>1000</v>
      </c>
      <c r="C22" s="59">
        <v>17450</v>
      </c>
      <c r="D22" s="59">
        <f t="shared" si="5"/>
        <v>17.45</v>
      </c>
      <c r="E22" s="59">
        <f t="shared" si="6"/>
        <v>1454.1666666666667</v>
      </c>
      <c r="F22" s="59">
        <f t="shared" si="1"/>
        <v>3</v>
      </c>
      <c r="G22" s="59">
        <f>CEILING(2*E22/B22*1.5,1)</f>
        <v>5</v>
      </c>
      <c r="H22" s="60" t="s">
        <v>93</v>
      </c>
      <c r="I22" s="60" t="s">
        <v>137</v>
      </c>
      <c r="J22" s="60" t="s">
        <v>141</v>
      </c>
      <c r="K22" s="60" t="s">
        <v>128</v>
      </c>
      <c r="L22" s="60" t="s">
        <v>128</v>
      </c>
      <c r="M22" s="60" t="s">
        <v>133</v>
      </c>
      <c r="N22" s="60" t="s">
        <v>131</v>
      </c>
      <c r="O22" s="60" t="s">
        <v>142</v>
      </c>
      <c r="P22" s="112" t="s">
        <v>101</v>
      </c>
      <c r="Q22" s="112"/>
    </row>
    <row r="23" spans="1:17" ht="15">
      <c r="A23" s="111" t="s">
        <v>77</v>
      </c>
      <c r="B23" s="59">
        <v>1050</v>
      </c>
      <c r="C23" s="59">
        <v>19030.199</v>
      </c>
      <c r="D23" s="59">
        <f t="shared" si="5"/>
        <v>18.123999047619048</v>
      </c>
      <c r="E23" s="59">
        <f t="shared" si="6"/>
        <v>1585.8499166666668</v>
      </c>
      <c r="F23" s="59">
        <f t="shared" si="1"/>
        <v>4</v>
      </c>
      <c r="G23" s="59">
        <f>CEILING(E23/B23*1.5,1)</f>
        <v>3</v>
      </c>
      <c r="H23" s="60" t="s">
        <v>70</v>
      </c>
      <c r="I23" s="60" t="s">
        <v>137</v>
      </c>
      <c r="J23" s="60" t="s">
        <v>141</v>
      </c>
      <c r="K23" s="60" t="s">
        <v>128</v>
      </c>
      <c r="L23" s="60" t="s">
        <v>128</v>
      </c>
      <c r="M23" s="60" t="s">
        <v>133</v>
      </c>
      <c r="N23" s="60" t="s">
        <v>131</v>
      </c>
      <c r="O23" s="60" t="s">
        <v>142</v>
      </c>
      <c r="P23" s="112" t="s">
        <v>90</v>
      </c>
      <c r="Q23" s="112"/>
    </row>
    <row r="24" spans="1:17" ht="15">
      <c r="A24" s="111" t="s">
        <v>79</v>
      </c>
      <c r="B24" s="59">
        <v>750</v>
      </c>
      <c r="C24" s="59">
        <v>56782.654</v>
      </c>
      <c r="D24" s="59">
        <f t="shared" si="5"/>
        <v>75.71020533333333</v>
      </c>
      <c r="E24" s="59">
        <f t="shared" si="6"/>
        <v>4731.887833333333</v>
      </c>
      <c r="F24" s="59">
        <f t="shared" si="1"/>
        <v>13</v>
      </c>
      <c r="G24" s="59">
        <f>CEILING(3*E24/B24*1.5,1)</f>
        <v>29</v>
      </c>
      <c r="H24" s="60" t="s">
        <v>92</v>
      </c>
      <c r="I24" s="60" t="s">
        <v>137</v>
      </c>
      <c r="J24" s="60" t="s">
        <v>141</v>
      </c>
      <c r="K24" s="60" t="s">
        <v>128</v>
      </c>
      <c r="L24" s="60" t="s">
        <v>128</v>
      </c>
      <c r="M24" s="60" t="s">
        <v>133</v>
      </c>
      <c r="N24" s="60" t="s">
        <v>131</v>
      </c>
      <c r="O24" s="60" t="s">
        <v>142</v>
      </c>
      <c r="P24" s="112" t="s">
        <v>102</v>
      </c>
      <c r="Q24" s="112"/>
    </row>
    <row r="25" spans="1:17" ht="15">
      <c r="A25" s="113" t="s">
        <v>80</v>
      </c>
      <c r="B25" s="61">
        <v>1200</v>
      </c>
      <c r="C25" s="61">
        <v>91132.936</v>
      </c>
      <c r="D25" s="61">
        <f t="shared" si="5"/>
        <v>75.94411333333333</v>
      </c>
      <c r="E25" s="61">
        <f t="shared" si="6"/>
        <v>7594.4113333333335</v>
      </c>
      <c r="F25" s="61">
        <f t="shared" si="1"/>
        <v>13</v>
      </c>
      <c r="G25" s="61">
        <f>CEILING(2*E25/B25*1.5,1)</f>
        <v>19</v>
      </c>
      <c r="H25" s="62" t="s">
        <v>93</v>
      </c>
      <c r="I25" s="62" t="s">
        <v>136</v>
      </c>
      <c r="J25" s="62" t="s">
        <v>141</v>
      </c>
      <c r="K25" s="62" t="s">
        <v>128</v>
      </c>
      <c r="L25" s="62" t="s">
        <v>128</v>
      </c>
      <c r="M25" s="62" t="s">
        <v>133</v>
      </c>
      <c r="N25" s="62" t="s">
        <v>131</v>
      </c>
      <c r="O25" s="62" t="s">
        <v>142</v>
      </c>
      <c r="P25" s="114" t="s">
        <v>103</v>
      </c>
      <c r="Q25" s="114"/>
    </row>
    <row r="26" spans="1:17" ht="15.75" thickBot="1">
      <c r="A26" s="115" t="s">
        <v>83</v>
      </c>
      <c r="B26" s="63">
        <v>1600</v>
      </c>
      <c r="C26" s="63">
        <v>44295</v>
      </c>
      <c r="D26" s="63">
        <f t="shared" si="5"/>
        <v>27.684375</v>
      </c>
      <c r="E26" s="63">
        <f t="shared" si="6"/>
        <v>3691.25</v>
      </c>
      <c r="F26" s="63">
        <f t="shared" si="1"/>
        <v>5</v>
      </c>
      <c r="G26" s="63">
        <f>CEILING(2*E26/B26*1.5,1)</f>
        <v>7</v>
      </c>
      <c r="H26" s="64" t="s">
        <v>93</v>
      </c>
      <c r="I26" s="64" t="s">
        <v>137</v>
      </c>
      <c r="J26" s="62" t="s">
        <v>141</v>
      </c>
      <c r="K26" s="62" t="s">
        <v>128</v>
      </c>
      <c r="L26" s="62" t="s">
        <v>128</v>
      </c>
      <c r="M26" s="62" t="s">
        <v>133</v>
      </c>
      <c r="N26" s="62" t="s">
        <v>131</v>
      </c>
      <c r="O26" s="62" t="s">
        <v>142</v>
      </c>
      <c r="P26" s="116" t="s">
        <v>104</v>
      </c>
      <c r="Q26" s="116"/>
    </row>
    <row r="27" spans="1:17" ht="15.75" thickBot="1">
      <c r="A27" s="117"/>
      <c r="B27" s="73"/>
      <c r="C27" s="73"/>
      <c r="D27" s="73"/>
      <c r="E27" s="78" t="s">
        <v>119</v>
      </c>
      <c r="F27" s="74">
        <f>SUM(F21:F26)</f>
        <v>53</v>
      </c>
      <c r="G27" s="74">
        <f>SUM(G21:G26)</f>
        <v>74</v>
      </c>
      <c r="H27" s="75"/>
      <c r="I27" s="75"/>
      <c r="J27" s="75"/>
      <c r="K27" s="75"/>
      <c r="L27" s="75"/>
      <c r="M27" s="75"/>
      <c r="N27" s="75"/>
      <c r="O27" s="75"/>
      <c r="P27" s="118"/>
      <c r="Q27" s="118"/>
    </row>
    <row r="28" spans="1:17" s="120" customFormat="1" ht="15">
      <c r="A28" s="119"/>
      <c r="B28" s="65"/>
      <c r="C28" s="65"/>
      <c r="D28" s="65"/>
      <c r="E28" s="79" t="s">
        <v>120</v>
      </c>
      <c r="F28" s="67">
        <f>F11+F20+F27</f>
        <v>197</v>
      </c>
      <c r="G28" s="67">
        <f>G11+G20+G27</f>
        <v>170</v>
      </c>
      <c r="H28" s="66"/>
      <c r="I28" s="66"/>
      <c r="J28" s="66"/>
      <c r="K28" s="66"/>
      <c r="L28" s="66"/>
      <c r="M28" s="66"/>
      <c r="N28" s="66"/>
      <c r="O28" s="66"/>
      <c r="P28" s="119"/>
      <c r="Q28" s="119"/>
    </row>
    <row r="30" spans="1:7" ht="15">
      <c r="A30" s="4">
        <v>2021</v>
      </c>
      <c r="B30" s="36" t="s">
        <v>114</v>
      </c>
      <c r="E30" s="17" t="s">
        <v>28</v>
      </c>
      <c r="F30" s="18">
        <v>40</v>
      </c>
      <c r="G30" s="87" t="s">
        <v>29</v>
      </c>
    </row>
    <row r="31" spans="1:17" ht="15.75" thickBot="1">
      <c r="A31" s="88" t="s">
        <v>66</v>
      </c>
      <c r="B31" s="37" t="s">
        <v>95</v>
      </c>
      <c r="C31" s="37" t="s">
        <v>7</v>
      </c>
      <c r="D31" s="37" t="s">
        <v>94</v>
      </c>
      <c r="E31" s="37" t="s">
        <v>67</v>
      </c>
      <c r="F31" s="37" t="s">
        <v>116</v>
      </c>
      <c r="G31" s="37" t="s">
        <v>110</v>
      </c>
      <c r="H31" s="37" t="s">
        <v>14</v>
      </c>
      <c r="I31" s="47" t="s">
        <v>134</v>
      </c>
      <c r="J31" s="47" t="s">
        <v>135</v>
      </c>
      <c r="K31" s="47" t="s">
        <v>121</v>
      </c>
      <c r="L31" s="47" t="s">
        <v>122</v>
      </c>
      <c r="M31" s="47" t="s">
        <v>123</v>
      </c>
      <c r="N31" s="47" t="s">
        <v>124</v>
      </c>
      <c r="O31" s="47" t="s">
        <v>125</v>
      </c>
      <c r="P31" s="36" t="s">
        <v>68</v>
      </c>
      <c r="Q31" s="36" t="s">
        <v>148</v>
      </c>
    </row>
    <row r="32" spans="1:17" ht="15">
      <c r="A32" s="89" t="s">
        <v>97</v>
      </c>
      <c r="B32" s="38">
        <v>1100</v>
      </c>
      <c r="C32" s="38">
        <f>C3*2</f>
        <v>80486.68</v>
      </c>
      <c r="D32" s="38">
        <f aca="true" t="shared" si="7" ref="D32:D38">C32/B32</f>
        <v>73.16970909090908</v>
      </c>
      <c r="E32" s="38">
        <f aca="true" t="shared" si="8" ref="E32:E39">C32/12</f>
        <v>6707.223333333332</v>
      </c>
      <c r="F32" s="38">
        <f aca="true" t="shared" si="9" ref="F32:F39">CEILING(C32/6/B32,1)</f>
        <v>13</v>
      </c>
      <c r="G32" s="38">
        <f>CEILING(E32/B32*1.5,1)</f>
        <v>10</v>
      </c>
      <c r="H32" s="39" t="s">
        <v>70</v>
      </c>
      <c r="I32" s="39" t="s">
        <v>143</v>
      </c>
      <c r="J32" s="39" t="s">
        <v>138</v>
      </c>
      <c r="K32" s="39" t="s">
        <v>126</v>
      </c>
      <c r="L32" s="39" t="s">
        <v>131</v>
      </c>
      <c r="M32" s="39" t="s">
        <v>128</v>
      </c>
      <c r="N32" s="39" t="s">
        <v>131</v>
      </c>
      <c r="O32" s="39" t="s">
        <v>142</v>
      </c>
      <c r="P32" s="90" t="s">
        <v>71</v>
      </c>
      <c r="Q32" s="90" t="s">
        <v>149</v>
      </c>
    </row>
    <row r="33" spans="1:17" ht="30">
      <c r="A33" s="91" t="s">
        <v>73</v>
      </c>
      <c r="B33" s="40">
        <v>1125</v>
      </c>
      <c r="C33" s="40">
        <f>C4/F1*F30</f>
        <v>40952.380952380954</v>
      </c>
      <c r="D33" s="40">
        <f t="shared" si="7"/>
        <v>36.402116402116405</v>
      </c>
      <c r="E33" s="40">
        <f t="shared" si="8"/>
        <v>3412.698412698413</v>
      </c>
      <c r="F33" s="40">
        <f t="shared" si="9"/>
        <v>7</v>
      </c>
      <c r="G33" s="40">
        <f>CEILING(E33/B33*1.5,1)</f>
        <v>5</v>
      </c>
      <c r="H33" s="41" t="s">
        <v>70</v>
      </c>
      <c r="I33" s="41" t="s">
        <v>143</v>
      </c>
      <c r="J33" s="82" t="s">
        <v>138</v>
      </c>
      <c r="K33" s="82" t="s">
        <v>126</v>
      </c>
      <c r="L33" s="82" t="s">
        <v>131</v>
      </c>
      <c r="M33" s="82" t="s">
        <v>128</v>
      </c>
      <c r="N33" s="82" t="s">
        <v>131</v>
      </c>
      <c r="O33" s="82" t="s">
        <v>142</v>
      </c>
      <c r="P33" s="92" t="s">
        <v>71</v>
      </c>
      <c r="Q33" s="92" t="s">
        <v>149</v>
      </c>
    </row>
    <row r="34" spans="1:17" ht="30">
      <c r="A34" s="91" t="s">
        <v>74</v>
      </c>
      <c r="B34" s="40">
        <v>1100</v>
      </c>
      <c r="C34" s="40">
        <f>C5*2</f>
        <v>83419.492</v>
      </c>
      <c r="D34" s="40">
        <f t="shared" si="7"/>
        <v>75.83590181818181</v>
      </c>
      <c r="E34" s="40">
        <f t="shared" si="8"/>
        <v>6951.624333333333</v>
      </c>
      <c r="F34" s="40">
        <f t="shared" si="9"/>
        <v>13</v>
      </c>
      <c r="G34" s="40">
        <f>CEILING(E34/B34*1.5,1)</f>
        <v>10</v>
      </c>
      <c r="H34" s="41" t="s">
        <v>70</v>
      </c>
      <c r="I34" s="41" t="s">
        <v>143</v>
      </c>
      <c r="J34" s="82" t="s">
        <v>138</v>
      </c>
      <c r="K34" s="82" t="s">
        <v>126</v>
      </c>
      <c r="L34" s="82" t="s">
        <v>131</v>
      </c>
      <c r="M34" s="82" t="s">
        <v>128</v>
      </c>
      <c r="N34" s="82" t="s">
        <v>131</v>
      </c>
      <c r="O34" s="82" t="s">
        <v>142</v>
      </c>
      <c r="P34" s="92" t="s">
        <v>71</v>
      </c>
      <c r="Q34" s="92" t="s">
        <v>149</v>
      </c>
    </row>
    <row r="35" spans="1:17" ht="30">
      <c r="A35" s="91" t="s">
        <v>81</v>
      </c>
      <c r="B35" s="40">
        <v>600</v>
      </c>
      <c r="C35" s="40">
        <f>C6*2</f>
        <v>6676</v>
      </c>
      <c r="D35" s="40">
        <f t="shared" si="7"/>
        <v>11.126666666666667</v>
      </c>
      <c r="E35" s="40">
        <f t="shared" si="8"/>
        <v>556.3333333333334</v>
      </c>
      <c r="F35" s="40">
        <f t="shared" si="9"/>
        <v>2</v>
      </c>
      <c r="G35" s="40">
        <f>CEILING(2*E35/B35*1.5,1)</f>
        <v>3</v>
      </c>
      <c r="H35" s="41" t="s">
        <v>93</v>
      </c>
      <c r="I35" s="41" t="s">
        <v>143</v>
      </c>
      <c r="J35" s="82" t="s">
        <v>138</v>
      </c>
      <c r="K35" s="82" t="s">
        <v>126</v>
      </c>
      <c r="L35" s="82" t="s">
        <v>131</v>
      </c>
      <c r="M35" s="82" t="s">
        <v>128</v>
      </c>
      <c r="N35" s="82" t="s">
        <v>131</v>
      </c>
      <c r="O35" s="82" t="s">
        <v>142</v>
      </c>
      <c r="P35" s="92" t="s">
        <v>71</v>
      </c>
      <c r="Q35" s="92" t="s">
        <v>149</v>
      </c>
    </row>
    <row r="36" spans="1:17" ht="30">
      <c r="A36" s="91" t="s">
        <v>85</v>
      </c>
      <c r="B36" s="40">
        <v>1200</v>
      </c>
      <c r="C36" s="40">
        <f>C7*2</f>
        <v>110245.284</v>
      </c>
      <c r="D36" s="40">
        <f t="shared" si="7"/>
        <v>91.87107</v>
      </c>
      <c r="E36" s="40">
        <f t="shared" si="8"/>
        <v>9187.107</v>
      </c>
      <c r="F36" s="40">
        <f t="shared" si="9"/>
        <v>16</v>
      </c>
      <c r="G36" s="40">
        <f>CEILING(E36/B36*1.5,1)</f>
        <v>12</v>
      </c>
      <c r="H36" s="41" t="s">
        <v>70</v>
      </c>
      <c r="I36" s="41" t="s">
        <v>143</v>
      </c>
      <c r="J36" s="82" t="s">
        <v>138</v>
      </c>
      <c r="K36" s="82" t="s">
        <v>126</v>
      </c>
      <c r="L36" s="82" t="s">
        <v>131</v>
      </c>
      <c r="M36" s="82" t="s">
        <v>128</v>
      </c>
      <c r="N36" s="82" t="s">
        <v>131</v>
      </c>
      <c r="O36" s="82" t="s">
        <v>142</v>
      </c>
      <c r="P36" s="92" t="s">
        <v>99</v>
      </c>
      <c r="Q36" s="92" t="s">
        <v>149</v>
      </c>
    </row>
    <row r="37" spans="1:17" ht="30">
      <c r="A37" s="91" t="s">
        <v>72</v>
      </c>
      <c r="B37" s="40">
        <v>1000</v>
      </c>
      <c r="C37" s="40">
        <f>C8*2</f>
        <v>20132.523999999998</v>
      </c>
      <c r="D37" s="40">
        <f t="shared" si="7"/>
        <v>20.132523999999997</v>
      </c>
      <c r="E37" s="40">
        <f t="shared" si="8"/>
        <v>1677.7103333333332</v>
      </c>
      <c r="F37" s="40">
        <f t="shared" si="9"/>
        <v>4</v>
      </c>
      <c r="G37" s="40">
        <f>CEILING(3*E37/B37*1.5,1)</f>
        <v>8</v>
      </c>
      <c r="H37" s="41" t="s">
        <v>92</v>
      </c>
      <c r="I37" s="82" t="s">
        <v>145</v>
      </c>
      <c r="J37" s="82" t="s">
        <v>138</v>
      </c>
      <c r="K37" s="82" t="s">
        <v>126</v>
      </c>
      <c r="L37" s="82" t="s">
        <v>131</v>
      </c>
      <c r="M37" s="82" t="s">
        <v>128</v>
      </c>
      <c r="N37" s="82" t="s">
        <v>131</v>
      </c>
      <c r="O37" s="82" t="s">
        <v>142</v>
      </c>
      <c r="P37" s="42" t="s">
        <v>98</v>
      </c>
      <c r="Q37" s="42" t="s">
        <v>149</v>
      </c>
    </row>
    <row r="38" spans="1:17" ht="30">
      <c r="A38" s="91" t="s">
        <v>86</v>
      </c>
      <c r="B38" s="40">
        <v>1000</v>
      </c>
      <c r="C38" s="40">
        <v>500</v>
      </c>
      <c r="D38" s="40">
        <f t="shared" si="7"/>
        <v>0.5</v>
      </c>
      <c r="E38" s="40">
        <f t="shared" si="8"/>
        <v>41.666666666666664</v>
      </c>
      <c r="F38" s="40">
        <f t="shared" si="9"/>
        <v>1</v>
      </c>
      <c r="G38" s="40">
        <f>CEILING(12*E38/B38*1.5,1)</f>
        <v>1</v>
      </c>
      <c r="H38" s="41" t="s">
        <v>76</v>
      </c>
      <c r="I38" s="82" t="s">
        <v>145</v>
      </c>
      <c r="J38" s="82" t="s">
        <v>138</v>
      </c>
      <c r="K38" s="82" t="s">
        <v>126</v>
      </c>
      <c r="L38" s="82" t="s">
        <v>131</v>
      </c>
      <c r="M38" s="82" t="s">
        <v>128</v>
      </c>
      <c r="N38" s="82" t="s">
        <v>131</v>
      </c>
      <c r="O38" s="82" t="s">
        <v>142</v>
      </c>
      <c r="P38" s="42" t="s">
        <v>98</v>
      </c>
      <c r="Q38" s="42" t="s">
        <v>149</v>
      </c>
    </row>
    <row r="39" spans="1:17" ht="15.75" thickBot="1">
      <c r="A39" s="93" t="s">
        <v>87</v>
      </c>
      <c r="B39" s="43">
        <v>1100</v>
      </c>
      <c r="C39" s="43">
        <f>C10*2</f>
        <v>22360</v>
      </c>
      <c r="D39" s="43">
        <f>C39/B39</f>
        <v>20.327272727272728</v>
      </c>
      <c r="E39" s="43">
        <f t="shared" si="8"/>
        <v>1863.3333333333333</v>
      </c>
      <c r="F39" s="43">
        <f t="shared" si="9"/>
        <v>4</v>
      </c>
      <c r="G39" s="43">
        <f>CEILING(3*E39/B39*1.5,1)</f>
        <v>8</v>
      </c>
      <c r="H39" s="44" t="s">
        <v>92</v>
      </c>
      <c r="I39" s="82" t="s">
        <v>136</v>
      </c>
      <c r="J39" s="82" t="s">
        <v>138</v>
      </c>
      <c r="K39" s="82" t="s">
        <v>126</v>
      </c>
      <c r="L39" s="82" t="s">
        <v>131</v>
      </c>
      <c r="M39" s="82" t="s">
        <v>128</v>
      </c>
      <c r="N39" s="82" t="s">
        <v>129</v>
      </c>
      <c r="O39" s="44" t="s">
        <v>132</v>
      </c>
      <c r="P39" s="94" t="s">
        <v>100</v>
      </c>
      <c r="Q39" s="94" t="s">
        <v>149</v>
      </c>
    </row>
    <row r="40" spans="1:17" ht="15.75" thickBot="1">
      <c r="A40" s="95"/>
      <c r="B40" s="68"/>
      <c r="C40" s="68"/>
      <c r="D40" s="68"/>
      <c r="E40" s="76" t="s">
        <v>117</v>
      </c>
      <c r="F40" s="69">
        <f>SUM(F32:F39)</f>
        <v>60</v>
      </c>
      <c r="G40" s="69">
        <f>SUM(G32:G39)</f>
        <v>57</v>
      </c>
      <c r="H40" s="70"/>
      <c r="I40" s="70"/>
      <c r="J40" s="70"/>
      <c r="K40" s="70"/>
      <c r="L40" s="70"/>
      <c r="M40" s="70"/>
      <c r="N40" s="70"/>
      <c r="O40" s="70"/>
      <c r="P40" s="96"/>
      <c r="Q40" s="96"/>
    </row>
    <row r="41" spans="1:17" ht="30">
      <c r="A41" s="97" t="s">
        <v>75</v>
      </c>
      <c r="B41" s="54">
        <v>214</v>
      </c>
      <c r="C41" s="54">
        <f>C12*2</f>
        <v>548</v>
      </c>
      <c r="D41" s="54">
        <f>C41/B41</f>
        <v>2.560747663551402</v>
      </c>
      <c r="E41" s="54">
        <f>C41/12</f>
        <v>45.666666666666664</v>
      </c>
      <c r="F41" s="54">
        <f aca="true" t="shared" si="10" ref="F41:F48">CEILING(C41/6/B41,1)</f>
        <v>1</v>
      </c>
      <c r="G41" s="54">
        <f>CEILING(6*E41/B41*1.5,1)</f>
        <v>2</v>
      </c>
      <c r="H41" s="55" t="s">
        <v>115</v>
      </c>
      <c r="I41" s="83" t="s">
        <v>146</v>
      </c>
      <c r="J41" s="83" t="s">
        <v>138</v>
      </c>
      <c r="K41" s="83" t="s">
        <v>126</v>
      </c>
      <c r="L41" s="83" t="s">
        <v>131</v>
      </c>
      <c r="M41" s="83" t="s">
        <v>133</v>
      </c>
      <c r="N41" s="83" t="s">
        <v>133</v>
      </c>
      <c r="O41" s="83" t="s">
        <v>142</v>
      </c>
      <c r="P41" s="98" t="s">
        <v>88</v>
      </c>
      <c r="Q41" s="98" t="s">
        <v>149</v>
      </c>
    </row>
    <row r="42" spans="1:17" ht="30">
      <c r="A42" s="99" t="s">
        <v>78</v>
      </c>
      <c r="B42" s="50">
        <v>1200</v>
      </c>
      <c r="C42" s="50">
        <f>C13*2</f>
        <v>12488</v>
      </c>
      <c r="D42" s="50">
        <f>C42/B42</f>
        <v>10.406666666666666</v>
      </c>
      <c r="E42" s="50">
        <f>C42/12</f>
        <v>1040.6666666666667</v>
      </c>
      <c r="F42" s="50">
        <f t="shared" si="10"/>
        <v>2</v>
      </c>
      <c r="G42" s="50">
        <f>CEILING(E42/B42*1.5,1)</f>
        <v>2</v>
      </c>
      <c r="H42" s="51" t="s">
        <v>91</v>
      </c>
      <c r="I42" s="84" t="s">
        <v>147</v>
      </c>
      <c r="J42" s="51" t="s">
        <v>138</v>
      </c>
      <c r="K42" s="51" t="s">
        <v>126</v>
      </c>
      <c r="L42" s="51" t="s">
        <v>127</v>
      </c>
      <c r="M42" s="51" t="s">
        <v>128</v>
      </c>
      <c r="N42" s="51" t="s">
        <v>129</v>
      </c>
      <c r="O42" s="51" t="s">
        <v>130</v>
      </c>
      <c r="P42" s="100" t="s">
        <v>105</v>
      </c>
      <c r="Q42" s="100" t="s">
        <v>149</v>
      </c>
    </row>
    <row r="43" spans="1:17" ht="45">
      <c r="A43" s="101" t="s">
        <v>11</v>
      </c>
      <c r="B43" s="48">
        <v>1250</v>
      </c>
      <c r="C43" s="48">
        <f>C14/$F$1*F30</f>
        <v>83933.82222222221</v>
      </c>
      <c r="D43" s="48">
        <f>C43/B43</f>
        <v>67.14705777777777</v>
      </c>
      <c r="E43" s="48">
        <f>C43/12</f>
        <v>6994.4851851851845</v>
      </c>
      <c r="F43" s="48">
        <f t="shared" si="10"/>
        <v>12</v>
      </c>
      <c r="G43" s="48">
        <f>CEILING(2*E43/B43*1.5,1)</f>
        <v>17</v>
      </c>
      <c r="H43" s="49" t="s">
        <v>93</v>
      </c>
      <c r="I43" s="85" t="s">
        <v>139</v>
      </c>
      <c r="J43" s="49" t="s">
        <v>138</v>
      </c>
      <c r="K43" s="49" t="s">
        <v>126</v>
      </c>
      <c r="L43" s="49" t="s">
        <v>128</v>
      </c>
      <c r="M43" s="49" t="s">
        <v>128</v>
      </c>
      <c r="N43" s="49" t="s">
        <v>133</v>
      </c>
      <c r="O43" s="49" t="s">
        <v>140</v>
      </c>
      <c r="P43" s="102" t="s">
        <v>106</v>
      </c>
      <c r="Q43" s="102" t="s">
        <v>149</v>
      </c>
    </row>
    <row r="44" spans="1:17" ht="15">
      <c r="A44" s="101" t="s">
        <v>12</v>
      </c>
      <c r="B44" s="48">
        <v>1350</v>
      </c>
      <c r="C44" s="48">
        <f>C15*2</f>
        <v>8000</v>
      </c>
      <c r="D44" s="48">
        <f>C44/B44</f>
        <v>5.925925925925926</v>
      </c>
      <c r="E44" s="48">
        <f>C44/12</f>
        <v>666.6666666666666</v>
      </c>
      <c r="F44" s="48">
        <f t="shared" si="10"/>
        <v>1</v>
      </c>
      <c r="G44" s="48">
        <f>CEILING(3*E44/B44*1.5,1)</f>
        <v>3</v>
      </c>
      <c r="H44" s="49" t="s">
        <v>92</v>
      </c>
      <c r="I44" s="49" t="s">
        <v>136</v>
      </c>
      <c r="J44" s="49" t="s">
        <v>138</v>
      </c>
      <c r="K44" s="49" t="s">
        <v>126</v>
      </c>
      <c r="L44" s="49" t="s">
        <v>131</v>
      </c>
      <c r="M44" s="49" t="s">
        <v>128</v>
      </c>
      <c r="N44" s="49" t="s">
        <v>129</v>
      </c>
      <c r="O44" s="49" t="s">
        <v>132</v>
      </c>
      <c r="P44" s="102" t="s">
        <v>107</v>
      </c>
      <c r="Q44" s="102" t="s">
        <v>149</v>
      </c>
    </row>
    <row r="45" spans="1:17" ht="15">
      <c r="A45" s="103" t="s">
        <v>82</v>
      </c>
      <c r="B45" s="45">
        <v>1000</v>
      </c>
      <c r="C45" s="45">
        <v>8955</v>
      </c>
      <c r="D45" s="45">
        <f>C45/B45</f>
        <v>8.955</v>
      </c>
      <c r="E45" s="45">
        <f>C45/12</f>
        <v>746.25</v>
      </c>
      <c r="F45" s="45">
        <f t="shared" si="10"/>
        <v>2</v>
      </c>
      <c r="G45" s="45">
        <f>CEILING(2*E45/B45*1.5,1)</f>
        <v>3</v>
      </c>
      <c r="H45" s="46" t="s">
        <v>93</v>
      </c>
      <c r="I45" s="46"/>
      <c r="J45" s="46"/>
      <c r="K45" s="46"/>
      <c r="L45" s="46"/>
      <c r="M45" s="46"/>
      <c r="N45" s="46"/>
      <c r="O45" s="46"/>
      <c r="P45" s="104" t="s">
        <v>108</v>
      </c>
      <c r="Q45" s="104" t="s">
        <v>149</v>
      </c>
    </row>
    <row r="46" spans="1:17" ht="15">
      <c r="A46" s="103" t="s">
        <v>113</v>
      </c>
      <c r="B46" s="45"/>
      <c r="C46" s="45"/>
      <c r="D46" s="45"/>
      <c r="E46" s="45"/>
      <c r="F46" s="45">
        <f>G46</f>
        <v>8</v>
      </c>
      <c r="G46" s="45">
        <v>8</v>
      </c>
      <c r="H46" s="46"/>
      <c r="I46" s="46"/>
      <c r="J46" s="46"/>
      <c r="K46" s="46"/>
      <c r="L46" s="46"/>
      <c r="M46" s="46"/>
      <c r="N46" s="46"/>
      <c r="O46" s="46"/>
      <c r="P46" s="104"/>
      <c r="Q46" s="104"/>
    </row>
    <row r="47" spans="1:17" ht="15">
      <c r="A47" s="103" t="s">
        <v>111</v>
      </c>
      <c r="B47" s="45">
        <v>400</v>
      </c>
      <c r="C47" s="45">
        <f>C18*2</f>
        <v>5788</v>
      </c>
      <c r="D47" s="45">
        <f>C47/B47</f>
        <v>14.47</v>
      </c>
      <c r="E47" s="45">
        <f>C47/12</f>
        <v>482.3333333333333</v>
      </c>
      <c r="F47" s="45">
        <f t="shared" si="10"/>
        <v>3</v>
      </c>
      <c r="G47" s="45">
        <f>CEILING(2*E47/B47*1.5,1)</f>
        <v>4</v>
      </c>
      <c r="H47" s="46" t="s">
        <v>93</v>
      </c>
      <c r="I47" s="46"/>
      <c r="J47" s="46"/>
      <c r="K47" s="46"/>
      <c r="L47" s="46"/>
      <c r="M47" s="46"/>
      <c r="N47" s="46"/>
      <c r="O47" s="46"/>
      <c r="P47" s="104" t="s">
        <v>112</v>
      </c>
      <c r="Q47" s="104" t="s">
        <v>149</v>
      </c>
    </row>
    <row r="48" spans="1:17" ht="15.75" thickBot="1">
      <c r="A48" s="105" t="s">
        <v>4</v>
      </c>
      <c r="B48" s="52">
        <v>1000</v>
      </c>
      <c r="C48" s="52">
        <f>C19/$F$1*$F$30</f>
        <v>859060.3174603174</v>
      </c>
      <c r="D48" s="52">
        <f>C48/B48</f>
        <v>859.0603174603174</v>
      </c>
      <c r="E48" s="52">
        <f>C48/12</f>
        <v>71588.35978835978</v>
      </c>
      <c r="F48" s="52">
        <f t="shared" si="10"/>
        <v>144</v>
      </c>
      <c r="G48" s="52">
        <f>CEILING(0.5*E48/B48*1.5,1)</f>
        <v>54</v>
      </c>
      <c r="H48" s="53" t="s">
        <v>96</v>
      </c>
      <c r="I48" s="53" t="s">
        <v>144</v>
      </c>
      <c r="J48" s="53" t="s">
        <v>138</v>
      </c>
      <c r="K48" s="53" t="s">
        <v>126</v>
      </c>
      <c r="L48" s="53" t="s">
        <v>127</v>
      </c>
      <c r="M48" s="53" t="s">
        <v>128</v>
      </c>
      <c r="N48" s="53" t="s">
        <v>129</v>
      </c>
      <c r="O48" s="53" t="s">
        <v>130</v>
      </c>
      <c r="P48" s="106" t="s">
        <v>109</v>
      </c>
      <c r="Q48" s="106" t="s">
        <v>149</v>
      </c>
    </row>
    <row r="49" spans="1:17" ht="15.75" thickBot="1">
      <c r="A49" s="107"/>
      <c r="B49" s="71"/>
      <c r="C49" s="71"/>
      <c r="D49" s="71"/>
      <c r="E49" s="77" t="s">
        <v>118</v>
      </c>
      <c r="F49" s="71">
        <f>SUM(F41:F48)</f>
        <v>173</v>
      </c>
      <c r="G49" s="71">
        <f>SUM(G41:G48)</f>
        <v>93</v>
      </c>
      <c r="H49" s="72"/>
      <c r="I49" s="72"/>
      <c r="J49" s="72"/>
      <c r="K49" s="72"/>
      <c r="L49" s="72"/>
      <c r="M49" s="72"/>
      <c r="N49" s="72"/>
      <c r="O49" s="72"/>
      <c r="P49" s="108"/>
      <c r="Q49" s="108"/>
    </row>
    <row r="50" spans="1:17" ht="15">
      <c r="A50" s="109" t="s">
        <v>69</v>
      </c>
      <c r="B50" s="56">
        <v>480</v>
      </c>
      <c r="C50" s="57">
        <f>C21*2</f>
        <v>81420.96599999999</v>
      </c>
      <c r="D50" s="57">
        <f aca="true" t="shared" si="11" ref="D50:D55">C50/B50</f>
        <v>169.62701249999998</v>
      </c>
      <c r="E50" s="57">
        <f aca="true" t="shared" si="12" ref="E50:E55">C50/12</f>
        <v>6785.080499999999</v>
      </c>
      <c r="F50" s="57">
        <f aca="true" t="shared" si="13" ref="F50:F55">CEILING(C50/6/B50,1)</f>
        <v>29</v>
      </c>
      <c r="G50" s="57">
        <f>CEILING(E50/B50*1.5,1)</f>
        <v>22</v>
      </c>
      <c r="H50" s="58" t="s">
        <v>70</v>
      </c>
      <c r="I50" s="58"/>
      <c r="J50" s="58"/>
      <c r="K50" s="58"/>
      <c r="L50" s="58"/>
      <c r="M50" s="58"/>
      <c r="N50" s="58"/>
      <c r="O50" s="58"/>
      <c r="P50" s="110" t="s">
        <v>71</v>
      </c>
      <c r="Q50" s="110"/>
    </row>
    <row r="51" spans="1:17" ht="15">
      <c r="A51" s="111" t="s">
        <v>84</v>
      </c>
      <c r="B51" s="59">
        <v>1000</v>
      </c>
      <c r="C51" s="59">
        <v>17450</v>
      </c>
      <c r="D51" s="59">
        <f t="shared" si="11"/>
        <v>17.45</v>
      </c>
      <c r="E51" s="59">
        <f t="shared" si="12"/>
        <v>1454.1666666666667</v>
      </c>
      <c r="F51" s="59">
        <f t="shared" si="13"/>
        <v>3</v>
      </c>
      <c r="G51" s="59">
        <f>CEILING(2*E51/B51*1.5,1)</f>
        <v>5</v>
      </c>
      <c r="H51" s="60" t="s">
        <v>93</v>
      </c>
      <c r="I51" s="60" t="s">
        <v>137</v>
      </c>
      <c r="J51" s="60" t="s">
        <v>141</v>
      </c>
      <c r="K51" s="60" t="s">
        <v>128</v>
      </c>
      <c r="L51" s="60" t="s">
        <v>128</v>
      </c>
      <c r="M51" s="60" t="s">
        <v>133</v>
      </c>
      <c r="N51" s="60" t="s">
        <v>131</v>
      </c>
      <c r="O51" s="60" t="s">
        <v>142</v>
      </c>
      <c r="P51" s="112" t="s">
        <v>101</v>
      </c>
      <c r="Q51" s="112"/>
    </row>
    <row r="52" spans="1:17" ht="15">
      <c r="A52" s="111" t="s">
        <v>77</v>
      </c>
      <c r="B52" s="59">
        <v>1050</v>
      </c>
      <c r="C52" s="59">
        <f>C23*2</f>
        <v>38060.398</v>
      </c>
      <c r="D52" s="59">
        <f t="shared" si="11"/>
        <v>36.247998095238096</v>
      </c>
      <c r="E52" s="59">
        <f t="shared" si="12"/>
        <v>3171.6998333333336</v>
      </c>
      <c r="F52" s="59">
        <f t="shared" si="13"/>
        <v>7</v>
      </c>
      <c r="G52" s="59">
        <f>CEILING(E52/B52*1.5,1)</f>
        <v>5</v>
      </c>
      <c r="H52" s="60" t="s">
        <v>70</v>
      </c>
      <c r="I52" s="60" t="s">
        <v>137</v>
      </c>
      <c r="J52" s="60" t="s">
        <v>141</v>
      </c>
      <c r="K52" s="60" t="s">
        <v>128</v>
      </c>
      <c r="L52" s="60" t="s">
        <v>128</v>
      </c>
      <c r="M52" s="60" t="s">
        <v>133</v>
      </c>
      <c r="N52" s="60" t="s">
        <v>131</v>
      </c>
      <c r="O52" s="60" t="s">
        <v>142</v>
      </c>
      <c r="P52" s="112" t="s">
        <v>90</v>
      </c>
      <c r="Q52" s="112"/>
    </row>
    <row r="53" spans="1:17" ht="15">
      <c r="A53" s="111" t="s">
        <v>79</v>
      </c>
      <c r="B53" s="59">
        <v>750</v>
      </c>
      <c r="C53" s="59">
        <f>C24*2</f>
        <v>113565.308</v>
      </c>
      <c r="D53" s="59">
        <f t="shared" si="11"/>
        <v>151.42041066666667</v>
      </c>
      <c r="E53" s="59">
        <f t="shared" si="12"/>
        <v>9463.775666666666</v>
      </c>
      <c r="F53" s="59">
        <f t="shared" si="13"/>
        <v>26</v>
      </c>
      <c r="G53" s="59">
        <f>CEILING(2*E53/B53*1.5,1)</f>
        <v>38</v>
      </c>
      <c r="H53" s="60" t="s">
        <v>93</v>
      </c>
      <c r="I53" s="60" t="s">
        <v>137</v>
      </c>
      <c r="J53" s="60" t="s">
        <v>141</v>
      </c>
      <c r="K53" s="60" t="s">
        <v>128</v>
      </c>
      <c r="L53" s="60" t="s">
        <v>128</v>
      </c>
      <c r="M53" s="60" t="s">
        <v>133</v>
      </c>
      <c r="N53" s="60" t="s">
        <v>131</v>
      </c>
      <c r="O53" s="60" t="s">
        <v>142</v>
      </c>
      <c r="P53" s="112" t="s">
        <v>102</v>
      </c>
      <c r="Q53" s="112"/>
    </row>
    <row r="54" spans="1:17" ht="15">
      <c r="A54" s="113" t="s">
        <v>80</v>
      </c>
      <c r="B54" s="61">
        <v>1200</v>
      </c>
      <c r="C54" s="61">
        <f>C25*2</f>
        <v>182265.872</v>
      </c>
      <c r="D54" s="61">
        <f t="shared" si="11"/>
        <v>151.88822666666667</v>
      </c>
      <c r="E54" s="61">
        <f t="shared" si="12"/>
        <v>15188.822666666667</v>
      </c>
      <c r="F54" s="61">
        <f t="shared" si="13"/>
        <v>26</v>
      </c>
      <c r="G54" s="61">
        <f>CEILING(2*E54/B54*1.5,1)</f>
        <v>38</v>
      </c>
      <c r="H54" s="62" t="s">
        <v>93</v>
      </c>
      <c r="I54" s="62" t="s">
        <v>136</v>
      </c>
      <c r="J54" s="62" t="s">
        <v>141</v>
      </c>
      <c r="K54" s="62" t="s">
        <v>128</v>
      </c>
      <c r="L54" s="62" t="s">
        <v>128</v>
      </c>
      <c r="M54" s="62" t="s">
        <v>133</v>
      </c>
      <c r="N54" s="62" t="s">
        <v>131</v>
      </c>
      <c r="O54" s="62" t="s">
        <v>142</v>
      </c>
      <c r="P54" s="114" t="s">
        <v>103</v>
      </c>
      <c r="Q54" s="114"/>
    </row>
    <row r="55" spans="1:17" ht="15.75" thickBot="1">
      <c r="A55" s="115" t="s">
        <v>83</v>
      </c>
      <c r="B55" s="63">
        <v>1600</v>
      </c>
      <c r="C55" s="63">
        <v>44295</v>
      </c>
      <c r="D55" s="63">
        <f t="shared" si="11"/>
        <v>27.684375</v>
      </c>
      <c r="E55" s="63">
        <f t="shared" si="12"/>
        <v>3691.25</v>
      </c>
      <c r="F55" s="63">
        <f t="shared" si="13"/>
        <v>5</v>
      </c>
      <c r="G55" s="63">
        <f>CEILING(2*E55/B55*1.5,1)</f>
        <v>7</v>
      </c>
      <c r="H55" s="64" t="s">
        <v>93</v>
      </c>
      <c r="I55" s="64" t="s">
        <v>137</v>
      </c>
      <c r="J55" s="62" t="s">
        <v>141</v>
      </c>
      <c r="K55" s="62" t="s">
        <v>128</v>
      </c>
      <c r="L55" s="62" t="s">
        <v>128</v>
      </c>
      <c r="M55" s="62" t="s">
        <v>133</v>
      </c>
      <c r="N55" s="62" t="s">
        <v>131</v>
      </c>
      <c r="O55" s="62" t="s">
        <v>142</v>
      </c>
      <c r="P55" s="116" t="s">
        <v>104</v>
      </c>
      <c r="Q55" s="116"/>
    </row>
    <row r="56" spans="1:17" ht="15.75" thickBot="1">
      <c r="A56" s="117"/>
      <c r="B56" s="73"/>
      <c r="C56" s="73"/>
      <c r="D56" s="73"/>
      <c r="E56" s="78" t="s">
        <v>119</v>
      </c>
      <c r="F56" s="74">
        <f>SUM(F50:F55)</f>
        <v>96</v>
      </c>
      <c r="G56" s="74">
        <f>SUM(G50:G55)</f>
        <v>115</v>
      </c>
      <c r="H56" s="75"/>
      <c r="I56" s="75"/>
      <c r="J56" s="75"/>
      <c r="K56" s="75"/>
      <c r="L56" s="75"/>
      <c r="M56" s="75"/>
      <c r="N56" s="75"/>
      <c r="O56" s="75"/>
      <c r="P56" s="118"/>
      <c r="Q56" s="118"/>
    </row>
    <row r="57" spans="1:17" s="120" customFormat="1" ht="15">
      <c r="A57" s="119"/>
      <c r="B57" s="65"/>
      <c r="C57" s="65"/>
      <c r="D57" s="65"/>
      <c r="E57" s="65"/>
      <c r="F57" s="67">
        <f>F40+F49+F56</f>
        <v>329</v>
      </c>
      <c r="G57" s="67">
        <f>G40+G49+G56</f>
        <v>265</v>
      </c>
      <c r="H57" s="66"/>
      <c r="I57" s="66"/>
      <c r="J57" s="66"/>
      <c r="K57" s="66"/>
      <c r="L57" s="66"/>
      <c r="M57" s="66"/>
      <c r="N57" s="66"/>
      <c r="O57" s="66"/>
      <c r="P57" s="66"/>
      <c r="Q57" s="11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Toselli, Alberto</dc:creator>
  <cp:keywords/>
  <dc:description/>
  <cp:lastModifiedBy>Registered User</cp:lastModifiedBy>
  <cp:lastPrinted>2021-02-15T10:21:00Z</cp:lastPrinted>
  <dcterms:created xsi:type="dcterms:W3CDTF">2021-01-22T08:19:23Z</dcterms:created>
  <dcterms:modified xsi:type="dcterms:W3CDTF">2021-09-20T07:48:52Z</dcterms:modified>
  <cp:category/>
  <cp:version/>
  <cp:contentType/>
  <cp:contentStatus/>
</cp:coreProperties>
</file>