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PLIANCE\Site Permits &amp; Exemptions\Crescent Works\V8 Permit Varaiation 2023 BCA Kit\Requested Additional Information\"/>
    </mc:Choice>
  </mc:AlternateContent>
  <xr:revisionPtr revIDLastSave="0" documentId="8_{8354B4BD-80E8-4DFE-A592-27FAB4181235}" xr6:coauthVersionLast="47" xr6:coauthVersionMax="47" xr10:uidLastSave="{00000000-0000-0000-0000-000000000000}"/>
  <bookViews>
    <workbookView xWindow="-120" yWindow="-120" windowWidth="29040" windowHeight="15720" activeTab="4" xr2:uid="{4A21E138-2D3E-4333-AA7C-51DA252B79A1}"/>
  </bookViews>
  <sheets>
    <sheet name="Rev 1 " sheetId="1" r:id="rId1"/>
    <sheet name="Norit Rev 8.4.22" sheetId="3" r:id="rId2"/>
    <sheet name="Recovered Solvent" sheetId="5" r:id="rId3"/>
    <sheet name="Condes." sheetId="4" r:id="rId4"/>
    <sheet name="Split Emissions" sheetId="7" r:id="rId5"/>
    <sheet name="Scrubber in.out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8" l="1"/>
  <c r="Q11" i="8"/>
  <c r="M16" i="8"/>
  <c r="N16" i="8" s="1"/>
  <c r="M15" i="8"/>
  <c r="J15" i="7"/>
  <c r="N4" i="8"/>
  <c r="N6" i="8" s="1"/>
  <c r="M10" i="8"/>
  <c r="M9" i="8"/>
  <c r="M8" i="8"/>
  <c r="M7" i="8"/>
  <c r="M6" i="8"/>
  <c r="L11" i="8"/>
  <c r="M11" i="8" s="1"/>
  <c r="D55" i="5"/>
  <c r="D56" i="5"/>
  <c r="D54" i="5"/>
  <c r="D53" i="5"/>
  <c r="N7" i="8" l="1"/>
  <c r="N9" i="8"/>
  <c r="N10" i="8"/>
  <c r="N8" i="8"/>
  <c r="N11" i="8"/>
  <c r="E55" i="5"/>
  <c r="E54" i="5"/>
  <c r="E53" i="5"/>
  <c r="B54" i="7"/>
  <c r="V58" i="7"/>
  <c r="V41" i="7"/>
  <c r="J6" i="4"/>
  <c r="L46" i="7"/>
  <c r="N46" i="7" s="1"/>
  <c r="J55" i="7"/>
  <c r="C46" i="7"/>
  <c r="G46" i="7" s="1"/>
  <c r="B5" i="7"/>
  <c r="F28" i="7" s="1"/>
  <c r="C4" i="7"/>
  <c r="F3" i="7"/>
  <c r="F42" i="3"/>
  <c r="J10" i="4"/>
  <c r="J11" i="4"/>
  <c r="N52" i="3"/>
  <c r="L52" i="3"/>
  <c r="N47" i="3"/>
  <c r="N42" i="3"/>
  <c r="C4" i="3"/>
  <c r="G4" i="4"/>
  <c r="E47" i="5"/>
  <c r="D46" i="5"/>
  <c r="D48" i="5" s="1"/>
  <c r="T43" i="3"/>
  <c r="S43" i="3"/>
  <c r="S40" i="3"/>
  <c r="Q34" i="3"/>
  <c r="Q33" i="3"/>
  <c r="O33" i="3"/>
  <c r="J13" i="3"/>
  <c r="J20" i="3"/>
  <c r="B5" i="3"/>
  <c r="C52" i="3" s="1"/>
  <c r="Q57" i="4"/>
  <c r="G36" i="1"/>
  <c r="G35" i="1"/>
  <c r="G46" i="1"/>
  <c r="I46" i="1"/>
  <c r="G61" i="4"/>
  <c r="G60" i="4"/>
  <c r="G59" i="4"/>
  <c r="J41" i="4"/>
  <c r="M16" i="4"/>
  <c r="L16" i="4"/>
  <c r="H4" i="4"/>
  <c r="G35" i="4"/>
  <c r="G34" i="4"/>
  <c r="G33" i="4"/>
  <c r="E35" i="4"/>
  <c r="E34" i="4"/>
  <c r="E33" i="4"/>
  <c r="G16" i="4"/>
  <c r="F3" i="1"/>
  <c r="N13" i="8" l="1"/>
  <c r="N14" i="8" s="1"/>
  <c r="P11" i="8" s="1"/>
  <c r="S11" i="8" s="1"/>
  <c r="C51" i="7"/>
  <c r="G28" i="7"/>
  <c r="I28" i="7" s="1"/>
  <c r="J28" i="7" s="1"/>
  <c r="C7" i="7"/>
  <c r="F32" i="7"/>
  <c r="F46" i="7"/>
  <c r="F30" i="7"/>
  <c r="G30" i="7" s="1"/>
  <c r="I30" i="7" s="1"/>
  <c r="J30" i="7" s="1"/>
  <c r="F17" i="7"/>
  <c r="F19" i="7"/>
  <c r="G19" i="7" s="1"/>
  <c r="I19" i="7" s="1"/>
  <c r="J19" i="7" s="1"/>
  <c r="F25" i="7"/>
  <c r="G25" i="7" s="1"/>
  <c r="I25" i="7" s="1"/>
  <c r="J25" i="7" s="1"/>
  <c r="F27" i="7"/>
  <c r="G27" i="7" s="1"/>
  <c r="I27" i="7" s="1"/>
  <c r="J27" i="7" s="1"/>
  <c r="F33" i="7"/>
  <c r="F21" i="7"/>
  <c r="G21" i="7" s="1"/>
  <c r="I21" i="7" s="1"/>
  <c r="J21" i="7" s="1"/>
  <c r="F29" i="7"/>
  <c r="G29" i="7" s="1"/>
  <c r="I29" i="7" s="1"/>
  <c r="J29" i="7" s="1"/>
  <c r="F35" i="7"/>
  <c r="G35" i="7" s="1"/>
  <c r="I35" i="7" s="1"/>
  <c r="J35" i="7" s="1"/>
  <c r="F31" i="7"/>
  <c r="G31" i="7" s="1"/>
  <c r="I31" i="7" s="1"/>
  <c r="J31" i="7" s="1"/>
  <c r="F23" i="7"/>
  <c r="G23" i="7" s="1"/>
  <c r="I23" i="7" s="1"/>
  <c r="J23" i="7" s="1"/>
  <c r="F34" i="7"/>
  <c r="F18" i="7"/>
  <c r="G18" i="7" s="1"/>
  <c r="I18" i="7" s="1"/>
  <c r="J18" i="7" s="1"/>
  <c r="F20" i="7"/>
  <c r="G20" i="7" s="1"/>
  <c r="I20" i="7" s="1"/>
  <c r="J20" i="7" s="1"/>
  <c r="F22" i="7"/>
  <c r="G22" i="7" s="1"/>
  <c r="I22" i="7" s="1"/>
  <c r="J22" i="7" s="1"/>
  <c r="F24" i="7"/>
  <c r="G24" i="7" s="1"/>
  <c r="I24" i="7" s="1"/>
  <c r="J24" i="7" s="1"/>
  <c r="F26" i="7"/>
  <c r="G26" i="7" s="1"/>
  <c r="I26" i="7" s="1"/>
  <c r="J26" i="7" s="1"/>
  <c r="C4" i="1"/>
  <c r="F45" i="3"/>
  <c r="F23" i="3"/>
  <c r="D19" i="4" s="1"/>
  <c r="F25" i="3"/>
  <c r="D21" i="4" s="1"/>
  <c r="F27" i="3"/>
  <c r="D23" i="4" s="1"/>
  <c r="F29" i="3"/>
  <c r="D25" i="4" s="1"/>
  <c r="F31" i="3"/>
  <c r="D27" i="4" s="1"/>
  <c r="F33" i="3"/>
  <c r="D29" i="4" s="1"/>
  <c r="F35" i="3"/>
  <c r="D31" i="4" s="1"/>
  <c r="F37" i="3"/>
  <c r="F38" i="3"/>
  <c r="D34" i="4" s="1"/>
  <c r="F39" i="3"/>
  <c r="F40" i="3"/>
  <c r="L13" i="3"/>
  <c r="H8" i="4" s="1"/>
  <c r="C11" i="3"/>
  <c r="E11" i="3" s="1"/>
  <c r="G8" i="4" s="1"/>
  <c r="F3" i="3"/>
  <c r="C54" i="3" s="1"/>
  <c r="G52" i="3"/>
  <c r="B5" i="1"/>
  <c r="F45" i="1" s="1"/>
  <c r="J20" i="1"/>
  <c r="C53" i="1"/>
  <c r="L13" i="1"/>
  <c r="J13" i="1"/>
  <c r="C13" i="1"/>
  <c r="C11" i="1"/>
  <c r="C11" i="7" l="1"/>
  <c r="C10" i="7"/>
  <c r="F58" i="7"/>
  <c r="G58" i="7" s="1"/>
  <c r="F57" i="7"/>
  <c r="G57" i="7" s="1"/>
  <c r="I57" i="7" s="1"/>
  <c r="F39" i="7"/>
  <c r="G39" i="7" s="1"/>
  <c r="D13" i="7"/>
  <c r="F13" i="7" s="1"/>
  <c r="D12" i="7"/>
  <c r="F12" i="7" s="1"/>
  <c r="G17" i="7"/>
  <c r="F38" i="7"/>
  <c r="C13" i="3"/>
  <c r="G23" i="3"/>
  <c r="G25" i="3"/>
  <c r="G27" i="3"/>
  <c r="G29" i="3"/>
  <c r="G31" i="3"/>
  <c r="G33" i="3"/>
  <c r="G35" i="3"/>
  <c r="I52" i="3"/>
  <c r="J52" i="3" s="1"/>
  <c r="G9" i="4"/>
  <c r="J61" i="4" s="1"/>
  <c r="G40" i="3"/>
  <c r="D36" i="4"/>
  <c r="F47" i="3"/>
  <c r="G47" i="3" s="1"/>
  <c r="D35" i="4"/>
  <c r="F44" i="3"/>
  <c r="D33" i="4"/>
  <c r="C51" i="1"/>
  <c r="F36" i="3"/>
  <c r="F34" i="3"/>
  <c r="F32" i="3"/>
  <c r="F30" i="3"/>
  <c r="F28" i="3"/>
  <c r="F26" i="3"/>
  <c r="F24" i="3"/>
  <c r="F22" i="3"/>
  <c r="D18" i="4" s="1"/>
  <c r="F34" i="1"/>
  <c r="G34" i="1" s="1"/>
  <c r="I34" i="1" s="1"/>
  <c r="J34" i="1" s="1"/>
  <c r="F27" i="1"/>
  <c r="G27" i="1" s="1"/>
  <c r="I27" i="1" s="1"/>
  <c r="J27" i="1" s="1"/>
  <c r="F35" i="1"/>
  <c r="I35" i="1" s="1"/>
  <c r="J35" i="1" s="1"/>
  <c r="F28" i="1"/>
  <c r="G28" i="1" s="1"/>
  <c r="I28" i="1" s="1"/>
  <c r="J28" i="1" s="1"/>
  <c r="G51" i="1"/>
  <c r="I51" i="1" s="1"/>
  <c r="J51" i="1" s="1"/>
  <c r="L51" i="1" s="1"/>
  <c r="F22" i="1"/>
  <c r="F30" i="1"/>
  <c r="G30" i="1" s="1"/>
  <c r="I30" i="1" s="1"/>
  <c r="J30" i="1" s="1"/>
  <c r="F38" i="1"/>
  <c r="F23" i="1"/>
  <c r="G23" i="1" s="1"/>
  <c r="I23" i="1" s="1"/>
  <c r="J23" i="1" s="1"/>
  <c r="F31" i="1"/>
  <c r="G31" i="1" s="1"/>
  <c r="I31" i="1" s="1"/>
  <c r="J31" i="1" s="1"/>
  <c r="F39" i="1"/>
  <c r="F24" i="1"/>
  <c r="G24" i="1" s="1"/>
  <c r="I24" i="1" s="1"/>
  <c r="J24" i="1" s="1"/>
  <c r="F40" i="1"/>
  <c r="G40" i="1" s="1"/>
  <c r="I40" i="1" s="1"/>
  <c r="J40" i="1" s="1"/>
  <c r="F25" i="1"/>
  <c r="G25" i="1" s="1"/>
  <c r="I25" i="1" s="1"/>
  <c r="J25" i="1" s="1"/>
  <c r="F33" i="1"/>
  <c r="G33" i="1" s="1"/>
  <c r="I33" i="1" s="1"/>
  <c r="J33" i="1" s="1"/>
  <c r="F36" i="1"/>
  <c r="I36" i="1" s="1"/>
  <c r="J36" i="1" s="1"/>
  <c r="F29" i="1"/>
  <c r="G29" i="1" s="1"/>
  <c r="I29" i="1" s="1"/>
  <c r="J29" i="1" s="1"/>
  <c r="F37" i="1"/>
  <c r="F32" i="1"/>
  <c r="G32" i="1" s="1"/>
  <c r="I32" i="1" s="1"/>
  <c r="J32" i="1" s="1"/>
  <c r="F26" i="1"/>
  <c r="G26" i="1" s="1"/>
  <c r="I26" i="1" s="1"/>
  <c r="J26" i="1" s="1"/>
  <c r="I39" i="7" l="1"/>
  <c r="I58" i="7"/>
  <c r="J58" i="7" s="1"/>
  <c r="L58" i="7" s="1"/>
  <c r="N58" i="7" s="1"/>
  <c r="W58" i="7"/>
  <c r="J39" i="7"/>
  <c r="L39" i="7" s="1"/>
  <c r="N39" i="7" s="1"/>
  <c r="J57" i="7"/>
  <c r="L57" i="7" s="1"/>
  <c r="N57" i="7" s="1"/>
  <c r="F42" i="7"/>
  <c r="F41" i="7"/>
  <c r="G41" i="7" s="1"/>
  <c r="I17" i="7"/>
  <c r="J17" i="7" s="1"/>
  <c r="J38" i="7" s="1"/>
  <c r="L38" i="7" s="1"/>
  <c r="G38" i="7"/>
  <c r="E31" i="4"/>
  <c r="I35" i="3"/>
  <c r="E29" i="4"/>
  <c r="I33" i="3"/>
  <c r="E27" i="4"/>
  <c r="I31" i="3"/>
  <c r="E25" i="4"/>
  <c r="I29" i="3"/>
  <c r="E23" i="4"/>
  <c r="I27" i="3"/>
  <c r="E21" i="4"/>
  <c r="I25" i="3"/>
  <c r="E19" i="4"/>
  <c r="I23" i="3"/>
  <c r="G24" i="3"/>
  <c r="D20" i="4"/>
  <c r="G26" i="3"/>
  <c r="D22" i="4"/>
  <c r="G28" i="3"/>
  <c r="D24" i="4"/>
  <c r="G30" i="3"/>
  <c r="D26" i="4"/>
  <c r="G32" i="3"/>
  <c r="D28" i="4"/>
  <c r="G34" i="3"/>
  <c r="D30" i="4"/>
  <c r="G36" i="3"/>
  <c r="D32" i="4"/>
  <c r="I47" i="3"/>
  <c r="J47" i="3" s="1"/>
  <c r="G6" i="4"/>
  <c r="I40" i="3"/>
  <c r="E36" i="4"/>
  <c r="F44" i="1"/>
  <c r="G22" i="3"/>
  <c r="E18" i="4" s="1"/>
  <c r="F46" i="1"/>
  <c r="J46" i="1"/>
  <c r="L46" i="1" s="1"/>
  <c r="F42" i="1"/>
  <c r="G22" i="1"/>
  <c r="T39" i="7" l="1"/>
  <c r="T40" i="7"/>
  <c r="I41" i="7"/>
  <c r="G42" i="7"/>
  <c r="U39" i="7" s="1"/>
  <c r="U40" i="7" s="1"/>
  <c r="W41" i="7" s="1"/>
  <c r="F63" i="7"/>
  <c r="G63" i="7" s="1"/>
  <c r="I63" i="7" s="1"/>
  <c r="L63" i="7" s="1"/>
  <c r="F64" i="7"/>
  <c r="G64" i="7" s="1"/>
  <c r="I64" i="7" s="1"/>
  <c r="L64" i="7" s="1"/>
  <c r="N38" i="7"/>
  <c r="J43" i="4"/>
  <c r="J23" i="3"/>
  <c r="G19" i="4" s="1"/>
  <c r="J45" i="4"/>
  <c r="J25" i="3"/>
  <c r="G21" i="4" s="1"/>
  <c r="J47" i="4"/>
  <c r="J27" i="3"/>
  <c r="G23" i="4" s="1"/>
  <c r="J49" i="4"/>
  <c r="J29" i="3"/>
  <c r="G25" i="4" s="1"/>
  <c r="J51" i="4"/>
  <c r="J31" i="3"/>
  <c r="G27" i="4" s="1"/>
  <c r="J53" i="4"/>
  <c r="J33" i="3"/>
  <c r="G29" i="4" s="1"/>
  <c r="J55" i="4"/>
  <c r="J35" i="3"/>
  <c r="G31" i="4" s="1"/>
  <c r="J40" i="3"/>
  <c r="G36" i="4" s="1"/>
  <c r="J57" i="4"/>
  <c r="L47" i="3"/>
  <c r="H6" i="4" s="1"/>
  <c r="J58" i="4"/>
  <c r="I36" i="3"/>
  <c r="E32" i="4"/>
  <c r="I34" i="3"/>
  <c r="E30" i="4"/>
  <c r="I32" i="3"/>
  <c r="E28" i="4"/>
  <c r="I30" i="3"/>
  <c r="E26" i="4"/>
  <c r="I28" i="3"/>
  <c r="E24" i="4"/>
  <c r="I26" i="3"/>
  <c r="E22" i="4"/>
  <c r="I24" i="3"/>
  <c r="E20" i="4"/>
  <c r="I22" i="3"/>
  <c r="J22" i="3" s="1"/>
  <c r="G42" i="3"/>
  <c r="G7" i="4" s="1"/>
  <c r="G42" i="1"/>
  <c r="I22" i="1"/>
  <c r="J22" i="1" s="1"/>
  <c r="J42" i="1" s="1"/>
  <c r="L42" i="1" s="1"/>
  <c r="L53" i="1" s="1"/>
  <c r="L55" i="1" s="1"/>
  <c r="J41" i="7" l="1"/>
  <c r="L41" i="7" s="1"/>
  <c r="N41" i="7" s="1"/>
  <c r="I42" i="7"/>
  <c r="J42" i="7" s="1"/>
  <c r="L42" i="7" s="1"/>
  <c r="N42" i="7" s="1"/>
  <c r="J42" i="4"/>
  <c r="J24" i="3"/>
  <c r="G20" i="4" s="1"/>
  <c r="J44" i="4"/>
  <c r="J26" i="3"/>
  <c r="G22" i="4" s="1"/>
  <c r="J46" i="4"/>
  <c r="J28" i="3"/>
  <c r="G24" i="4" s="1"/>
  <c r="J48" i="4"/>
  <c r="J30" i="3"/>
  <c r="G26" i="4" s="1"/>
  <c r="J50" i="4"/>
  <c r="J32" i="3"/>
  <c r="G28" i="4" s="1"/>
  <c r="J52" i="4"/>
  <c r="J34" i="3"/>
  <c r="G30" i="4" s="1"/>
  <c r="J54" i="4"/>
  <c r="J36" i="3"/>
  <c r="G32" i="4" s="1"/>
  <c r="J56" i="4"/>
  <c r="K6" i="4"/>
  <c r="J42" i="3" l="1"/>
  <c r="L42" i="3" s="1"/>
  <c r="G18" i="4"/>
  <c r="L54" i="3" l="1"/>
  <c r="L56" i="3" s="1"/>
  <c r="H7" i="4"/>
  <c r="K7" i="4" l="1"/>
  <c r="J7" i="4"/>
  <c r="G10" i="4" s="1"/>
  <c r="E7" i="4" l="1"/>
  <c r="E6" i="4"/>
  <c r="J59" i="4"/>
  <c r="J60" i="4"/>
  <c r="G12" i="4"/>
  <c r="Q60" i="4" l="1"/>
  <c r="Q59" i="4"/>
  <c r="Q62" i="4" s="1"/>
  <c r="J63" i="4"/>
  <c r="K56" i="4" l="1"/>
  <c r="K50" i="4"/>
  <c r="K44" i="4"/>
  <c r="K54" i="4"/>
  <c r="K46" i="4"/>
  <c r="K57" i="4"/>
  <c r="K42" i="4"/>
  <c r="K48" i="4"/>
  <c r="K53" i="4"/>
  <c r="K43" i="4"/>
  <c r="K58" i="4"/>
  <c r="K45" i="4"/>
  <c r="K49" i="4"/>
  <c r="K55" i="4"/>
  <c r="K61" i="4"/>
  <c r="K51" i="4"/>
  <c r="K47" i="4"/>
  <c r="K52" i="4"/>
  <c r="K60" i="4"/>
  <c r="K59" i="4"/>
</calcChain>
</file>

<file path=xl/sharedStrings.xml><?xml version="1.0" encoding="utf-8"?>
<sst xmlns="http://schemas.openxmlformats.org/spreadsheetml/2006/main" count="420" uniqueCount="168">
  <si>
    <t>Oridginally developed for Messer</t>
  </si>
  <si>
    <t>Cells</t>
  </si>
  <si>
    <t>ton/yr/shift target</t>
  </si>
  <si>
    <t>ton/hr design throughput</t>
  </si>
  <si>
    <t>Kg/Hr</t>
  </si>
  <si>
    <t>Operating hrs/yr</t>
  </si>
  <si>
    <t>Kg/Yr</t>
  </si>
  <si>
    <t>Solvent</t>
  </si>
  <si>
    <t>batteries have solvent decomposition products</t>
  </si>
  <si>
    <t>N2</t>
  </si>
  <si>
    <r>
      <t>ft</t>
    </r>
    <r>
      <rPr>
        <sz val="11"/>
        <color theme="1"/>
        <rFont val="Calibri"/>
        <family val="2"/>
      </rPr>
      <t>³/min</t>
    </r>
  </si>
  <si>
    <t>per ton/hr design</t>
  </si>
  <si>
    <t>lbs/ft³</t>
  </si>
  <si>
    <t>Kg/ft³</t>
  </si>
  <si>
    <t>N2 blanket</t>
  </si>
  <si>
    <t>L/Hr</t>
  </si>
  <si>
    <t>M³/Hr</t>
  </si>
  <si>
    <t>ATM</t>
  </si>
  <si>
    <t>PV=nRT</t>
  </si>
  <si>
    <t>T</t>
  </si>
  <si>
    <t>Kg/yr</t>
  </si>
  <si>
    <t>Mol wt (g/mol)</t>
  </si>
  <si>
    <t>moles/hr</t>
  </si>
  <si>
    <t>Volume (L)</t>
  </si>
  <si>
    <t>-</t>
  </si>
  <si>
    <t>(crude oil)</t>
  </si>
  <si>
    <t>Decomp products</t>
  </si>
  <si>
    <t>Solvent (from damaged)</t>
  </si>
  <si>
    <t>Solvent (good batteries)</t>
  </si>
  <si>
    <t>Kg/hr</t>
  </si>
  <si>
    <t>MW</t>
  </si>
  <si>
    <t>Mol/hr</t>
  </si>
  <si>
    <t>ideal gas law</t>
  </si>
  <si>
    <t>Solvent subtotal</t>
  </si>
  <si>
    <t>water vapor</t>
  </si>
  <si>
    <t>Dewater screen</t>
  </si>
  <si>
    <t>drying auger output</t>
  </si>
  <si>
    <t>Kg/yr water vapor</t>
  </si>
  <si>
    <t>L/Hr water loss</t>
  </si>
  <si>
    <t>Leakage</t>
  </si>
  <si>
    <t>Total</t>
  </si>
  <si>
    <r>
      <t>ft</t>
    </r>
    <r>
      <rPr>
        <sz val="11"/>
        <color theme="1"/>
        <rFont val="Calibri"/>
        <family val="2"/>
      </rPr>
      <t>³/hr</t>
    </r>
  </si>
  <si>
    <t>Per 4 hr line</t>
  </si>
  <si>
    <t>2 ton/hr</t>
  </si>
  <si>
    <t>Li ion battery electrolyte degradation of field tested EV battery cells a comprehensive analytical study</t>
  </si>
  <si>
    <t>10.1016/j.jpowsour.19.227370</t>
  </si>
  <si>
    <t>Section 3.1.1</t>
  </si>
  <si>
    <t>Fig 3</t>
  </si>
  <si>
    <t>Sigma aldrich SDS</t>
  </si>
  <si>
    <t>C1, C2</t>
  </si>
  <si>
    <t>E1</t>
  </si>
  <si>
    <t>ρ</t>
  </si>
  <si>
    <r>
      <t>T</t>
    </r>
    <r>
      <rPr>
        <vertAlign val="subscript"/>
        <sz val="11"/>
        <color theme="1"/>
        <rFont val="Calibri"/>
        <family val="2"/>
        <scheme val="minor"/>
      </rPr>
      <t>m</t>
    </r>
  </si>
  <si>
    <r>
      <t>T</t>
    </r>
    <r>
      <rPr>
        <vertAlign val="subscript"/>
        <sz val="11"/>
        <color theme="1"/>
        <rFont val="Calibri"/>
        <family val="2"/>
        <scheme val="minor"/>
      </rPr>
      <t>B</t>
    </r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</si>
  <si>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</si>
  <si>
    <t>DMC</t>
  </si>
  <si>
    <r>
      <t>25</t>
    </r>
    <r>
      <rPr>
        <sz val="11"/>
        <color theme="1"/>
        <rFont val="Calibri"/>
        <family val="2"/>
      </rPr>
      <t>±2</t>
    </r>
  </si>
  <si>
    <t>EMC</t>
  </si>
  <si>
    <r>
      <t>20</t>
    </r>
    <r>
      <rPr>
        <sz val="11"/>
        <color theme="1"/>
        <rFont val="Calibri"/>
        <family val="2"/>
      </rPr>
      <t>±2</t>
    </r>
  </si>
  <si>
    <t>DEC</t>
  </si>
  <si>
    <t>EC</t>
  </si>
  <si>
    <t>19-25%</t>
  </si>
  <si>
    <t>PC</t>
  </si>
  <si>
    <t>Drying auger operating temp ©</t>
  </si>
  <si>
    <t>Contaminates in air at 100C</t>
  </si>
  <si>
    <t>Dilution air to meet LEL/UEL</t>
  </si>
  <si>
    <t>ρ(20C) Kg/M³</t>
  </si>
  <si>
    <t>ρ(100C) Kg/M³</t>
  </si>
  <si>
    <t>ρ(120C) Kg/M³</t>
  </si>
  <si>
    <t>VOC</t>
  </si>
  <si>
    <t>H2O</t>
  </si>
  <si>
    <t>Dilution air (21%O2/79%N2)</t>
  </si>
  <si>
    <t>https://www.engineeringtoolbox.com/air-density-specific-weight-d_600.html</t>
  </si>
  <si>
    <t>wt %</t>
  </si>
  <si>
    <t>T(Boil) [C]</t>
  </si>
  <si>
    <t>T(Flash) [C]</t>
  </si>
  <si>
    <t>LEL (Vol%)</t>
  </si>
  <si>
    <t>UEL (Vol%)</t>
  </si>
  <si>
    <t>*</t>
  </si>
  <si>
    <t>https://cameochemicals.noaa.gov/chemical/2269</t>
  </si>
  <si>
    <t>internet</t>
  </si>
  <si>
    <t>https://cameochemicals.noaa.gov/chemical/585#:~:text=DIMETHYL%20ETHER%20is%20a%20colorless%2C%20highly%20flammable%20gas%20(b.%20p.%20%2D,aluminum%20hydride%2C%20lithium%20aluminum%20hydride.</t>
  </si>
  <si>
    <t>https://cameochemicals.noaa.gov/chemical/1288</t>
  </si>
  <si>
    <t>SDSPro 6470, 4219</t>
  </si>
  <si>
    <t>using basic HC (not halogenated HC)</t>
  </si>
  <si>
    <t>Mol%</t>
  </si>
  <si>
    <t>mol/Hr</t>
  </si>
  <si>
    <t>mol %</t>
  </si>
  <si>
    <t>2-Chloroethanol</t>
  </si>
  <si>
    <t>Acetaldehyde</t>
  </si>
  <si>
    <t>Fluoroethane</t>
  </si>
  <si>
    <t>Propane</t>
  </si>
  <si>
    <t>Dimethyl Ether</t>
  </si>
  <si>
    <t>Fluoropropane</t>
  </si>
  <si>
    <t>I-butane</t>
  </si>
  <si>
    <t>N-butane</t>
  </si>
  <si>
    <t>Fluorotrimethyl silane</t>
  </si>
  <si>
    <t>Methoxy Ethane</t>
  </si>
  <si>
    <t>I-pentane</t>
  </si>
  <si>
    <t>N-pentane</t>
  </si>
  <si>
    <t>Methyl acetate</t>
  </si>
  <si>
    <t>Trimethyl silanol</t>
  </si>
  <si>
    <t>3-methyl pentane</t>
  </si>
  <si>
    <t>Heavy Hydrocarbons</t>
  </si>
  <si>
    <t>Heavy Hyrdocarboons</t>
  </si>
  <si>
    <t>Dimethyl carbonate</t>
  </si>
  <si>
    <t>O2</t>
  </si>
  <si>
    <t>Moles</t>
  </si>
  <si>
    <t>+</t>
  </si>
  <si>
    <t>Kg/yr Solvent</t>
  </si>
  <si>
    <t>Solvent aerosolizes on dry shred</t>
  </si>
  <si>
    <t>Kg/yr Decomposition Products</t>
  </si>
  <si>
    <t>Kg/yr VOCs</t>
  </si>
  <si>
    <t>T (C )</t>
  </si>
  <si>
    <t>4 ton/hr</t>
  </si>
  <si>
    <t>VOCs (Decomp products)</t>
  </si>
  <si>
    <t>DMC/VOC</t>
  </si>
  <si>
    <t>Solvent (decomp Products)</t>
  </si>
  <si>
    <t>Kg/hr (4 tph)</t>
  </si>
  <si>
    <t>Kg/hr (2 tph)</t>
  </si>
  <si>
    <t>Solvent (Aerosol)</t>
  </si>
  <si>
    <t>range</t>
  </si>
  <si>
    <t>N2 on (per 4 ton ES300)</t>
  </si>
  <si>
    <r>
      <t>ft</t>
    </r>
    <r>
      <rPr>
        <sz val="11"/>
        <color theme="1"/>
        <rFont val="Calibri"/>
        <family val="2"/>
      </rPr>
      <t>³/m³</t>
    </r>
  </si>
  <si>
    <t xml:space="preserve">Drying </t>
  </si>
  <si>
    <t>"water"</t>
  </si>
  <si>
    <t>Solubility limit (DMC in water)</t>
  </si>
  <si>
    <t>g DMC</t>
  </si>
  <si>
    <t>mL water</t>
  </si>
  <si>
    <t>density, water</t>
  </si>
  <si>
    <t>g/cc water</t>
  </si>
  <si>
    <t>DMC in water</t>
  </si>
  <si>
    <t xml:space="preserve">Kg/yr </t>
  </si>
  <si>
    <t>Solvent (in water)</t>
  </si>
  <si>
    <t xml:space="preserve">Dewatering/recycling loop </t>
  </si>
  <si>
    <t xml:space="preserve">Solvent </t>
  </si>
  <si>
    <t>Low range, depending on aerosol</t>
  </si>
  <si>
    <t>L/HR</t>
  </si>
  <si>
    <t>High range</t>
  </si>
  <si>
    <t xml:space="preserve">Undefined </t>
  </si>
  <si>
    <t>Evaporation losses</t>
  </si>
  <si>
    <t>Decompositon losses (methanol)</t>
  </si>
  <si>
    <t>If DMC at solubility limit in water is acceptable for recirculation</t>
  </si>
  <si>
    <t> </t>
  </si>
  <si>
    <t>Hargrove / AZ / 4 tph</t>
  </si>
  <si>
    <t>Component</t>
  </si>
  <si>
    <t>Scrubber Inlet (kg/hr)</t>
  </si>
  <si>
    <t>Scrubber inlet ppm</t>
  </si>
  <si>
    <t>Scrubber out (kg/hr)</t>
  </si>
  <si>
    <t>ppm</t>
  </si>
  <si>
    <t>mol wt</t>
  </si>
  <si>
    <t>Acet</t>
  </si>
  <si>
    <t>HF</t>
  </si>
  <si>
    <t>Water</t>
  </si>
  <si>
    <t>Nitrogen</t>
  </si>
  <si>
    <t>Air</t>
  </si>
  <si>
    <t>Germany / 2 tph</t>
  </si>
  <si>
    <t>mol/hr</t>
  </si>
  <si>
    <t>P (ATM)</t>
  </si>
  <si>
    <t>T ©</t>
  </si>
  <si>
    <t>Reported to Sly for AZ</t>
  </si>
  <si>
    <t>RT/P=</t>
  </si>
  <si>
    <t>R [(L*ATM)/(mol*K)]</t>
  </si>
  <si>
    <t>L</t>
  </si>
  <si>
    <t>Vol/hr (L)</t>
  </si>
  <si>
    <r>
      <t>M</t>
    </r>
    <r>
      <rPr>
        <sz val="11"/>
        <color theme="1"/>
        <rFont val="Calibri"/>
        <family val="2"/>
      </rPr>
      <t>³</t>
    </r>
  </si>
  <si>
    <t>Mol</t>
  </si>
  <si>
    <t>Kg/hr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</si>
</sst>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444444"/>
      <name val="Calibri"/>
      <family val="2"/>
      <charset val="1"/>
    </font>
    <font>
      <sz val="11"/>
      <color rgb="FF444444"/>
      <name val="Calibri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0" fillId="2" borderId="0" xfId="1" applyNumberFormat="1" applyFont="1" applyFill="1"/>
    <xf numFmtId="0" fontId="0" fillId="2" borderId="0" xfId="0" applyFill="1"/>
    <xf numFmtId="9" fontId="0" fillId="2" borderId="0" xfId="2" applyFont="1" applyFill="1"/>
    <xf numFmtId="9" fontId="0" fillId="2" borderId="0" xfId="0" applyNumberFormat="1" applyFill="1"/>
    <xf numFmtId="2" fontId="0" fillId="0" borderId="0" xfId="0" applyNumberFormat="1"/>
    <xf numFmtId="1" fontId="3" fillId="0" borderId="0" xfId="0" quotePrefix="1" applyNumberFormat="1" applyFont="1"/>
    <xf numFmtId="166" fontId="0" fillId="0" borderId="0" xfId="0" applyNumberFormat="1"/>
    <xf numFmtId="1" fontId="4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/>
    <xf numFmtId="165" fontId="0" fillId="0" borderId="0" xfId="1" applyNumberFormat="1" applyFont="1" applyFill="1"/>
    <xf numFmtId="0" fontId="0" fillId="3" borderId="0" xfId="0" applyFill="1"/>
    <xf numFmtId="0" fontId="5" fillId="0" borderId="0" xfId="3"/>
    <xf numFmtId="167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4" borderId="0" xfId="0" applyNumberFormat="1" applyFill="1"/>
    <xf numFmtId="167" fontId="0" fillId="4" borderId="0" xfId="2" applyNumberFormat="1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2" xfId="0" applyBorder="1"/>
    <xf numFmtId="9" fontId="0" fillId="0" borderId="0" xfId="2" applyFont="1"/>
    <xf numFmtId="10" fontId="0" fillId="0" borderId="0" xfId="2" applyNumberFormat="1" applyFont="1"/>
    <xf numFmtId="0" fontId="6" fillId="0" borderId="0" xfId="0" applyFont="1"/>
    <xf numFmtId="166" fontId="0" fillId="0" borderId="3" xfId="0" applyNumberFormat="1" applyBorder="1"/>
    <xf numFmtId="10" fontId="0" fillId="0" borderId="3" xfId="0" applyNumberFormat="1" applyBorder="1"/>
    <xf numFmtId="1" fontId="0" fillId="0" borderId="3" xfId="0" applyNumberFormat="1" applyBorder="1"/>
    <xf numFmtId="0" fontId="2" fillId="0" borderId="0" xfId="0" applyFont="1"/>
    <xf numFmtId="0" fontId="0" fillId="0" borderId="7" xfId="0" applyBorder="1"/>
    <xf numFmtId="0" fontId="0" fillId="0" borderId="9" xfId="0" applyBorder="1"/>
    <xf numFmtId="166" fontId="0" fillId="0" borderId="6" xfId="0" applyNumberFormat="1" applyBorder="1"/>
    <xf numFmtId="166" fontId="0" fillId="0" borderId="8" xfId="0" applyNumberFormat="1" applyBorder="1"/>
    <xf numFmtId="0" fontId="0" fillId="0" borderId="0" xfId="0" applyAlignment="1">
      <alignment horizontal="center" vertical="center"/>
    </xf>
    <xf numFmtId="0" fontId="0" fillId="0" borderId="0" xfId="2" applyNumberFormat="1" applyFont="1"/>
    <xf numFmtId="0" fontId="0" fillId="0" borderId="10" xfId="0" applyBorder="1"/>
    <xf numFmtId="0" fontId="0" fillId="0" borderId="10" xfId="2" applyNumberFormat="1" applyFont="1" applyBorder="1"/>
    <xf numFmtId="165" fontId="0" fillId="0" borderId="10" xfId="0" applyNumberFormat="1" applyBorder="1"/>
    <xf numFmtId="1" fontId="0" fillId="0" borderId="10" xfId="0" applyNumberFormat="1" applyBorder="1"/>
    <xf numFmtId="165" fontId="0" fillId="0" borderId="10" xfId="1" applyNumberFormat="1" applyFont="1" applyBorder="1"/>
    <xf numFmtId="166" fontId="0" fillId="0" borderId="10" xfId="0" applyNumberFormat="1" applyBorder="1"/>
    <xf numFmtId="1" fontId="0" fillId="0" borderId="6" xfId="0" applyNumberFormat="1" applyBorder="1"/>
    <xf numFmtId="0" fontId="0" fillId="0" borderId="6" xfId="0" applyBorder="1"/>
    <xf numFmtId="1" fontId="0" fillId="0" borderId="8" xfId="0" applyNumberFormat="1" applyBorder="1"/>
    <xf numFmtId="0" fontId="0" fillId="0" borderId="11" xfId="0" applyBorder="1"/>
    <xf numFmtId="0" fontId="8" fillId="0" borderId="0" xfId="0" applyFont="1"/>
    <xf numFmtId="9" fontId="8" fillId="0" borderId="0" xfId="0" applyNumberFormat="1" applyFont="1"/>
    <xf numFmtId="0" fontId="8" fillId="2" borderId="0" xfId="0" applyFont="1" applyFill="1"/>
    <xf numFmtId="1" fontId="0" fillId="0" borderId="4" xfId="0" applyNumberFormat="1" applyBorder="1"/>
    <xf numFmtId="0" fontId="0" fillId="0" borderId="5" xfId="0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0" fontId="0" fillId="0" borderId="0" xfId="0" applyAlignment="1">
      <alignment vertical="center"/>
    </xf>
    <xf numFmtId="3" fontId="0" fillId="0" borderId="0" xfId="0" applyNumberFormat="1"/>
    <xf numFmtId="0" fontId="0" fillId="4" borderId="0" xfId="0" applyFill="1"/>
    <xf numFmtId="166" fontId="0" fillId="4" borderId="0" xfId="0" applyNumberFormat="1" applyFill="1"/>
    <xf numFmtId="1" fontId="0" fillId="4" borderId="0" xfId="0" applyNumberFormat="1" applyFill="1"/>
    <xf numFmtId="1" fontId="0" fillId="4" borderId="10" xfId="0" applyNumberFormat="1" applyFill="1" applyBorder="1"/>
    <xf numFmtId="0" fontId="8" fillId="4" borderId="0" xfId="0" applyFont="1" applyFill="1"/>
    <xf numFmtId="0" fontId="0" fillId="4" borderId="10" xfId="0" applyFill="1" applyBorder="1"/>
    <xf numFmtId="164" fontId="0" fillId="0" borderId="0" xfId="0" applyNumberFormat="1"/>
    <xf numFmtId="0" fontId="9" fillId="0" borderId="1" xfId="0" applyFont="1" applyBorder="1"/>
    <xf numFmtId="0" fontId="9" fillId="0" borderId="2" xfId="0" applyFont="1" applyBorder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7" xfId="0" applyFont="1" applyBorder="1"/>
    <xf numFmtId="0" fontId="10" fillId="0" borderId="0" xfId="0" applyFont="1" applyAlignment="1">
      <alignment wrapText="1"/>
    </xf>
    <xf numFmtId="0" fontId="9" fillId="0" borderId="6" xfId="0" applyFont="1" applyBorder="1"/>
    <xf numFmtId="3" fontId="9" fillId="0" borderId="7" xfId="0" applyNumberFormat="1" applyFont="1" applyBorder="1"/>
    <xf numFmtId="0" fontId="9" fillId="0" borderId="0" xfId="0" applyFont="1"/>
    <xf numFmtId="11" fontId="9" fillId="0" borderId="0" xfId="0" applyNumberFormat="1" applyFont="1"/>
    <xf numFmtId="11" fontId="9" fillId="0" borderId="7" xfId="0" applyNumberFormat="1" applyFont="1" applyBorder="1"/>
    <xf numFmtId="0" fontId="11" fillId="0" borderId="7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0" xfId="0" applyFont="1" applyBorder="1"/>
    <xf numFmtId="0" fontId="9" fillId="0" borderId="8" xfId="0" applyFont="1" applyBorder="1"/>
    <xf numFmtId="0" fontId="11" fillId="0" borderId="9" xfId="0" applyFont="1" applyBorder="1"/>
    <xf numFmtId="0" fontId="9" fillId="0" borderId="9" xfId="0" applyFont="1" applyBorder="1"/>
    <xf numFmtId="0" fontId="9" fillId="0" borderId="11" xfId="0" applyFont="1" applyBorder="1"/>
    <xf numFmtId="0" fontId="9" fillId="0" borderId="17" xfId="0" applyFont="1" applyBorder="1"/>
    <xf numFmtId="3" fontId="9" fillId="0" borderId="0" xfId="0" applyNumberFormat="1" applyFont="1"/>
    <xf numFmtId="0" fontId="9" fillId="0" borderId="18" xfId="0" applyFont="1" applyBorder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" xfId="0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18</xdr:row>
      <xdr:rowOff>161925</xdr:rowOff>
    </xdr:from>
    <xdr:to>
      <xdr:col>2</xdr:col>
      <xdr:colOff>685800</xdr:colOff>
      <xdr:row>40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CFF972A-2926-4984-93E5-926FAA0CF5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684"/>
        <a:stretch/>
      </xdr:blipFill>
      <xdr:spPr>
        <a:xfrm>
          <a:off x="542925" y="3590925"/>
          <a:ext cx="1657350" cy="403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498353</xdr:colOff>
      <xdr:row>19</xdr:row>
      <xdr:rowOff>190499</xdr:rowOff>
    </xdr:from>
    <xdr:to>
      <xdr:col>2</xdr:col>
      <xdr:colOff>590550</xdr:colOff>
      <xdr:row>40</xdr:row>
      <xdr:rowOff>49704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375E33-9C0D-40E1-B171-A1A0B166B2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60000"/>
        </a:blip>
        <a:srcRect r="23684"/>
        <a:stretch/>
      </xdr:blipFill>
      <xdr:spPr>
        <a:xfrm>
          <a:off x="498353" y="3809999"/>
          <a:ext cx="1606672" cy="3859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76200</xdr:rowOff>
    </xdr:from>
    <xdr:to>
      <xdr:col>12</xdr:col>
      <xdr:colOff>28575</xdr:colOff>
      <xdr:row>34</xdr:row>
      <xdr:rowOff>44362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84B0C8-6FED-47C7-89C3-A696719E0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409700"/>
          <a:ext cx="6438900" cy="5111662"/>
        </a:xfrm>
        <a:prstGeom prst="rect">
          <a:avLst/>
        </a:prstGeom>
      </xdr:spPr>
    </xdr:pic>
    <xdr:clientData/>
  </xdr:twoCellAnchor>
  <xdr:twoCellAnchor>
    <xdr:from>
      <xdr:col>1</xdr:col>
      <xdr:colOff>571500</xdr:colOff>
      <xdr:row>18</xdr:row>
      <xdr:rowOff>47625</xdr:rowOff>
    </xdr:from>
    <xdr:to>
      <xdr:col>14</xdr:col>
      <xdr:colOff>9525</xdr:colOff>
      <xdr:row>18</xdr:row>
      <xdr:rowOff>47625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85E15E0-3AD1-4E63-99C4-DE03B55965E4}"/>
            </a:ext>
          </a:extLst>
        </xdr:cNvPr>
        <xdr:cNvCxnSpPr/>
      </xdr:nvCxnSpPr>
      <xdr:spPr>
        <a:xfrm>
          <a:off x="1181100" y="3476625"/>
          <a:ext cx="7362825" cy="0"/>
        </a:xfrm>
        <a:prstGeom prst="line">
          <a:avLst/>
        </a:prstGeom>
        <a:ln w="2222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16</xdr:row>
      <xdr:rowOff>133350</xdr:rowOff>
    </xdr:from>
    <xdr:to>
      <xdr:col>7</xdr:col>
      <xdr:colOff>1590675</xdr:colOff>
      <xdr:row>36</xdr:row>
      <xdr:rowOff>78609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CA384-06DE-460F-BEB4-0703D5FF5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80000"/>
        </a:blip>
        <a:srcRect r="23684"/>
        <a:stretch/>
      </xdr:blipFill>
      <xdr:spPr>
        <a:xfrm>
          <a:off x="581025" y="2228850"/>
          <a:ext cx="1619250" cy="3945759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40</xdr:row>
      <xdr:rowOff>171450</xdr:rowOff>
    </xdr:from>
    <xdr:to>
      <xdr:col>8</xdr:col>
      <xdr:colOff>0</xdr:colOff>
      <xdr:row>55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5EBE977-94F2-42AF-8C8D-388EDE133871}"/>
            </a:ext>
            <a:ext uri="{147F2762-F138-4A5C-976F-8EAC2B608ADB}">
              <a16:predDERef xmlns:a16="http://schemas.microsoft.com/office/drawing/2014/main" pred="{3BCCA384-06DE-460F-BEB4-0703D5FF5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70000"/>
        </a:blip>
        <a:srcRect t="4713" r="23684" b="20901"/>
        <a:stretch/>
      </xdr:blipFill>
      <xdr:spPr>
        <a:xfrm>
          <a:off x="4333875" y="8172450"/>
          <a:ext cx="1619250" cy="2867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498353</xdr:colOff>
      <xdr:row>14</xdr:row>
      <xdr:rowOff>190499</xdr:rowOff>
    </xdr:from>
    <xdr:to>
      <xdr:col>2</xdr:col>
      <xdr:colOff>390525</xdr:colOff>
      <xdr:row>35</xdr:row>
      <xdr:rowOff>49704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7B48E2-E0E0-4F36-88CA-D2FAE10AA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60000"/>
        </a:blip>
        <a:srcRect r="23684"/>
        <a:stretch/>
      </xdr:blipFill>
      <xdr:spPr>
        <a:xfrm>
          <a:off x="498353" y="3809999"/>
          <a:ext cx="1606672" cy="385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ameochemicals.noaa.gov/chemical/58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B9FC-8CB9-498A-BD15-593E851C172F}">
  <dimension ref="A1:N55"/>
  <sheetViews>
    <sheetView topLeftCell="A19" workbookViewId="0">
      <selection activeCell="I2" sqref="I2"/>
    </sheetView>
  </sheetViews>
  <sheetFormatPr defaultRowHeight="15" x14ac:dyDescent="0.25"/>
  <cols>
    <col min="2" max="2" width="13.5703125" bestFit="1" customWidth="1"/>
    <col min="3" max="3" width="11.5703125" bestFit="1" customWidth="1"/>
    <col min="6" max="6" width="11.5703125" bestFit="1" customWidth="1"/>
    <col min="10" max="10" width="13.7109375" bestFit="1" customWidth="1"/>
  </cols>
  <sheetData>
    <row r="1" spans="1:13" x14ac:dyDescent="0.25">
      <c r="I1" t="s">
        <v>0</v>
      </c>
    </row>
    <row r="2" spans="1:13" x14ac:dyDescent="0.25">
      <c r="A2" t="s">
        <v>1</v>
      </c>
      <c r="B2" s="5">
        <v>10000</v>
      </c>
      <c r="C2" t="s">
        <v>2</v>
      </c>
    </row>
    <row r="3" spans="1:13" x14ac:dyDescent="0.25">
      <c r="B3" s="6">
        <v>4</v>
      </c>
      <c r="C3" t="s">
        <v>3</v>
      </c>
      <c r="F3" s="3">
        <f>+B3*2000/2.204</f>
        <v>3629.764065335753</v>
      </c>
      <c r="G3" t="s">
        <v>4</v>
      </c>
    </row>
    <row r="4" spans="1:13" x14ac:dyDescent="0.25">
      <c r="C4">
        <f>+B2/B3</f>
        <v>2500</v>
      </c>
      <c r="D4" t="s">
        <v>5</v>
      </c>
    </row>
    <row r="5" spans="1:13" x14ac:dyDescent="0.25">
      <c r="B5" s="4">
        <f>+B2*2000/2.204</f>
        <v>9074410.163339382</v>
      </c>
      <c r="C5" t="s">
        <v>6</v>
      </c>
    </row>
    <row r="6" spans="1:13" x14ac:dyDescent="0.25">
      <c r="B6" s="7">
        <v>0.11</v>
      </c>
      <c r="C6" t="s">
        <v>7</v>
      </c>
    </row>
    <row r="7" spans="1:13" x14ac:dyDescent="0.25">
      <c r="B7" s="8">
        <v>0.25</v>
      </c>
      <c r="C7" t="s">
        <v>8</v>
      </c>
    </row>
    <row r="8" spans="1:13" x14ac:dyDescent="0.25">
      <c r="B8" s="2"/>
    </row>
    <row r="9" spans="1:13" x14ac:dyDescent="0.25">
      <c r="B9" t="s">
        <v>9</v>
      </c>
      <c r="C9" s="6">
        <v>30</v>
      </c>
      <c r="D9" t="s">
        <v>10</v>
      </c>
      <c r="E9" t="s">
        <v>11</v>
      </c>
    </row>
    <row r="10" spans="1:13" x14ac:dyDescent="0.25">
      <c r="C10">
        <v>7.2499999999999995E-2</v>
      </c>
      <c r="D10" t="s">
        <v>12</v>
      </c>
    </row>
    <row r="11" spans="1:13" x14ac:dyDescent="0.25">
      <c r="C11" s="9">
        <f>+C10/2.204</f>
        <v>3.2894736842105261E-2</v>
      </c>
      <c r="D11" t="s">
        <v>13</v>
      </c>
    </row>
    <row r="12" spans="1:13" x14ac:dyDescent="0.25">
      <c r="B12" s="2"/>
    </row>
    <row r="13" spans="1:13" x14ac:dyDescent="0.25">
      <c r="B13" s="2" t="s">
        <v>14</v>
      </c>
      <c r="C13" s="1">
        <f>+C9*60*C4*C11</f>
        <v>148026.31578947368</v>
      </c>
      <c r="D13" t="s">
        <v>6</v>
      </c>
      <c r="I13" t="s">
        <v>9</v>
      </c>
      <c r="J13" s="4">
        <f>+C9*B3*60*28.3168</f>
        <v>203880.95999999999</v>
      </c>
      <c r="K13" t="s">
        <v>15</v>
      </c>
      <c r="L13" s="3">
        <f>+J13/1000</f>
        <v>203.88095999999999</v>
      </c>
      <c r="M13" t="s">
        <v>16</v>
      </c>
    </row>
    <row r="14" spans="1:13" x14ac:dyDescent="0.25">
      <c r="B14" s="2"/>
    </row>
    <row r="15" spans="1:13" x14ac:dyDescent="0.25">
      <c r="B15" s="2"/>
    </row>
    <row r="16" spans="1:13" x14ac:dyDescent="0.25">
      <c r="B16" s="2"/>
    </row>
    <row r="17" spans="2:12" x14ac:dyDescent="0.25">
      <c r="B17" s="2"/>
    </row>
    <row r="18" spans="2:12" x14ac:dyDescent="0.25">
      <c r="B18" s="2"/>
      <c r="K18">
        <v>1</v>
      </c>
      <c r="L18" t="s">
        <v>17</v>
      </c>
    </row>
    <row r="19" spans="2:12" x14ac:dyDescent="0.25">
      <c r="B19" s="2"/>
      <c r="J19" t="s">
        <v>18</v>
      </c>
      <c r="K19">
        <v>100</v>
      </c>
      <c r="L19" t="s">
        <v>19</v>
      </c>
    </row>
    <row r="20" spans="2:12" x14ac:dyDescent="0.25">
      <c r="B20" s="2"/>
      <c r="J20">
        <f>1*0.082057*(K19+272)/K18</f>
        <v>30.525204000000002</v>
      </c>
    </row>
    <row r="21" spans="2:12" x14ac:dyDescent="0.25">
      <c r="F21" t="s">
        <v>20</v>
      </c>
      <c r="G21" t="s">
        <v>4</v>
      </c>
      <c r="H21" t="s">
        <v>21</v>
      </c>
      <c r="I21" t="s">
        <v>22</v>
      </c>
      <c r="J21" t="s">
        <v>23</v>
      </c>
    </row>
    <row r="22" spans="2:12" x14ac:dyDescent="0.25">
      <c r="D22">
        <v>1.05</v>
      </c>
      <c r="F22" s="1">
        <f t="shared" ref="F22:F40" si="0">+D22/100*$B$6*$B$5*$B$7</f>
        <v>2620.2359346642465</v>
      </c>
      <c r="G22">
        <f t="shared" ref="G22:G30" si="1">+F22/$C$4</f>
        <v>1.0480943738656987</v>
      </c>
      <c r="H22">
        <v>80.52</v>
      </c>
      <c r="I22">
        <f>+G22*1000/H22</f>
        <v>13.016571955609772</v>
      </c>
      <c r="J22" s="3">
        <f>+I22*$J$20</f>
        <v>397.33351432566724</v>
      </c>
    </row>
    <row r="23" spans="2:12" x14ac:dyDescent="0.25">
      <c r="D23">
        <v>37.92</v>
      </c>
      <c r="F23" s="1">
        <f t="shared" si="0"/>
        <v>94627.949183303092</v>
      </c>
      <c r="G23">
        <f t="shared" si="1"/>
        <v>37.851179673321234</v>
      </c>
      <c r="H23">
        <v>44.05</v>
      </c>
      <c r="I23">
        <f t="shared" ref="I23:I36" si="2">+G23*1000/H23</f>
        <v>859.27763163044801</v>
      </c>
      <c r="J23" s="3">
        <f t="shared" ref="J23:J36" si="3">+I23*$J$20</f>
        <v>26229.62499815628</v>
      </c>
    </row>
    <row r="24" spans="2:12" x14ac:dyDescent="0.25">
      <c r="D24">
        <v>0.3</v>
      </c>
      <c r="F24" s="1">
        <f t="shared" si="0"/>
        <v>748.63883847549903</v>
      </c>
      <c r="G24">
        <f t="shared" si="1"/>
        <v>0.29945553539019959</v>
      </c>
      <c r="H24">
        <v>48.06</v>
      </c>
      <c r="I24">
        <f t="shared" si="2"/>
        <v>6.2308684017935825</v>
      </c>
      <c r="J24" s="3">
        <f t="shared" si="3"/>
        <v>190.19852906190309</v>
      </c>
    </row>
    <row r="25" spans="2:12" x14ac:dyDescent="0.25">
      <c r="D25">
        <v>5.15</v>
      </c>
      <c r="F25" s="1">
        <f t="shared" si="0"/>
        <v>12851.633393829401</v>
      </c>
      <c r="G25">
        <f t="shared" si="1"/>
        <v>5.1406533575317601</v>
      </c>
      <c r="H25">
        <v>44.1</v>
      </c>
      <c r="I25">
        <f t="shared" si="2"/>
        <v>116.56810334539138</v>
      </c>
      <c r="J25" s="3">
        <f t="shared" si="3"/>
        <v>3558.2651345111544</v>
      </c>
    </row>
    <row r="26" spans="2:12" x14ac:dyDescent="0.25">
      <c r="D26">
        <v>1.19</v>
      </c>
      <c r="F26" s="1">
        <f t="shared" si="0"/>
        <v>2969.6007259528124</v>
      </c>
      <c r="G26">
        <f t="shared" si="1"/>
        <v>1.1878402903811249</v>
      </c>
      <c r="H26">
        <v>46.07</v>
      </c>
      <c r="I26">
        <f t="shared" si="2"/>
        <v>25.783379430890491</v>
      </c>
      <c r="J26" s="3">
        <f t="shared" si="3"/>
        <v>787.04291693733626</v>
      </c>
    </row>
    <row r="27" spans="2:12" x14ac:dyDescent="0.25">
      <c r="D27">
        <v>0.41</v>
      </c>
      <c r="F27" s="1">
        <f t="shared" si="0"/>
        <v>1023.1397459165153</v>
      </c>
      <c r="G27">
        <f t="shared" si="1"/>
        <v>0.40925589836660609</v>
      </c>
      <c r="H27">
        <v>62.09</v>
      </c>
      <c r="I27">
        <f t="shared" si="2"/>
        <v>6.5913335217684983</v>
      </c>
      <c r="J27" s="3">
        <f t="shared" si="3"/>
        <v>201.20180038402188</v>
      </c>
    </row>
    <row r="28" spans="2:12" x14ac:dyDescent="0.25">
      <c r="D28">
        <v>0.59</v>
      </c>
      <c r="F28" s="1">
        <f t="shared" si="0"/>
        <v>1472.3230490018145</v>
      </c>
      <c r="G28">
        <f t="shared" si="1"/>
        <v>0.58892921960072586</v>
      </c>
      <c r="H28">
        <v>58.12</v>
      </c>
      <c r="I28">
        <f t="shared" si="2"/>
        <v>10.132987260852133</v>
      </c>
      <c r="J28" s="3">
        <f t="shared" si="3"/>
        <v>309.31150326691261</v>
      </c>
    </row>
    <row r="29" spans="2:12" x14ac:dyDescent="0.25">
      <c r="D29">
        <v>3.14</v>
      </c>
      <c r="F29" s="1">
        <f t="shared" si="0"/>
        <v>7835.7531760435577</v>
      </c>
      <c r="G29">
        <f t="shared" si="1"/>
        <v>3.1343012704174229</v>
      </c>
      <c r="H29">
        <v>58.12</v>
      </c>
      <c r="I29">
        <f t="shared" si="2"/>
        <v>53.928101693348644</v>
      </c>
      <c r="J29" s="3">
        <f t="shared" si="3"/>
        <v>1646.166305522213</v>
      </c>
    </row>
    <row r="30" spans="2:12" x14ac:dyDescent="0.25">
      <c r="D30">
        <v>3.4</v>
      </c>
      <c r="F30" s="1">
        <f t="shared" si="0"/>
        <v>8484.5735027223236</v>
      </c>
      <c r="G30">
        <f t="shared" si="1"/>
        <v>3.3938294010889294</v>
      </c>
      <c r="H30">
        <v>92.19</v>
      </c>
      <c r="I30">
        <f t="shared" si="2"/>
        <v>36.813422291885558</v>
      </c>
      <c r="J30" s="3">
        <f t="shared" si="3"/>
        <v>1123.7372253979543</v>
      </c>
    </row>
    <row r="31" spans="2:12" x14ac:dyDescent="0.25">
      <c r="D31">
        <v>0.32</v>
      </c>
      <c r="F31" s="1">
        <f t="shared" si="0"/>
        <v>798.54809437386575</v>
      </c>
      <c r="G31">
        <f t="shared" ref="G31:G34" si="4">+F31/$C$4</f>
        <v>0.31941923774954628</v>
      </c>
      <c r="H31">
        <v>60.1</v>
      </c>
      <c r="I31">
        <f t="shared" si="2"/>
        <v>5.3147959692104205</v>
      </c>
      <c r="J31" s="3">
        <f t="shared" si="3"/>
        <v>162.23523117852582</v>
      </c>
    </row>
    <row r="32" spans="2:12" x14ac:dyDescent="0.25">
      <c r="D32">
        <v>0.26</v>
      </c>
      <c r="F32" s="1">
        <f t="shared" si="0"/>
        <v>648.82032667876581</v>
      </c>
      <c r="G32">
        <f t="shared" si="4"/>
        <v>0.25952813067150632</v>
      </c>
      <c r="H32">
        <v>72.150000000000006</v>
      </c>
      <c r="I32">
        <f t="shared" si="2"/>
        <v>3.5970634881705656</v>
      </c>
      <c r="J32" s="3">
        <f t="shared" si="3"/>
        <v>109.80109677735811</v>
      </c>
    </row>
    <row r="33" spans="1:13" x14ac:dyDescent="0.25">
      <c r="D33">
        <v>0.56999999999999995</v>
      </c>
      <c r="F33" s="1">
        <f t="shared" si="0"/>
        <v>1422.4137931034479</v>
      </c>
      <c r="G33">
        <f t="shared" si="4"/>
        <v>0.56896551724137912</v>
      </c>
      <c r="H33">
        <v>72.150000000000006</v>
      </c>
      <c r="I33">
        <f t="shared" si="2"/>
        <v>7.885869954835468</v>
      </c>
      <c r="J33" s="3">
        <f t="shared" si="3"/>
        <v>240.71778908882348</v>
      </c>
    </row>
    <row r="34" spans="1:13" x14ac:dyDescent="0.25">
      <c r="D34">
        <v>0.5</v>
      </c>
      <c r="F34" s="1">
        <f t="shared" si="0"/>
        <v>1247.731397459165</v>
      </c>
      <c r="G34">
        <f t="shared" si="4"/>
        <v>0.499092558983666</v>
      </c>
      <c r="H34">
        <v>74.08</v>
      </c>
      <c r="I34">
        <f t="shared" si="2"/>
        <v>6.7372105694339366</v>
      </c>
      <c r="J34" s="3">
        <f t="shared" si="3"/>
        <v>205.65472702292709</v>
      </c>
    </row>
    <row r="35" spans="1:13" x14ac:dyDescent="0.25">
      <c r="D35">
        <v>0.16</v>
      </c>
      <c r="F35" s="1">
        <f t="shared" si="0"/>
        <v>399.27404718693288</v>
      </c>
      <c r="G35">
        <f>+F35/$C$4</f>
        <v>0.15970961887477314</v>
      </c>
      <c r="H35">
        <v>90.2</v>
      </c>
      <c r="I35">
        <f t="shared" si="2"/>
        <v>1.7706166172369526</v>
      </c>
      <c r="J35" s="3">
        <f t="shared" si="3"/>
        <v>54.048433446947897</v>
      </c>
    </row>
    <row r="36" spans="1:13" x14ac:dyDescent="0.25">
      <c r="D36">
        <v>0.12</v>
      </c>
      <c r="F36" s="1">
        <f t="shared" si="0"/>
        <v>299.45553539019954</v>
      </c>
      <c r="G36">
        <f>+F36/$C$4</f>
        <v>0.11978221415607981</v>
      </c>
      <c r="H36">
        <v>86.18</v>
      </c>
      <c r="I36">
        <f t="shared" si="2"/>
        <v>1.3899073352991391</v>
      </c>
      <c r="J36" s="3">
        <f t="shared" si="3"/>
        <v>42.427204951102624</v>
      </c>
    </row>
    <row r="37" spans="1:13" x14ac:dyDescent="0.25">
      <c r="D37">
        <v>34.840000000000003</v>
      </c>
      <c r="E37" t="s">
        <v>7</v>
      </c>
      <c r="F37" s="1">
        <f t="shared" si="0"/>
        <v>86941.92377495463</v>
      </c>
      <c r="H37" t="s">
        <v>24</v>
      </c>
      <c r="J37" s="3"/>
    </row>
    <row r="38" spans="1:13" x14ac:dyDescent="0.25">
      <c r="D38">
        <v>9.6300000000000008</v>
      </c>
      <c r="E38" t="s">
        <v>7</v>
      </c>
      <c r="F38" s="1">
        <f t="shared" si="0"/>
        <v>24031.306715063522</v>
      </c>
      <c r="H38" t="s">
        <v>24</v>
      </c>
      <c r="J38" s="3"/>
    </row>
    <row r="39" spans="1:13" x14ac:dyDescent="0.25">
      <c r="D39">
        <v>0.19</v>
      </c>
      <c r="E39" t="s">
        <v>7</v>
      </c>
      <c r="F39" s="1">
        <f t="shared" si="0"/>
        <v>474.13793103448273</v>
      </c>
      <c r="H39" t="s">
        <v>24</v>
      </c>
      <c r="J39" s="3"/>
    </row>
    <row r="40" spans="1:13" x14ac:dyDescent="0.25">
      <c r="A40" t="s">
        <v>25</v>
      </c>
      <c r="D40">
        <v>0.25</v>
      </c>
      <c r="F40" s="1">
        <f t="shared" si="0"/>
        <v>623.8656987295825</v>
      </c>
      <c r="G40">
        <f>+F40/$C$4</f>
        <v>0.249546279491833</v>
      </c>
      <c r="H40">
        <v>230</v>
      </c>
      <c r="I40">
        <f>+G40*1000/H40</f>
        <v>1.0849838238775347</v>
      </c>
      <c r="J40" s="3">
        <f>+I40*$J$20</f>
        <v>33.119352560561822</v>
      </c>
    </row>
    <row r="42" spans="1:13" x14ac:dyDescent="0.25">
      <c r="B42" t="s">
        <v>26</v>
      </c>
      <c r="F42" s="4">
        <f>+SUM(F22:F40)-SUM(F37:F39)</f>
        <v>138073.95644283126</v>
      </c>
      <c r="G42" s="11">
        <f>+SUM(G22:G40)</f>
        <v>55.229582577132504</v>
      </c>
      <c r="J42" s="4">
        <f>+SUM(J22:J40)</f>
        <v>35290.8857625897</v>
      </c>
      <c r="K42" t="s">
        <v>15</v>
      </c>
      <c r="L42" s="3">
        <f>+J42/1000</f>
        <v>35.290885762589703</v>
      </c>
      <c r="M42" t="s">
        <v>16</v>
      </c>
    </row>
    <row r="44" spans="1:13" x14ac:dyDescent="0.25">
      <c r="B44" t="s">
        <v>27</v>
      </c>
      <c r="F44" s="4">
        <f>+SUM(F37:F39)</f>
        <v>111447.36842105263</v>
      </c>
    </row>
    <row r="45" spans="1:13" x14ac:dyDescent="0.25">
      <c r="B45" t="s">
        <v>28</v>
      </c>
      <c r="F45" s="1">
        <f>$B$6*$B$5*(1-$B$7)</f>
        <v>748638.83847549907</v>
      </c>
      <c r="G45" t="s">
        <v>29</v>
      </c>
      <c r="H45" t="s">
        <v>30</v>
      </c>
      <c r="I45" t="s">
        <v>31</v>
      </c>
      <c r="J45" t="s">
        <v>32</v>
      </c>
    </row>
    <row r="46" spans="1:13" x14ac:dyDescent="0.25">
      <c r="B46" t="s">
        <v>33</v>
      </c>
      <c r="F46" s="4">
        <f>+SUM(F45,F37,F38,F39)</f>
        <v>860086.20689655165</v>
      </c>
      <c r="G46">
        <f>+F46/$C$4</f>
        <v>344.03448275862064</v>
      </c>
      <c r="H46">
        <v>90.08</v>
      </c>
      <c r="I46">
        <f>+G46*1000/H46</f>
        <v>3819.2105101978314</v>
      </c>
      <c r="J46" s="4">
        <f>+I46*$J$20</f>
        <v>116582.1799427329</v>
      </c>
      <c r="K46" t="s">
        <v>15</v>
      </c>
      <c r="L46" s="3">
        <f>+J46/1000</f>
        <v>116.58217994273289</v>
      </c>
      <c r="M46" t="s">
        <v>16</v>
      </c>
    </row>
    <row r="48" spans="1:13" x14ac:dyDescent="0.25">
      <c r="B48" t="s">
        <v>34</v>
      </c>
    </row>
    <row r="49" spans="2:14" x14ac:dyDescent="0.25">
      <c r="B49" t="s">
        <v>35</v>
      </c>
      <c r="C49" s="8">
        <v>0.05</v>
      </c>
    </row>
    <row r="50" spans="2:14" x14ac:dyDescent="0.25">
      <c r="B50" t="s">
        <v>36</v>
      </c>
      <c r="C50" s="8">
        <v>0</v>
      </c>
    </row>
    <row r="51" spans="2:14" x14ac:dyDescent="0.25">
      <c r="C51">
        <f>+B5*(1-B6)*(C49-C50)</f>
        <v>403811.25226860255</v>
      </c>
      <c r="D51" t="s">
        <v>37</v>
      </c>
      <c r="G51">
        <f>+C51/C4</f>
        <v>161.52450090744102</v>
      </c>
      <c r="H51">
        <v>18.02</v>
      </c>
      <c r="I51">
        <f>+G51*1000/H51</f>
        <v>8963.6238017447849</v>
      </c>
      <c r="J51" s="4">
        <f>+I51*$J$20</f>
        <v>273616.44512751512</v>
      </c>
      <c r="K51" t="s">
        <v>15</v>
      </c>
      <c r="L51" s="3">
        <f>+J51/1000</f>
        <v>273.61644512751514</v>
      </c>
      <c r="M51" t="s">
        <v>16</v>
      </c>
    </row>
    <row r="53" spans="2:14" x14ac:dyDescent="0.25">
      <c r="C53" s="10">
        <f>+F3*(1-B6)*(C49-C50)</f>
        <v>161.52450090744102</v>
      </c>
      <c r="D53" t="s">
        <v>38</v>
      </c>
      <c r="J53" t="s">
        <v>39</v>
      </c>
      <c r="K53" s="2">
        <v>0.15</v>
      </c>
      <c r="L53" s="3">
        <f>+SUM(L51,L46,L13,L42)*K53</f>
        <v>94.405570624925645</v>
      </c>
      <c r="M53" t="s">
        <v>16</v>
      </c>
    </row>
    <row r="55" spans="2:14" x14ac:dyDescent="0.25">
      <c r="L55" s="3">
        <f>+SUM(L53,L51,L46,L13,L42)</f>
        <v>723.77604145776331</v>
      </c>
      <c r="M55" t="s">
        <v>16</v>
      </c>
      <c r="N55" t="s">
        <v>40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AFC1-0309-48D2-ADC4-4DEFE5885B64}">
  <dimension ref="A2:T56"/>
  <sheetViews>
    <sheetView workbookViewId="0">
      <selection activeCell="I23" sqref="I23"/>
    </sheetView>
  </sheetViews>
  <sheetFormatPr defaultRowHeight="15" x14ac:dyDescent="0.25"/>
  <cols>
    <col min="2" max="2" width="13.5703125" bestFit="1" customWidth="1"/>
    <col min="3" max="3" width="11.5703125" bestFit="1" customWidth="1"/>
    <col min="6" max="6" width="11.5703125" bestFit="1" customWidth="1"/>
    <col min="10" max="10" width="13.7109375" bestFit="1" customWidth="1"/>
  </cols>
  <sheetData>
    <row r="2" spans="1:13" x14ac:dyDescent="0.25">
      <c r="A2" t="s">
        <v>1</v>
      </c>
      <c r="B2" s="5">
        <v>10000</v>
      </c>
      <c r="C2" t="s">
        <v>2</v>
      </c>
    </row>
    <row r="3" spans="1:13" x14ac:dyDescent="0.25">
      <c r="B3" s="6">
        <v>4</v>
      </c>
      <c r="C3" t="s">
        <v>3</v>
      </c>
      <c r="F3" s="3">
        <f>+B3*2000/2.204</f>
        <v>3629.764065335753</v>
      </c>
      <c r="G3" t="s">
        <v>4</v>
      </c>
    </row>
    <row r="4" spans="1:13" x14ac:dyDescent="0.25">
      <c r="C4">
        <f>+B2/B3</f>
        <v>2500</v>
      </c>
      <c r="D4" t="s">
        <v>5</v>
      </c>
    </row>
    <row r="5" spans="1:13" x14ac:dyDescent="0.25">
      <c r="B5" s="4">
        <f>+B2*2000/2.204</f>
        <v>9074410.163339382</v>
      </c>
      <c r="C5" t="s">
        <v>6</v>
      </c>
    </row>
    <row r="6" spans="1:13" x14ac:dyDescent="0.25">
      <c r="B6" s="7">
        <v>0.11</v>
      </c>
      <c r="C6" t="s">
        <v>7</v>
      </c>
    </row>
    <row r="7" spans="1:13" x14ac:dyDescent="0.25">
      <c r="B7" s="8">
        <v>0.25</v>
      </c>
      <c r="C7" t="s">
        <v>8</v>
      </c>
    </row>
    <row r="8" spans="1:13" x14ac:dyDescent="0.25">
      <c r="B8" s="2"/>
    </row>
    <row r="9" spans="1:13" x14ac:dyDescent="0.25">
      <c r="B9" t="s">
        <v>9</v>
      </c>
      <c r="C9" s="6">
        <v>500</v>
      </c>
      <c r="D9" t="s">
        <v>41</v>
      </c>
      <c r="E9" t="s">
        <v>42</v>
      </c>
    </row>
    <row r="10" spans="1:13" x14ac:dyDescent="0.25">
      <c r="C10">
        <v>7.2499999999999995E-2</v>
      </c>
      <c r="D10" t="s">
        <v>12</v>
      </c>
    </row>
    <row r="11" spans="1:13" x14ac:dyDescent="0.25">
      <c r="C11" s="9">
        <f>+C10/2.204</f>
        <v>3.2894736842105261E-2</v>
      </c>
      <c r="D11" t="s">
        <v>13</v>
      </c>
      <c r="E11" s="3">
        <f>+C9*C11</f>
        <v>16.44736842105263</v>
      </c>
      <c r="F11" t="s">
        <v>29</v>
      </c>
    </row>
    <row r="12" spans="1:13" x14ac:dyDescent="0.25">
      <c r="B12" s="2"/>
    </row>
    <row r="13" spans="1:13" x14ac:dyDescent="0.25">
      <c r="B13" s="2" t="s">
        <v>14</v>
      </c>
      <c r="C13" s="1">
        <f>+C9*C4*C11</f>
        <v>41118.42105263158</v>
      </c>
      <c r="D13" t="s">
        <v>6</v>
      </c>
      <c r="E13" s="3"/>
      <c r="I13" t="s">
        <v>9</v>
      </c>
      <c r="J13" s="4">
        <f>+C9*28.3168</f>
        <v>14158.4</v>
      </c>
      <c r="K13" t="s">
        <v>15</v>
      </c>
      <c r="L13" s="3">
        <f>+J13/1000</f>
        <v>14.1584</v>
      </c>
      <c r="M13" t="s">
        <v>16</v>
      </c>
    </row>
    <row r="14" spans="1:13" x14ac:dyDescent="0.25">
      <c r="B14" s="2"/>
      <c r="C14" s="4"/>
    </row>
    <row r="15" spans="1:13" x14ac:dyDescent="0.25">
      <c r="B15" s="2"/>
    </row>
    <row r="16" spans="1:13" x14ac:dyDescent="0.25">
      <c r="B16" s="2"/>
    </row>
    <row r="17" spans="2:12" x14ac:dyDescent="0.25">
      <c r="B17" s="2"/>
    </row>
    <row r="18" spans="2:12" x14ac:dyDescent="0.25">
      <c r="B18" s="2"/>
      <c r="K18">
        <v>1</v>
      </c>
      <c r="L18" t="s">
        <v>17</v>
      </c>
    </row>
    <row r="19" spans="2:12" x14ac:dyDescent="0.25">
      <c r="B19" s="2"/>
      <c r="J19" t="s">
        <v>18</v>
      </c>
      <c r="K19">
        <v>100</v>
      </c>
      <c r="L19" t="s">
        <v>19</v>
      </c>
    </row>
    <row r="20" spans="2:12" x14ac:dyDescent="0.25">
      <c r="B20" s="2"/>
      <c r="J20">
        <f>1*0.082057*(K19+272)/K18</f>
        <v>30.525204000000002</v>
      </c>
    </row>
    <row r="21" spans="2:12" x14ac:dyDescent="0.25">
      <c r="F21" t="s">
        <v>20</v>
      </c>
      <c r="G21" t="s">
        <v>4</v>
      </c>
      <c r="H21" t="s">
        <v>21</v>
      </c>
      <c r="I21" t="s">
        <v>22</v>
      </c>
      <c r="J21" t="s">
        <v>23</v>
      </c>
    </row>
    <row r="22" spans="2:12" x14ac:dyDescent="0.25">
      <c r="D22">
        <v>1.05</v>
      </c>
      <c r="F22" s="1">
        <f t="shared" ref="F22:F40" si="0">+D22/100*$B$6*$B$5*$B$7</f>
        <v>2620.2359346642465</v>
      </c>
      <c r="G22">
        <f t="shared" ref="G22:G36" si="1">+F22/$C$4</f>
        <v>1.0480943738656987</v>
      </c>
      <c r="H22">
        <v>80.52</v>
      </c>
      <c r="I22">
        <f t="shared" ref="I22:I36" si="2">+G22*1000/H22</f>
        <v>13.016571955609772</v>
      </c>
      <c r="J22" s="3">
        <f>+I22*$J$20</f>
        <v>397.33351432566724</v>
      </c>
    </row>
    <row r="23" spans="2:12" x14ac:dyDescent="0.25">
      <c r="D23">
        <v>37.92</v>
      </c>
      <c r="F23" s="1">
        <f t="shared" si="0"/>
        <v>94627.949183303092</v>
      </c>
      <c r="G23">
        <f t="shared" si="1"/>
        <v>37.851179673321234</v>
      </c>
      <c r="H23">
        <v>44.05</v>
      </c>
      <c r="I23">
        <f t="shared" si="2"/>
        <v>859.27763163044801</v>
      </c>
      <c r="J23" s="3">
        <f t="shared" ref="J23:J36" si="3">+I23*$J$20</f>
        <v>26229.62499815628</v>
      </c>
    </row>
    <row r="24" spans="2:12" x14ac:dyDescent="0.25">
      <c r="D24">
        <v>0.3</v>
      </c>
      <c r="F24" s="1">
        <f t="shared" si="0"/>
        <v>748.63883847549903</v>
      </c>
      <c r="G24">
        <f t="shared" si="1"/>
        <v>0.29945553539019959</v>
      </c>
      <c r="H24">
        <v>48.06</v>
      </c>
      <c r="I24">
        <f t="shared" si="2"/>
        <v>6.2308684017935825</v>
      </c>
      <c r="J24" s="3">
        <f t="shared" si="3"/>
        <v>190.19852906190309</v>
      </c>
    </row>
    <row r="25" spans="2:12" x14ac:dyDescent="0.25">
      <c r="D25">
        <v>5.15</v>
      </c>
      <c r="F25" s="1">
        <f t="shared" si="0"/>
        <v>12851.633393829401</v>
      </c>
      <c r="G25">
        <f t="shared" si="1"/>
        <v>5.1406533575317601</v>
      </c>
      <c r="H25">
        <v>44.1</v>
      </c>
      <c r="I25">
        <f t="shared" si="2"/>
        <v>116.56810334539138</v>
      </c>
      <c r="J25" s="3">
        <f t="shared" si="3"/>
        <v>3558.2651345111544</v>
      </c>
    </row>
    <row r="26" spans="2:12" x14ac:dyDescent="0.25">
      <c r="D26">
        <v>1.19</v>
      </c>
      <c r="F26" s="1">
        <f t="shared" si="0"/>
        <v>2969.6007259528124</v>
      </c>
      <c r="G26">
        <f t="shared" si="1"/>
        <v>1.1878402903811249</v>
      </c>
      <c r="H26">
        <v>46.07</v>
      </c>
      <c r="I26">
        <f t="shared" si="2"/>
        <v>25.783379430890491</v>
      </c>
      <c r="J26" s="3">
        <f t="shared" si="3"/>
        <v>787.04291693733626</v>
      </c>
    </row>
    <row r="27" spans="2:12" x14ac:dyDescent="0.25">
      <c r="D27">
        <v>0.41</v>
      </c>
      <c r="F27" s="1">
        <f t="shared" si="0"/>
        <v>1023.1397459165153</v>
      </c>
      <c r="G27">
        <f t="shared" si="1"/>
        <v>0.40925589836660609</v>
      </c>
      <c r="H27">
        <v>62.09</v>
      </c>
      <c r="I27">
        <f t="shared" si="2"/>
        <v>6.5913335217684983</v>
      </c>
      <c r="J27" s="3">
        <f t="shared" si="3"/>
        <v>201.20180038402188</v>
      </c>
    </row>
    <row r="28" spans="2:12" x14ac:dyDescent="0.25">
      <c r="D28">
        <v>0.59</v>
      </c>
      <c r="F28" s="1">
        <f t="shared" si="0"/>
        <v>1472.3230490018145</v>
      </c>
      <c r="G28">
        <f t="shared" si="1"/>
        <v>0.58892921960072586</v>
      </c>
      <c r="H28">
        <v>58.12</v>
      </c>
      <c r="I28">
        <f t="shared" si="2"/>
        <v>10.132987260852133</v>
      </c>
      <c r="J28" s="3">
        <f t="shared" si="3"/>
        <v>309.31150326691261</v>
      </c>
    </row>
    <row r="29" spans="2:12" x14ac:dyDescent="0.25">
      <c r="D29">
        <v>3.14</v>
      </c>
      <c r="F29" s="1">
        <f t="shared" si="0"/>
        <v>7835.7531760435577</v>
      </c>
      <c r="G29">
        <f t="shared" si="1"/>
        <v>3.1343012704174229</v>
      </c>
      <c r="H29">
        <v>58.12</v>
      </c>
      <c r="I29">
        <f t="shared" si="2"/>
        <v>53.928101693348644</v>
      </c>
      <c r="J29" s="3">
        <f t="shared" si="3"/>
        <v>1646.166305522213</v>
      </c>
    </row>
    <row r="30" spans="2:12" x14ac:dyDescent="0.25">
      <c r="D30">
        <v>3.4</v>
      </c>
      <c r="F30" s="1">
        <f t="shared" si="0"/>
        <v>8484.5735027223236</v>
      </c>
      <c r="G30">
        <f t="shared" si="1"/>
        <v>3.3938294010889294</v>
      </c>
      <c r="H30">
        <v>92.19</v>
      </c>
      <c r="I30">
        <f t="shared" si="2"/>
        <v>36.813422291885558</v>
      </c>
      <c r="J30" s="3">
        <f t="shared" si="3"/>
        <v>1123.7372253979543</v>
      </c>
    </row>
    <row r="31" spans="2:12" x14ac:dyDescent="0.25">
      <c r="D31">
        <v>0.32</v>
      </c>
      <c r="F31" s="1">
        <f t="shared" si="0"/>
        <v>798.54809437386575</v>
      </c>
      <c r="G31">
        <f t="shared" si="1"/>
        <v>0.31941923774954628</v>
      </c>
      <c r="H31">
        <v>60.1</v>
      </c>
      <c r="I31">
        <f t="shared" si="2"/>
        <v>5.3147959692104205</v>
      </c>
      <c r="J31" s="3">
        <f t="shared" si="3"/>
        <v>162.23523117852582</v>
      </c>
    </row>
    <row r="32" spans="2:12" x14ac:dyDescent="0.25">
      <c r="D32">
        <v>0.26</v>
      </c>
      <c r="F32" s="1">
        <f t="shared" si="0"/>
        <v>648.82032667876581</v>
      </c>
      <c r="G32">
        <f t="shared" si="1"/>
        <v>0.25952813067150632</v>
      </c>
      <c r="H32">
        <v>72.150000000000006</v>
      </c>
      <c r="I32">
        <f t="shared" si="2"/>
        <v>3.5970634881705656</v>
      </c>
      <c r="J32" s="3">
        <f t="shared" si="3"/>
        <v>109.80109677735811</v>
      </c>
    </row>
    <row r="33" spans="1:20" x14ac:dyDescent="0.25">
      <c r="D33">
        <v>0.56999999999999995</v>
      </c>
      <c r="F33" s="1">
        <f t="shared" si="0"/>
        <v>1422.4137931034479</v>
      </c>
      <c r="G33">
        <f t="shared" si="1"/>
        <v>0.56896551724137912</v>
      </c>
      <c r="H33">
        <v>72.150000000000006</v>
      </c>
      <c r="I33">
        <f t="shared" si="2"/>
        <v>7.885869954835468</v>
      </c>
      <c r="J33" s="3">
        <f t="shared" si="3"/>
        <v>240.71778908882348</v>
      </c>
      <c r="O33">
        <f>170/1.07</f>
        <v>158.87850467289718</v>
      </c>
      <c r="Q33">
        <f>100/1.07</f>
        <v>93.457943925233636</v>
      </c>
    </row>
    <row r="34" spans="1:20" x14ac:dyDescent="0.25">
      <c r="D34">
        <v>0.5</v>
      </c>
      <c r="F34" s="1">
        <f t="shared" si="0"/>
        <v>1247.731397459165</v>
      </c>
      <c r="G34">
        <f t="shared" si="1"/>
        <v>0.499092558983666</v>
      </c>
      <c r="H34">
        <v>74.08</v>
      </c>
      <c r="I34">
        <f t="shared" si="2"/>
        <v>6.7372105694339366</v>
      </c>
      <c r="J34" s="3">
        <f t="shared" si="3"/>
        <v>205.65472702292709</v>
      </c>
      <c r="Q34">
        <f>13.9/Q33</f>
        <v>0.14873000000000003</v>
      </c>
    </row>
    <row r="35" spans="1:20" x14ac:dyDescent="0.25">
      <c r="D35">
        <v>0.16</v>
      </c>
      <c r="F35" s="1">
        <f t="shared" si="0"/>
        <v>399.27404718693288</v>
      </c>
      <c r="G35">
        <f t="shared" si="1"/>
        <v>0.15970961887477314</v>
      </c>
      <c r="H35">
        <v>90.2</v>
      </c>
      <c r="I35">
        <f t="shared" si="2"/>
        <v>1.7706166172369526</v>
      </c>
      <c r="J35" s="3">
        <f t="shared" si="3"/>
        <v>54.048433446947897</v>
      </c>
    </row>
    <row r="36" spans="1:20" x14ac:dyDescent="0.25">
      <c r="D36">
        <v>0.12</v>
      </c>
      <c r="F36" s="1">
        <f t="shared" si="0"/>
        <v>299.45553539019954</v>
      </c>
      <c r="G36">
        <f t="shared" si="1"/>
        <v>0.11978221415607981</v>
      </c>
      <c r="H36">
        <v>86.18</v>
      </c>
      <c r="I36">
        <f t="shared" si="2"/>
        <v>1.3899073352991391</v>
      </c>
      <c r="J36" s="3">
        <f t="shared" si="3"/>
        <v>42.427204951102624</v>
      </c>
    </row>
    <row r="37" spans="1:20" x14ac:dyDescent="0.25">
      <c r="D37">
        <v>34.840000000000003</v>
      </c>
      <c r="E37" t="s">
        <v>7</v>
      </c>
      <c r="F37" s="1">
        <f t="shared" si="0"/>
        <v>86941.92377495463</v>
      </c>
      <c r="H37" t="s">
        <v>24</v>
      </c>
      <c r="J37" s="3"/>
    </row>
    <row r="38" spans="1:20" x14ac:dyDescent="0.25">
      <c r="D38">
        <v>9.6300000000000008</v>
      </c>
      <c r="E38" t="s">
        <v>7</v>
      </c>
      <c r="F38" s="1">
        <f t="shared" si="0"/>
        <v>24031.306715063522</v>
      </c>
      <c r="H38" t="s">
        <v>24</v>
      </c>
      <c r="J38" s="3"/>
    </row>
    <row r="39" spans="1:20" x14ac:dyDescent="0.25">
      <c r="D39">
        <v>0.19</v>
      </c>
      <c r="E39" t="s">
        <v>7</v>
      </c>
      <c r="F39" s="1">
        <f t="shared" si="0"/>
        <v>474.13793103448273</v>
      </c>
      <c r="H39" t="s">
        <v>24</v>
      </c>
      <c r="J39" s="3"/>
    </row>
    <row r="40" spans="1:20" x14ac:dyDescent="0.25">
      <c r="A40" t="s">
        <v>25</v>
      </c>
      <c r="D40">
        <v>0.25</v>
      </c>
      <c r="F40" s="1">
        <f t="shared" si="0"/>
        <v>623.8656987295825</v>
      </c>
      <c r="G40">
        <f>+F40/$C$4</f>
        <v>0.249546279491833</v>
      </c>
      <c r="H40">
        <v>230</v>
      </c>
      <c r="I40">
        <f>+G40*1000/H40</f>
        <v>1.0849838238775347</v>
      </c>
      <c r="J40" s="3">
        <f>+I40*$J$20</f>
        <v>33.119352560561822</v>
      </c>
      <c r="S40">
        <f>20/45</f>
        <v>0.44444444444444442</v>
      </c>
    </row>
    <row r="41" spans="1:20" x14ac:dyDescent="0.25">
      <c r="N41" s="89" t="s">
        <v>43</v>
      </c>
      <c r="O41" s="90"/>
    </row>
    <row r="42" spans="1:20" x14ac:dyDescent="0.25">
      <c r="B42" t="s">
        <v>26</v>
      </c>
      <c r="F42" s="4">
        <f>+SUM(F22:F40)-SUM(F37:F39)</f>
        <v>138073.95644283126</v>
      </c>
      <c r="G42" s="11">
        <f>+SUM(G22:G40)</f>
        <v>55.229582577132504</v>
      </c>
      <c r="J42" s="4">
        <f>+SUM(J22:J40)</f>
        <v>35290.8857625897</v>
      </c>
      <c r="K42" t="s">
        <v>15</v>
      </c>
      <c r="L42" s="3">
        <f>+J42/1000</f>
        <v>35.290885762589703</v>
      </c>
      <c r="M42" t="s">
        <v>16</v>
      </c>
      <c r="N42" s="35">
        <f>+L42/2</f>
        <v>17.645442881294851</v>
      </c>
      <c r="O42" s="33" t="s">
        <v>16</v>
      </c>
    </row>
    <row r="43" spans="1:20" x14ac:dyDescent="0.25">
      <c r="N43" s="35"/>
      <c r="O43" s="33"/>
      <c r="S43">
        <f>160*8</f>
        <v>1280</v>
      </c>
      <c r="T43">
        <f>20000/1280</f>
        <v>15.625</v>
      </c>
    </row>
    <row r="44" spans="1:20" x14ac:dyDescent="0.25">
      <c r="B44" t="s">
        <v>27</v>
      </c>
      <c r="F44" s="4">
        <f>+SUM(F37:F39)</f>
        <v>111447.36842105263</v>
      </c>
      <c r="N44" s="35"/>
      <c r="O44" s="33"/>
    </row>
    <row r="45" spans="1:20" x14ac:dyDescent="0.25">
      <c r="B45" t="s">
        <v>28</v>
      </c>
      <c r="F45" s="1">
        <f>$B$6*$B$5*(1-$B$7)</f>
        <v>748638.83847549907</v>
      </c>
      <c r="N45" s="35"/>
      <c r="O45" s="33"/>
    </row>
    <row r="46" spans="1:20" x14ac:dyDescent="0.25">
      <c r="F46" s="1"/>
      <c r="G46" t="s">
        <v>29</v>
      </c>
      <c r="H46" t="s">
        <v>30</v>
      </c>
      <c r="I46" t="s">
        <v>31</v>
      </c>
      <c r="J46" t="s">
        <v>32</v>
      </c>
      <c r="N46" s="35"/>
      <c r="O46" s="33"/>
    </row>
    <row r="47" spans="1:20" x14ac:dyDescent="0.25">
      <c r="B47" t="s">
        <v>33</v>
      </c>
      <c r="F47" s="4">
        <f>+SUM(F45,F37,F38,F39)</f>
        <v>860086.20689655165</v>
      </c>
      <c r="G47">
        <f>+F47/$C$4</f>
        <v>344.03448275862064</v>
      </c>
      <c r="H47">
        <v>90.08</v>
      </c>
      <c r="I47">
        <f>+G47*1000/H47</f>
        <v>3819.2105101978314</v>
      </c>
      <c r="J47" s="4">
        <f>+I47*$J$20</f>
        <v>116582.1799427329</v>
      </c>
      <c r="K47" t="s">
        <v>15</v>
      </c>
      <c r="L47" s="3">
        <f>+J47/1000</f>
        <v>116.58217994273289</v>
      </c>
      <c r="M47" t="s">
        <v>16</v>
      </c>
      <c r="N47" s="35">
        <f>+L47/2</f>
        <v>58.291089971366446</v>
      </c>
      <c r="O47" s="33" t="s">
        <v>16</v>
      </c>
    </row>
    <row r="48" spans="1:20" x14ac:dyDescent="0.25">
      <c r="N48" s="35"/>
      <c r="O48" s="33"/>
    </row>
    <row r="49" spans="2:15" x14ac:dyDescent="0.25">
      <c r="B49" t="s">
        <v>34</v>
      </c>
      <c r="N49" s="35"/>
      <c r="O49" s="33"/>
    </row>
    <row r="50" spans="2:15" x14ac:dyDescent="0.25">
      <c r="B50" t="s">
        <v>35</v>
      </c>
      <c r="C50" s="8">
        <v>0.1</v>
      </c>
      <c r="N50" s="35"/>
      <c r="O50" s="33"/>
    </row>
    <row r="51" spans="2:15" x14ac:dyDescent="0.25">
      <c r="B51" t="s">
        <v>36</v>
      </c>
      <c r="C51" s="8">
        <v>0.05</v>
      </c>
      <c r="N51" s="35"/>
      <c r="O51" s="33"/>
    </row>
    <row r="52" spans="2:15" x14ac:dyDescent="0.25">
      <c r="C52">
        <f>+B5*(1-B6)*(C50-C51)</f>
        <v>403811.25226860255</v>
      </c>
      <c r="D52" t="s">
        <v>37</v>
      </c>
      <c r="G52">
        <f>+C52/C4</f>
        <v>161.52450090744102</v>
      </c>
      <c r="H52">
        <v>18.02</v>
      </c>
      <c r="I52">
        <f>+G52*1000/H52</f>
        <v>8963.6238017447849</v>
      </c>
      <c r="J52" s="4">
        <f>+I52*$J$20</f>
        <v>273616.44512751512</v>
      </c>
      <c r="K52" t="s">
        <v>15</v>
      </c>
      <c r="L52" s="3">
        <f>+J52/1000</f>
        <v>273.61644512751514</v>
      </c>
      <c r="M52" t="s">
        <v>16</v>
      </c>
      <c r="N52" s="36">
        <f>+L52/2</f>
        <v>136.80822256375757</v>
      </c>
      <c r="O52" s="34" t="s">
        <v>16</v>
      </c>
    </row>
    <row r="54" spans="2:15" x14ac:dyDescent="0.25">
      <c r="C54" s="12">
        <f>+F3*(1-B6)*(C50-C51)</f>
        <v>161.52450090744102</v>
      </c>
      <c r="D54" t="s">
        <v>38</v>
      </c>
      <c r="J54" t="s">
        <v>39</v>
      </c>
      <c r="K54" s="2">
        <v>0.15</v>
      </c>
      <c r="L54" s="3">
        <f>+SUM(L52,L47,L13,L42)*K54</f>
        <v>65.947186624925664</v>
      </c>
      <c r="M54" t="s">
        <v>16</v>
      </c>
    </row>
    <row r="56" spans="2:15" x14ac:dyDescent="0.25">
      <c r="L56" s="3">
        <f>+SUM(L54,L52,L47,L13,L42)</f>
        <v>505.59509745776347</v>
      </c>
      <c r="M56" t="s">
        <v>16</v>
      </c>
      <c r="N56" t="s">
        <v>40</v>
      </c>
    </row>
  </sheetData>
  <mergeCells count="1">
    <mergeCell ref="N41:O4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740D5-3807-4B40-B23C-09A48EFC57D6}">
  <dimension ref="B2:J56"/>
  <sheetViews>
    <sheetView topLeftCell="B6" workbookViewId="0">
      <selection activeCell="D55" sqref="D55"/>
    </sheetView>
  </sheetViews>
  <sheetFormatPr defaultRowHeight="15" x14ac:dyDescent="0.25"/>
  <sheetData>
    <row r="2" spans="2:2" x14ac:dyDescent="0.25">
      <c r="B2" t="s">
        <v>44</v>
      </c>
    </row>
    <row r="3" spans="2:2" x14ac:dyDescent="0.25">
      <c r="B3" t="s">
        <v>45</v>
      </c>
    </row>
    <row r="6" spans="2:2" x14ac:dyDescent="0.25">
      <c r="B6" t="s">
        <v>46</v>
      </c>
    </row>
    <row r="7" spans="2:2" x14ac:dyDescent="0.25">
      <c r="B7" t="s">
        <v>47</v>
      </c>
    </row>
    <row r="36" spans="2:10" x14ac:dyDescent="0.25">
      <c r="D36">
        <v>16</v>
      </c>
      <c r="E36">
        <v>2</v>
      </c>
      <c r="F36">
        <v>1</v>
      </c>
      <c r="G36" s="91" t="s">
        <v>48</v>
      </c>
      <c r="H36" s="91"/>
      <c r="I36" s="91"/>
      <c r="J36" s="91"/>
    </row>
    <row r="37" spans="2:10" ht="18" x14ac:dyDescent="0.35">
      <c r="B37" t="s">
        <v>46</v>
      </c>
      <c r="E37" t="s">
        <v>49</v>
      </c>
      <c r="F37" t="s">
        <v>50</v>
      </c>
      <c r="G37" s="32" t="s">
        <v>51</v>
      </c>
      <c r="H37" t="s">
        <v>52</v>
      </c>
      <c r="I37" t="s">
        <v>53</v>
      </c>
      <c r="J37" t="s">
        <v>54</v>
      </c>
    </row>
    <row r="38" spans="2:10" x14ac:dyDescent="0.25">
      <c r="C38" t="s">
        <v>55</v>
      </c>
      <c r="D38" t="s">
        <v>56</v>
      </c>
      <c r="E38">
        <v>14.5</v>
      </c>
      <c r="G38">
        <v>1.069</v>
      </c>
      <c r="H38">
        <v>2</v>
      </c>
      <c r="I38">
        <v>90</v>
      </c>
      <c r="J38">
        <v>16</v>
      </c>
    </row>
    <row r="39" spans="2:10" x14ac:dyDescent="0.25">
      <c r="C39" t="s">
        <v>57</v>
      </c>
      <c r="D39" t="s">
        <v>58</v>
      </c>
      <c r="E39">
        <v>37.4</v>
      </c>
      <c r="G39">
        <v>1.01</v>
      </c>
      <c r="H39">
        <v>-55</v>
      </c>
      <c r="I39">
        <v>101</v>
      </c>
      <c r="J39">
        <v>23.9</v>
      </c>
    </row>
    <row r="40" spans="2:10" x14ac:dyDescent="0.25">
      <c r="C40" t="s">
        <v>59</v>
      </c>
      <c r="D40" s="92">
        <v>7.0000000000000001E-3</v>
      </c>
      <c r="E40" s="91"/>
      <c r="F40">
        <v>45</v>
      </c>
      <c r="G40">
        <v>0.97499999999999998</v>
      </c>
      <c r="H40">
        <v>-43</v>
      </c>
      <c r="I40">
        <v>126</v>
      </c>
      <c r="J40">
        <v>25</v>
      </c>
    </row>
    <row r="41" spans="2:10" x14ac:dyDescent="0.25">
      <c r="C41" t="s">
        <v>60</v>
      </c>
      <c r="D41" s="91" t="s">
        <v>61</v>
      </c>
      <c r="E41" s="91"/>
      <c r="F41" s="91"/>
      <c r="G41">
        <v>1.321</v>
      </c>
      <c r="H41">
        <v>35</v>
      </c>
      <c r="I41">
        <v>243</v>
      </c>
      <c r="J41">
        <v>143</v>
      </c>
    </row>
    <row r="42" spans="2:10" x14ac:dyDescent="0.25">
      <c r="C42" t="s">
        <v>62</v>
      </c>
      <c r="F42">
        <v>4.5</v>
      </c>
      <c r="G42" t="s">
        <v>24</v>
      </c>
      <c r="H42">
        <v>-55</v>
      </c>
      <c r="I42">
        <v>240</v>
      </c>
      <c r="J42">
        <v>132</v>
      </c>
    </row>
    <row r="44" spans="2:10" x14ac:dyDescent="0.25">
      <c r="B44">
        <v>120</v>
      </c>
      <c r="C44" t="s">
        <v>63</v>
      </c>
    </row>
    <row r="46" spans="2:10" x14ac:dyDescent="0.25">
      <c r="D46" s="26">
        <f>25/45</f>
        <v>0.55555555555555558</v>
      </c>
      <c r="E46" t="s">
        <v>55</v>
      </c>
    </row>
    <row r="47" spans="2:10" x14ac:dyDescent="0.25">
      <c r="E47" s="26">
        <f>+E38/SUM(E38:E39)</f>
        <v>0.279383429672447</v>
      </c>
      <c r="F47" t="s">
        <v>55</v>
      </c>
    </row>
    <row r="48" spans="2:10" x14ac:dyDescent="0.25">
      <c r="D48" s="26">
        <f>+(D46*D36+E47*E36)/SUM(D36:E36)</f>
        <v>0.52486976379076578</v>
      </c>
    </row>
    <row r="53" spans="3:5" x14ac:dyDescent="0.25">
      <c r="C53" t="s">
        <v>55</v>
      </c>
      <c r="D53">
        <f>25*$D$36+E38*$E$36+F38*$F$36</f>
        <v>429</v>
      </c>
      <c r="E53" s="2">
        <f>+D53/$D$56</f>
        <v>0.48672566371681419</v>
      </c>
    </row>
    <row r="54" spans="3:5" x14ac:dyDescent="0.25">
      <c r="C54" t="s">
        <v>57</v>
      </c>
      <c r="D54" s="3">
        <f>20*$D$36+E39*$E$36+F39*$F$36</f>
        <v>394.8</v>
      </c>
      <c r="E54" s="2">
        <f t="shared" ref="E54:E55" si="0">+D54/$D$56</f>
        <v>0.44792375765827097</v>
      </c>
    </row>
    <row r="55" spans="3:5" x14ac:dyDescent="0.25">
      <c r="C55" t="s">
        <v>59</v>
      </c>
      <c r="D55" s="3">
        <f>0.7*$D$36+0.7*$E$36+F40*$F$36</f>
        <v>57.6</v>
      </c>
      <c r="E55" s="2">
        <f t="shared" si="0"/>
        <v>6.5350578624914918E-2</v>
      </c>
    </row>
    <row r="56" spans="3:5" x14ac:dyDescent="0.25">
      <c r="D56" s="3">
        <f>+SUM(D53:D55)</f>
        <v>881.4</v>
      </c>
    </row>
  </sheetData>
  <mergeCells count="3">
    <mergeCell ref="D41:F41"/>
    <mergeCell ref="D40:E40"/>
    <mergeCell ref="G36:J36"/>
  </mergeCells>
  <conditionalFormatting sqref="H38:J42">
    <cfRule type="cellIs" dxfId="0" priority="1" operator="lessThan">
      <formula>$B$44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21F7-EFC1-4CBF-A1C9-0CBE89314138}">
  <dimension ref="B2:S65"/>
  <sheetViews>
    <sheetView topLeftCell="L1" workbookViewId="0">
      <selection activeCell="AF11" sqref="AF11"/>
    </sheetView>
  </sheetViews>
  <sheetFormatPr defaultRowHeight="15" x14ac:dyDescent="0.25"/>
  <cols>
    <col min="4" max="4" width="9.140625" customWidth="1"/>
    <col min="8" max="8" width="25.28515625" customWidth="1"/>
    <col min="9" max="9" width="2.5703125" customWidth="1"/>
    <col min="12" max="12" width="11.5703125" bestFit="1" customWidth="1"/>
    <col min="16" max="16" width="13.7109375" bestFit="1" customWidth="1"/>
    <col min="17" max="17" width="11.42578125" bestFit="1" customWidth="1"/>
    <col min="18" max="18" width="12.5703125" bestFit="1" customWidth="1"/>
  </cols>
  <sheetData>
    <row r="2" spans="4:15" x14ac:dyDescent="0.25">
      <c r="H2" s="15"/>
    </row>
    <row r="3" spans="4:15" ht="29.25" customHeight="1" x14ac:dyDescent="0.25">
      <c r="H3" s="13" t="s">
        <v>64</v>
      </c>
      <c r="J3" s="93" t="s">
        <v>65</v>
      </c>
      <c r="K3" s="93"/>
    </row>
    <row r="4" spans="4:15" ht="30" x14ac:dyDescent="0.25">
      <c r="G4">
        <f>+'Norit Rev 8.4.22'!B3</f>
        <v>4</v>
      </c>
      <c r="H4" s="13" t="str">
        <f>+'Norit Rev 8.4.22'!C3</f>
        <v>ton/hr design throughput</v>
      </c>
      <c r="J4" s="19" t="s">
        <v>16</v>
      </c>
      <c r="K4" s="19" t="s">
        <v>16</v>
      </c>
      <c r="L4" s="24" t="s">
        <v>66</v>
      </c>
      <c r="M4" s="24" t="s">
        <v>67</v>
      </c>
      <c r="N4" s="24" t="s">
        <v>68</v>
      </c>
    </row>
    <row r="5" spans="4:15" x14ac:dyDescent="0.25">
      <c r="G5" t="s">
        <v>4</v>
      </c>
      <c r="H5" s="19" t="s">
        <v>16</v>
      </c>
    </row>
    <row r="6" spans="4:15" x14ac:dyDescent="0.25">
      <c r="E6">
        <f>G6/G10</f>
        <v>0.10343220102787358</v>
      </c>
      <c r="F6" t="s">
        <v>55</v>
      </c>
      <c r="G6" s="3">
        <f>+'Norit Rev 8.4.22'!G47</f>
        <v>344.03448275862064</v>
      </c>
      <c r="H6" s="20">
        <f>+'Norit Rev 8.4.22'!L47</f>
        <v>116.58217994273289</v>
      </c>
      <c r="J6" s="3">
        <f>+H6/L38</f>
        <v>2762.6108991168931</v>
      </c>
      <c r="K6" s="3">
        <f>+H6/M38</f>
        <v>905.84444399947847</v>
      </c>
    </row>
    <row r="7" spans="4:15" x14ac:dyDescent="0.25">
      <c r="E7">
        <f>G9/G10</f>
        <v>4.856151195898329E-2</v>
      </c>
      <c r="F7" t="s">
        <v>69</v>
      </c>
      <c r="G7" s="3">
        <f>+'Norit Rev 8.4.22'!G42</f>
        <v>55.229582577132504</v>
      </c>
      <c r="H7" s="20">
        <f>+'Norit Rev 8.4.22'!L42</f>
        <v>35.290885762589703</v>
      </c>
      <c r="J7" s="3">
        <f>+H7/L16</f>
        <v>2352.7257175059804</v>
      </c>
      <c r="K7" s="3">
        <f>+H7/M16</f>
        <v>452.44725336653465</v>
      </c>
    </row>
    <row r="8" spans="4:15" x14ac:dyDescent="0.25">
      <c r="F8" t="s">
        <v>9</v>
      </c>
      <c r="G8" s="3">
        <f>+'Norit Rev 8.4.22'!E11</f>
        <v>16.44736842105263</v>
      </c>
      <c r="H8" s="20">
        <f>+'Norit Rev 8.4.22'!L13</f>
        <v>14.1584</v>
      </c>
    </row>
    <row r="9" spans="4:15" x14ac:dyDescent="0.25">
      <c r="F9" t="s">
        <v>70</v>
      </c>
      <c r="G9" s="3">
        <f>+'Norit Rev 8.4.22'!G52</f>
        <v>161.52450090744102</v>
      </c>
      <c r="H9" s="2"/>
    </row>
    <row r="10" spans="4:15" x14ac:dyDescent="0.25">
      <c r="F10" s="23" t="s">
        <v>71</v>
      </c>
      <c r="G10" s="3">
        <f>+J10*L10</f>
        <v>3326.183522536739</v>
      </c>
      <c r="H10" s="2"/>
      <c r="J10" s="3">
        <f>+MAX(J6:K7)</f>
        <v>2762.6108991168931</v>
      </c>
      <c r="L10">
        <v>1.204</v>
      </c>
      <c r="M10">
        <v>0.94669999999999999</v>
      </c>
      <c r="N10">
        <v>0.88680000000000003</v>
      </c>
      <c r="O10" t="s">
        <v>72</v>
      </c>
    </row>
    <row r="11" spans="4:15" x14ac:dyDescent="0.25">
      <c r="F11" s="23"/>
      <c r="G11" s="3"/>
      <c r="H11" s="2"/>
      <c r="J11" s="3">
        <f>+J10/2</f>
        <v>1381.3054495584465</v>
      </c>
    </row>
    <row r="12" spans="4:15" x14ac:dyDescent="0.25">
      <c r="F12" s="23" t="s">
        <v>40</v>
      </c>
      <c r="G12" s="3">
        <f>+SUM(G6:G10)</f>
        <v>3903.4194572009856</v>
      </c>
      <c r="H12" s="2"/>
      <c r="J12" s="3"/>
    </row>
    <row r="13" spans="4:15" x14ac:dyDescent="0.25">
      <c r="H13" s="2"/>
      <c r="J13" s="3"/>
    </row>
    <row r="14" spans="4:15" x14ac:dyDescent="0.25">
      <c r="D14">
        <v>1</v>
      </c>
      <c r="E14" t="s">
        <v>17</v>
      </c>
      <c r="H14" s="2"/>
    </row>
    <row r="15" spans="4:15" x14ac:dyDescent="0.25">
      <c r="D15">
        <v>100</v>
      </c>
      <c r="E15" t="s">
        <v>19</v>
      </c>
      <c r="G15" t="s">
        <v>18</v>
      </c>
      <c r="H15" s="2"/>
    </row>
    <row r="16" spans="4:15" x14ac:dyDescent="0.25">
      <c r="G16">
        <f>1*0.082057*(D15+272)/D14</f>
        <v>30.525204000000002</v>
      </c>
      <c r="H16" s="2"/>
      <c r="L16" s="22">
        <f>+MIN(L18:L32)</f>
        <v>1.4999999999999999E-2</v>
      </c>
      <c r="M16" s="22">
        <f>+MIN(M18:M32)</f>
        <v>7.8E-2</v>
      </c>
    </row>
    <row r="17" spans="2:14" ht="30" x14ac:dyDescent="0.25">
      <c r="B17" t="s">
        <v>73</v>
      </c>
      <c r="D17" t="s">
        <v>20</v>
      </c>
      <c r="E17" t="s">
        <v>4</v>
      </c>
      <c r="F17" s="13" t="s">
        <v>21</v>
      </c>
      <c r="G17" s="13" t="s">
        <v>23</v>
      </c>
      <c r="J17" s="13" t="s">
        <v>74</v>
      </c>
      <c r="K17" s="13" t="s">
        <v>75</v>
      </c>
      <c r="L17" s="13" t="s">
        <v>76</v>
      </c>
      <c r="M17" s="13" t="s">
        <v>77</v>
      </c>
    </row>
    <row r="18" spans="2:14" x14ac:dyDescent="0.25">
      <c r="B18">
        <v>1.05</v>
      </c>
      <c r="D18" s="1">
        <f>+'Norit Rev 8.4.22'!F22</f>
        <v>2620.2359346642465</v>
      </c>
      <c r="E18" s="1">
        <f>+'Norit Rev 8.4.22'!G22</f>
        <v>1.0480943738656987</v>
      </c>
      <c r="F18">
        <v>80.52</v>
      </c>
      <c r="G18" s="1">
        <f>+'Norit Rev 8.4.22'!J22</f>
        <v>397.33351432566724</v>
      </c>
      <c r="H18" s="14"/>
      <c r="I18" t="s">
        <v>78</v>
      </c>
      <c r="L18" s="18">
        <v>3.3000000000000002E-2</v>
      </c>
      <c r="M18" s="18">
        <v>0.19</v>
      </c>
    </row>
    <row r="19" spans="2:14" x14ac:dyDescent="0.25">
      <c r="B19">
        <v>37.92</v>
      </c>
      <c r="D19" s="1">
        <f>+'Norit Rev 8.4.22'!F23</f>
        <v>94627.949183303092</v>
      </c>
      <c r="E19" s="1">
        <f>+'Norit Rev 8.4.22'!G23</f>
        <v>37.851179673321234</v>
      </c>
      <c r="F19">
        <v>44.05</v>
      </c>
      <c r="G19" s="1">
        <f>+'Norit Rev 8.4.22'!J23</f>
        <v>26229.62499815628</v>
      </c>
      <c r="H19" s="14"/>
      <c r="J19">
        <v>21</v>
      </c>
      <c r="K19">
        <v>-40</v>
      </c>
      <c r="L19" s="18">
        <v>0.04</v>
      </c>
      <c r="M19" s="18">
        <v>0.56999999999999995</v>
      </c>
      <c r="N19" t="s">
        <v>79</v>
      </c>
    </row>
    <row r="20" spans="2:14" x14ac:dyDescent="0.25">
      <c r="B20">
        <v>0.3</v>
      </c>
      <c r="D20" s="1">
        <f>+'Norit Rev 8.4.22'!F24</f>
        <v>748.63883847549903</v>
      </c>
      <c r="E20" s="1">
        <f>+'Norit Rev 8.4.22'!G24</f>
        <v>0.29945553539019959</v>
      </c>
      <c r="F20">
        <v>48.06</v>
      </c>
      <c r="G20" s="1">
        <f>+'Norit Rev 8.4.22'!J24</f>
        <v>190.19852906190309</v>
      </c>
      <c r="H20" s="14"/>
      <c r="I20" t="s">
        <v>78</v>
      </c>
      <c r="L20" s="18">
        <v>0.03</v>
      </c>
      <c r="M20" s="18">
        <v>0.124</v>
      </c>
      <c r="N20" t="s">
        <v>80</v>
      </c>
    </row>
    <row r="21" spans="2:14" x14ac:dyDescent="0.25">
      <c r="B21">
        <v>5.15</v>
      </c>
      <c r="D21" s="1">
        <f>+'Norit Rev 8.4.22'!F25</f>
        <v>12851.633393829401</v>
      </c>
      <c r="E21" s="1">
        <f>+'Norit Rev 8.4.22'!G25</f>
        <v>5.1406533575317601</v>
      </c>
      <c r="F21">
        <v>44.1</v>
      </c>
      <c r="G21" s="1">
        <f>+'Norit Rev 8.4.22'!J25</f>
        <v>3558.2651345111544</v>
      </c>
      <c r="H21" s="14"/>
      <c r="L21" s="18">
        <v>2.1000000000000001E-2</v>
      </c>
      <c r="M21" s="18">
        <v>9.5000000000000001E-2</v>
      </c>
      <c r="N21" t="s">
        <v>80</v>
      </c>
    </row>
    <row r="22" spans="2:14" x14ac:dyDescent="0.25">
      <c r="B22">
        <v>1.19</v>
      </c>
      <c r="D22" s="1">
        <f>+'Norit Rev 8.4.22'!F26</f>
        <v>2969.6007259528124</v>
      </c>
      <c r="E22" s="1">
        <f>+'Norit Rev 8.4.22'!G26</f>
        <v>1.1878402903811249</v>
      </c>
      <c r="F22">
        <v>46.07</v>
      </c>
      <c r="G22" s="1">
        <f>+'Norit Rev 8.4.22'!J26</f>
        <v>787.04291693733626</v>
      </c>
      <c r="H22" s="14"/>
      <c r="J22">
        <v>-22</v>
      </c>
      <c r="K22">
        <v>-3</v>
      </c>
      <c r="L22" s="18">
        <v>0.02</v>
      </c>
      <c r="M22" s="18">
        <v>0.5</v>
      </c>
      <c r="N22" s="17" t="s">
        <v>81</v>
      </c>
    </row>
    <row r="23" spans="2:14" x14ac:dyDescent="0.25">
      <c r="B23">
        <v>0.41</v>
      </c>
      <c r="D23" s="1">
        <f>+'Norit Rev 8.4.22'!F27</f>
        <v>1023.1397459165153</v>
      </c>
      <c r="E23" s="1">
        <f>+'Norit Rev 8.4.22'!G27</f>
        <v>0.40925589836660609</v>
      </c>
      <c r="F23">
        <v>62.09</v>
      </c>
      <c r="G23" s="1">
        <f>+'Norit Rev 8.4.22'!J27</f>
        <v>201.20180038402188</v>
      </c>
      <c r="H23" s="14"/>
      <c r="I23" t="s">
        <v>78</v>
      </c>
      <c r="L23" s="18">
        <v>2.1000000000000001E-2</v>
      </c>
      <c r="M23" s="18">
        <v>9.5000000000000001E-2</v>
      </c>
      <c r="N23" t="s">
        <v>80</v>
      </c>
    </row>
    <row r="24" spans="2:14" x14ac:dyDescent="0.25">
      <c r="B24">
        <v>0.59</v>
      </c>
      <c r="D24" s="1">
        <f>+'Norit Rev 8.4.22'!F28</f>
        <v>1472.3230490018145</v>
      </c>
      <c r="E24" s="1">
        <f>+'Norit Rev 8.4.22'!G28</f>
        <v>0.58892921960072586</v>
      </c>
      <c r="F24">
        <v>58.12</v>
      </c>
      <c r="G24" s="1">
        <f>+'Norit Rev 8.4.22'!J28</f>
        <v>309.31150326691261</v>
      </c>
      <c r="H24" s="14"/>
      <c r="L24" s="18">
        <v>1.6E-2</v>
      </c>
      <c r="M24" s="18">
        <v>0.1</v>
      </c>
      <c r="N24" t="s">
        <v>80</v>
      </c>
    </row>
    <row r="25" spans="2:14" x14ac:dyDescent="0.25">
      <c r="B25">
        <v>3.14</v>
      </c>
      <c r="D25" s="1">
        <f>+'Norit Rev 8.4.22'!F29</f>
        <v>7835.7531760435577</v>
      </c>
      <c r="E25" s="1">
        <f>+'Norit Rev 8.4.22'!G29</f>
        <v>3.1343012704174229</v>
      </c>
      <c r="F25">
        <v>58.12</v>
      </c>
      <c r="G25" s="1">
        <f>+'Norit Rev 8.4.22'!J29</f>
        <v>1646.166305522213</v>
      </c>
      <c r="H25" s="14"/>
      <c r="L25" s="18">
        <v>1.7000000000000001E-2</v>
      </c>
      <c r="M25" s="18">
        <v>0.12</v>
      </c>
      <c r="N25" t="s">
        <v>80</v>
      </c>
    </row>
    <row r="26" spans="2:14" x14ac:dyDescent="0.25">
      <c r="B26">
        <v>3.4</v>
      </c>
      <c r="D26" s="1">
        <f>+'Norit Rev 8.4.22'!F30</f>
        <v>8484.5735027223236</v>
      </c>
      <c r="E26" s="1">
        <f>+'Norit Rev 8.4.22'!G30</f>
        <v>3.3938294010889294</v>
      </c>
      <c r="F26">
        <v>92.19</v>
      </c>
      <c r="G26" s="1">
        <f>+'Norit Rev 8.4.22'!J30</f>
        <v>1123.7372253979543</v>
      </c>
      <c r="H26" s="14"/>
      <c r="L26" s="18"/>
      <c r="M26" s="18"/>
    </row>
    <row r="27" spans="2:14" x14ac:dyDescent="0.25">
      <c r="B27">
        <v>0.32</v>
      </c>
      <c r="D27" s="1">
        <f>+'Norit Rev 8.4.22'!F31</f>
        <v>798.54809437386575</v>
      </c>
      <c r="E27" s="1">
        <f>+'Norit Rev 8.4.22'!G31</f>
        <v>0.31941923774954628</v>
      </c>
      <c r="F27">
        <v>60.1</v>
      </c>
      <c r="G27" s="1">
        <f>+'Norit Rev 8.4.22'!J31</f>
        <v>162.23523117852582</v>
      </c>
      <c r="H27" s="14"/>
      <c r="L27" s="18"/>
      <c r="M27" s="18"/>
    </row>
    <row r="28" spans="2:14" x14ac:dyDescent="0.25">
      <c r="B28">
        <v>0.26</v>
      </c>
      <c r="D28" s="1">
        <f>+'Norit Rev 8.4.22'!F32</f>
        <v>648.82032667876581</v>
      </c>
      <c r="E28" s="1">
        <f>+'Norit Rev 8.4.22'!G32</f>
        <v>0.25952813067150632</v>
      </c>
      <c r="F28">
        <v>72.150000000000006</v>
      </c>
      <c r="G28" s="1">
        <f>+'Norit Rev 8.4.22'!J32</f>
        <v>109.80109677735811</v>
      </c>
      <c r="H28" s="14"/>
      <c r="L28" s="18"/>
      <c r="M28" s="18"/>
    </row>
    <row r="29" spans="2:14" x14ac:dyDescent="0.25">
      <c r="B29">
        <v>0.56999999999999995</v>
      </c>
      <c r="D29" s="1">
        <f>+'Norit Rev 8.4.22'!F33</f>
        <v>1422.4137931034479</v>
      </c>
      <c r="E29" s="1">
        <f>+'Norit Rev 8.4.22'!G33</f>
        <v>0.56896551724137912</v>
      </c>
      <c r="F29">
        <v>72.150000000000006</v>
      </c>
      <c r="G29" s="1">
        <f>+'Norit Rev 8.4.22'!J33</f>
        <v>240.71778908882348</v>
      </c>
      <c r="H29" s="14"/>
      <c r="J29">
        <v>22</v>
      </c>
      <c r="K29">
        <v>-49</v>
      </c>
      <c r="L29" s="18">
        <v>1.4999999999999999E-2</v>
      </c>
      <c r="M29" s="18">
        <v>7.8E-2</v>
      </c>
      <c r="N29" t="s">
        <v>82</v>
      </c>
    </row>
    <row r="30" spans="2:14" x14ac:dyDescent="0.25">
      <c r="B30">
        <v>0.5</v>
      </c>
      <c r="D30" s="1">
        <f>+'Norit Rev 8.4.22'!F34</f>
        <v>1247.731397459165</v>
      </c>
      <c r="E30" s="1">
        <f>+'Norit Rev 8.4.22'!G34</f>
        <v>0.499092558983666</v>
      </c>
      <c r="F30">
        <v>74.08</v>
      </c>
      <c r="G30" s="1">
        <f>+'Norit Rev 8.4.22'!J34</f>
        <v>205.65472702292709</v>
      </c>
      <c r="H30" s="14"/>
      <c r="L30" s="18"/>
      <c r="M30" s="18"/>
    </row>
    <row r="31" spans="2:14" x14ac:dyDescent="0.25">
      <c r="B31">
        <v>0.16</v>
      </c>
      <c r="D31" s="1">
        <f>+'Norit Rev 8.4.22'!F35</f>
        <v>399.27404718693288</v>
      </c>
      <c r="E31" s="1">
        <f>+'Norit Rev 8.4.22'!G35</f>
        <v>0.15970961887477314</v>
      </c>
      <c r="F31">
        <v>90.2</v>
      </c>
      <c r="G31" s="1">
        <f>+'Norit Rev 8.4.22'!J35</f>
        <v>54.048433446947897</v>
      </c>
      <c r="H31" s="14"/>
      <c r="L31" s="18"/>
      <c r="M31" s="18"/>
    </row>
    <row r="32" spans="2:14" x14ac:dyDescent="0.25">
      <c r="B32">
        <v>0.12</v>
      </c>
      <c r="D32" s="1">
        <f>+'Norit Rev 8.4.22'!F36</f>
        <v>299.45553539019954</v>
      </c>
      <c r="E32" s="1">
        <f>+'Norit Rev 8.4.22'!G36</f>
        <v>0.11978221415607981</v>
      </c>
      <c r="F32">
        <v>86.18</v>
      </c>
      <c r="G32" s="1">
        <f>+'Norit Rev 8.4.22'!J36</f>
        <v>42.427204951102624</v>
      </c>
      <c r="H32" s="14"/>
      <c r="L32" s="18"/>
      <c r="M32" s="18"/>
    </row>
    <row r="33" spans="2:19" x14ac:dyDescent="0.25">
      <c r="B33">
        <v>34.840000000000003</v>
      </c>
      <c r="C33" t="s">
        <v>7</v>
      </c>
      <c r="D33" s="1">
        <f>+'Norit Rev 8.4.22'!F37</f>
        <v>86941.92377495463</v>
      </c>
      <c r="E33" s="1">
        <f>+'Norit Rev 8.4.22'!G37</f>
        <v>0</v>
      </c>
      <c r="F33" t="s">
        <v>24</v>
      </c>
      <c r="G33" s="1">
        <f>+'Norit Rev 8.4.22'!J37</f>
        <v>0</v>
      </c>
      <c r="H33" s="14"/>
      <c r="J33" s="16"/>
      <c r="K33" s="16"/>
      <c r="L33" s="16"/>
      <c r="M33" s="16"/>
      <c r="N33" s="16"/>
    </row>
    <row r="34" spans="2:19" x14ac:dyDescent="0.25">
      <c r="B34">
        <v>9.6300000000000008</v>
      </c>
      <c r="C34" t="s">
        <v>7</v>
      </c>
      <c r="D34" s="1">
        <f>+'Norit Rev 8.4.22'!F38</f>
        <v>24031.306715063522</v>
      </c>
      <c r="E34" s="1">
        <f>+'Norit Rev 8.4.22'!G38</f>
        <v>0</v>
      </c>
      <c r="F34" t="s">
        <v>24</v>
      </c>
      <c r="G34" s="1">
        <f>+'Norit Rev 8.4.22'!J38</f>
        <v>0</v>
      </c>
      <c r="H34" s="14"/>
      <c r="J34" s="16"/>
      <c r="K34" s="16"/>
      <c r="L34" s="16"/>
      <c r="M34" s="16"/>
      <c r="N34" s="16"/>
    </row>
    <row r="35" spans="2:19" x14ac:dyDescent="0.25">
      <c r="B35">
        <v>0.19</v>
      </c>
      <c r="C35" t="s">
        <v>7</v>
      </c>
      <c r="D35" s="1">
        <f>+'Norit Rev 8.4.22'!F39</f>
        <v>474.13793103448273</v>
      </c>
      <c r="E35" s="1">
        <f>+'Norit Rev 8.4.22'!G39</f>
        <v>0</v>
      </c>
      <c r="F35" t="s">
        <v>24</v>
      </c>
      <c r="G35" s="1">
        <f>+'Norit Rev 8.4.22'!J39</f>
        <v>0</v>
      </c>
      <c r="H35" s="14"/>
      <c r="J35" s="16"/>
      <c r="K35" s="16"/>
      <c r="L35" s="16"/>
      <c r="M35" s="16"/>
      <c r="N35" s="16"/>
    </row>
    <row r="36" spans="2:19" x14ac:dyDescent="0.25">
      <c r="B36">
        <v>0.25</v>
      </c>
      <c r="D36" s="1">
        <f>+'Norit Rev 8.4.22'!F40</f>
        <v>623.8656987295825</v>
      </c>
      <c r="E36" s="1">
        <f>+'Norit Rev 8.4.22'!G40</f>
        <v>0.249546279491833</v>
      </c>
      <c r="F36">
        <v>230</v>
      </c>
      <c r="G36" s="1">
        <f>+'Norit Rev 8.4.22'!J40</f>
        <v>33.119352560561822</v>
      </c>
      <c r="H36" s="14"/>
    </row>
    <row r="38" spans="2:19" x14ac:dyDescent="0.25">
      <c r="H38" s="16" t="s">
        <v>55</v>
      </c>
      <c r="I38" s="16"/>
      <c r="J38">
        <v>90</v>
      </c>
      <c r="K38">
        <v>16</v>
      </c>
      <c r="L38" s="21">
        <v>4.2200000000000001E-2</v>
      </c>
      <c r="M38" s="21">
        <v>0.12870000000000001</v>
      </c>
      <c r="N38" t="s">
        <v>83</v>
      </c>
    </row>
    <row r="39" spans="2:19" x14ac:dyDescent="0.25">
      <c r="I39" t="s">
        <v>78</v>
      </c>
      <c r="J39" t="s">
        <v>84</v>
      </c>
    </row>
    <row r="41" spans="2:19" x14ac:dyDescent="0.25">
      <c r="H41" s="25"/>
      <c r="J41" s="1" t="str">
        <f>+'Norit Rev 8.4.22'!I21</f>
        <v>moles/hr</v>
      </c>
      <c r="K41" t="s">
        <v>85</v>
      </c>
      <c r="Q41" s="28" t="s">
        <v>4</v>
      </c>
      <c r="R41" s="28" t="s">
        <v>86</v>
      </c>
      <c r="S41" s="28" t="s">
        <v>87</v>
      </c>
    </row>
    <row r="42" spans="2:19" x14ac:dyDescent="0.25">
      <c r="H42" s="25"/>
      <c r="J42" s="1">
        <f>+'Norit Rev 8.4.22'!I22</f>
        <v>13.016571955609772</v>
      </c>
      <c r="K42" s="27">
        <f t="shared" ref="K42:K61" si="0">+J42/$J$63</f>
        <v>1.000067039518769E-4</v>
      </c>
      <c r="P42" s="28" t="s">
        <v>88</v>
      </c>
      <c r="Q42" s="29">
        <v>1.0480943738656987</v>
      </c>
      <c r="R42" s="29">
        <v>13.016571955609772</v>
      </c>
      <c r="S42" s="30">
        <v>1.000067039518769E-4</v>
      </c>
    </row>
    <row r="43" spans="2:19" x14ac:dyDescent="0.25">
      <c r="H43" s="25"/>
      <c r="J43" s="1">
        <f>+'Norit Rev 8.4.22'!I23</f>
        <v>859.27763163044801</v>
      </c>
      <c r="K43" s="27">
        <f t="shared" si="0"/>
        <v>6.601855235924943E-3</v>
      </c>
      <c r="P43" s="28" t="s">
        <v>89</v>
      </c>
      <c r="Q43" s="29">
        <v>37.851179673321234</v>
      </c>
      <c r="R43" s="29">
        <v>859.27763163044801</v>
      </c>
      <c r="S43" s="30">
        <v>6.601855235924943E-3</v>
      </c>
    </row>
    <row r="44" spans="2:19" x14ac:dyDescent="0.25">
      <c r="H44" s="25"/>
      <c r="J44" s="1">
        <f>+'Norit Rev 8.4.22'!I24</f>
        <v>6.2308684017935825</v>
      </c>
      <c r="K44" s="27">
        <f t="shared" si="0"/>
        <v>4.7871944606177548E-5</v>
      </c>
      <c r="P44" s="28" t="s">
        <v>90</v>
      </c>
      <c r="Q44" s="29">
        <v>0.29945553539019959</v>
      </c>
      <c r="R44" s="29">
        <v>6.2308684017935825</v>
      </c>
      <c r="S44" s="30">
        <v>4.7871944606177548E-5</v>
      </c>
    </row>
    <row r="45" spans="2:19" x14ac:dyDescent="0.25">
      <c r="H45" s="25"/>
      <c r="J45" s="1">
        <f>+'Norit Rev 8.4.22'!I25</f>
        <v>116.56810334539138</v>
      </c>
      <c r="K45" s="27">
        <f t="shared" si="0"/>
        <v>8.9559615552006039E-4</v>
      </c>
      <c r="P45" s="28" t="s">
        <v>91</v>
      </c>
      <c r="Q45" s="29">
        <v>5.1406533575317601</v>
      </c>
      <c r="R45" s="29">
        <v>116.56810334539138</v>
      </c>
      <c r="S45" s="30">
        <v>8.9559615552006039E-4</v>
      </c>
    </row>
    <row r="46" spans="2:19" x14ac:dyDescent="0.25">
      <c r="H46" s="25"/>
      <c r="J46" s="1">
        <f>+'Norit Rev 8.4.22'!I26</f>
        <v>25.783379430890491</v>
      </c>
      <c r="K46" s="27">
        <f t="shared" si="0"/>
        <v>1.9809446007884685E-4</v>
      </c>
      <c r="P46" s="28" t="s">
        <v>92</v>
      </c>
      <c r="Q46" s="29">
        <v>1.1878402903811249</v>
      </c>
      <c r="R46" s="29">
        <v>25.783379430890491</v>
      </c>
      <c r="S46" s="30">
        <v>1.9809446007884685E-4</v>
      </c>
    </row>
    <row r="47" spans="2:19" x14ac:dyDescent="0.25">
      <c r="H47" s="25"/>
      <c r="J47" s="1">
        <f>+'Norit Rev 8.4.22'!I27</f>
        <v>6.5913335217684983</v>
      </c>
      <c r="K47" s="27">
        <f t="shared" si="0"/>
        <v>5.0641408690980084E-5</v>
      </c>
      <c r="P47" s="28" t="s">
        <v>93</v>
      </c>
      <c r="Q47" s="29">
        <v>0.40925589836660609</v>
      </c>
      <c r="R47" s="29">
        <v>6.5913335217684983</v>
      </c>
      <c r="S47" s="30">
        <v>5.0641408690980084E-5</v>
      </c>
    </row>
    <row r="48" spans="2:19" x14ac:dyDescent="0.25">
      <c r="H48" s="25"/>
      <c r="J48" s="1">
        <f>+'Norit Rev 8.4.22'!I28</f>
        <v>10.132987260852133</v>
      </c>
      <c r="K48" s="27">
        <f t="shared" si="0"/>
        <v>7.7852038201766863E-5</v>
      </c>
      <c r="P48" s="28" t="s">
        <v>94</v>
      </c>
      <c r="Q48" s="29">
        <v>0.58892921960072586</v>
      </c>
      <c r="R48" s="29">
        <v>10.132987260852133</v>
      </c>
      <c r="S48" s="30">
        <v>7.7852038201766863E-5</v>
      </c>
    </row>
    <row r="49" spans="7:19" x14ac:dyDescent="0.25">
      <c r="H49" s="25"/>
      <c r="J49" s="1">
        <f>+'Norit Rev 8.4.22'!I29</f>
        <v>53.928101693348644</v>
      </c>
      <c r="K49" s="27">
        <f t="shared" si="0"/>
        <v>4.1433118636194577E-4</v>
      </c>
      <c r="P49" s="28" t="s">
        <v>95</v>
      </c>
      <c r="Q49" s="29">
        <v>3.1343012704174229</v>
      </c>
      <c r="R49" s="29">
        <v>53.928101693348644</v>
      </c>
      <c r="S49" s="30">
        <v>4.1433118636194577E-4</v>
      </c>
    </row>
    <row r="50" spans="7:19" x14ac:dyDescent="0.25">
      <c r="H50" s="25"/>
      <c r="J50" s="1">
        <f>+'Norit Rev 8.4.22'!I30</f>
        <v>36.813422291885558</v>
      </c>
      <c r="K50" s="27">
        <f t="shared" si="0"/>
        <v>2.828386027561861E-4</v>
      </c>
      <c r="P50" s="28" t="s">
        <v>96</v>
      </c>
      <c r="Q50" s="29">
        <v>3.3938294010889294</v>
      </c>
      <c r="R50" s="29">
        <v>36.813422291885558</v>
      </c>
      <c r="S50" s="30">
        <v>2.828386027561861E-4</v>
      </c>
    </row>
    <row r="51" spans="7:19" x14ac:dyDescent="0.25">
      <c r="H51" s="25"/>
      <c r="J51" s="1">
        <f>+'Norit Rev 8.4.22'!I31</f>
        <v>5.3147959692104205</v>
      </c>
      <c r="K51" s="27">
        <f t="shared" si="0"/>
        <v>4.0833733249435711E-5</v>
      </c>
      <c r="P51" s="28" t="s">
        <v>97</v>
      </c>
      <c r="Q51" s="29">
        <v>0.31941923774954628</v>
      </c>
      <c r="R51" s="29">
        <v>5.3147959692104205</v>
      </c>
      <c r="S51" s="30">
        <v>4.0833733249435711E-5</v>
      </c>
    </row>
    <row r="52" spans="7:19" x14ac:dyDescent="0.25">
      <c r="H52" s="25"/>
      <c r="J52" s="1">
        <f>+'Norit Rev 8.4.22'!I32</f>
        <v>3.5970634881705656</v>
      </c>
      <c r="K52" s="27">
        <f t="shared" si="0"/>
        <v>2.7636344237512228E-5</v>
      </c>
      <c r="P52" s="28" t="s">
        <v>98</v>
      </c>
      <c r="Q52" s="29">
        <v>0.25952813067150632</v>
      </c>
      <c r="R52" s="29">
        <v>3.5970634881705656</v>
      </c>
      <c r="S52" s="30">
        <v>2.7636344237512228E-5</v>
      </c>
    </row>
    <row r="53" spans="7:19" x14ac:dyDescent="0.25">
      <c r="H53" s="25"/>
      <c r="J53" s="1">
        <f>+'Norit Rev 8.4.22'!I33</f>
        <v>7.885869954835468</v>
      </c>
      <c r="K53" s="27">
        <f t="shared" si="0"/>
        <v>6.0587370059161402E-5</v>
      </c>
      <c r="P53" s="28" t="s">
        <v>99</v>
      </c>
      <c r="Q53" s="29">
        <v>0.56896551724137912</v>
      </c>
      <c r="R53" s="29">
        <v>7.885869954835468</v>
      </c>
      <c r="S53" s="30">
        <v>6.0587370059161402E-5</v>
      </c>
    </row>
    <row r="54" spans="7:19" x14ac:dyDescent="0.25">
      <c r="H54" s="25"/>
      <c r="J54" s="1">
        <f>+'Norit Rev 8.4.22'!I34</f>
        <v>6.7372105694339366</v>
      </c>
      <c r="K54" s="27">
        <f t="shared" si="0"/>
        <v>5.1762186324984098E-5</v>
      </c>
      <c r="P54" s="28" t="s">
        <v>100</v>
      </c>
      <c r="Q54" s="29">
        <v>0.499092558983666</v>
      </c>
      <c r="R54" s="29">
        <v>6.7372105694339366</v>
      </c>
      <c r="S54" s="30">
        <v>5.1762186324984098E-5</v>
      </c>
    </row>
    <row r="55" spans="7:19" x14ac:dyDescent="0.25">
      <c r="H55" s="25"/>
      <c r="J55" s="1">
        <f>+'Norit Rev 8.4.22'!I35</f>
        <v>1.7706166172369526</v>
      </c>
      <c r="K55" s="27">
        <f t="shared" si="0"/>
        <v>1.3603699380770987E-5</v>
      </c>
      <c r="P55" s="28" t="s">
        <v>101</v>
      </c>
      <c r="Q55" s="29">
        <v>0.15970961887477314</v>
      </c>
      <c r="R55" s="29">
        <v>1.7706166172369526</v>
      </c>
      <c r="S55" s="30">
        <v>1.3603699380770987E-5</v>
      </c>
    </row>
    <row r="56" spans="7:19" x14ac:dyDescent="0.25">
      <c r="H56" s="25"/>
      <c r="J56" s="1">
        <f>+'Norit Rev 8.4.22'!I36</f>
        <v>1.3899073352991391</v>
      </c>
      <c r="K56" s="27">
        <f t="shared" si="0"/>
        <v>1.0678698806093723E-5</v>
      </c>
      <c r="P56" s="28" t="s">
        <v>102</v>
      </c>
      <c r="Q56" s="29">
        <v>0.11978221415607981</v>
      </c>
      <c r="R56" s="29">
        <v>1.3899073352991391</v>
      </c>
      <c r="S56" s="30">
        <v>1.0678698806093723E-5</v>
      </c>
    </row>
    <row r="57" spans="7:19" x14ac:dyDescent="0.25">
      <c r="H57" s="25" t="s">
        <v>103</v>
      </c>
      <c r="J57" s="1">
        <f>+'Norit Rev 8.4.22'!I40</f>
        <v>1.0849838238775347</v>
      </c>
      <c r="K57" s="27">
        <f t="shared" si="0"/>
        <v>8.3359625281626548E-6</v>
      </c>
      <c r="P57" s="28" t="s">
        <v>104</v>
      </c>
      <c r="Q57" s="29">
        <f>'Norit Rev 8.4.22'!G37</f>
        <v>0</v>
      </c>
      <c r="R57" s="29">
        <v>1.0849838238775347</v>
      </c>
      <c r="S57" s="30">
        <v>8.3359625281626548E-6</v>
      </c>
    </row>
    <row r="58" spans="7:19" x14ac:dyDescent="0.25">
      <c r="H58" t="s">
        <v>55</v>
      </c>
      <c r="J58" s="3">
        <f>+'Norit Rev 8.4.22'!I47</f>
        <v>3819.2105101978314</v>
      </c>
      <c r="K58" s="26">
        <f t="shared" si="0"/>
        <v>2.9343106320604107E-2</v>
      </c>
      <c r="P58" s="28" t="s">
        <v>105</v>
      </c>
      <c r="Q58" s="31">
        <v>344.03448275862064</v>
      </c>
      <c r="R58" s="31">
        <v>3819.2105101978314</v>
      </c>
      <c r="S58" s="30">
        <v>2.9343106320604107E-2</v>
      </c>
    </row>
    <row r="59" spans="7:19" x14ac:dyDescent="0.25">
      <c r="G59" s="3">
        <f>14.007*2</f>
        <v>28.013999999999999</v>
      </c>
      <c r="H59" t="s">
        <v>9</v>
      </c>
      <c r="J59" s="3">
        <f>+G8*1000/G59+G10*1000*0.79/G59</f>
        <v>94386.105205435742</v>
      </c>
      <c r="K59" s="26">
        <f t="shared" si="0"/>
        <v>0.72517121348395219</v>
      </c>
      <c r="P59" s="28" t="s">
        <v>9</v>
      </c>
      <c r="Q59" s="31">
        <f>J59*G59/1000</f>
        <v>2644.1323512250765</v>
      </c>
      <c r="R59" s="31">
        <v>94386.105205435742</v>
      </c>
      <c r="S59" s="30">
        <v>0.72517121348395219</v>
      </c>
    </row>
    <row r="60" spans="7:19" x14ac:dyDescent="0.25">
      <c r="G60" s="3">
        <f>15.999*2</f>
        <v>31.998000000000001</v>
      </c>
      <c r="H60" t="s">
        <v>106</v>
      </c>
      <c r="J60" s="3">
        <f>+G10*1000*0.21/G60</f>
        <v>21829.443706879028</v>
      </c>
      <c r="K60" s="26">
        <f t="shared" si="0"/>
        <v>0.16771625599066914</v>
      </c>
      <c r="P60" s="28" t="s">
        <v>106</v>
      </c>
      <c r="Q60" s="31">
        <f>J60*G60/1000</f>
        <v>698.49853973271524</v>
      </c>
      <c r="R60" s="31">
        <v>21829.443706879028</v>
      </c>
      <c r="S60" s="30">
        <v>0.16771625599066914</v>
      </c>
    </row>
    <row r="61" spans="7:19" x14ac:dyDescent="0.25">
      <c r="G61" s="3">
        <f>15.999+1.008*2</f>
        <v>18.015000000000001</v>
      </c>
      <c r="H61" t="s">
        <v>70</v>
      </c>
      <c r="J61" s="3">
        <f>+G9*1000/G61</f>
        <v>8966.1116240600059</v>
      </c>
      <c r="K61" s="26">
        <f t="shared" si="0"/>
        <v>6.8886898474095667E-2</v>
      </c>
      <c r="P61" s="28" t="s">
        <v>70</v>
      </c>
      <c r="Q61" s="31">
        <v>161.52450090744102</v>
      </c>
      <c r="R61" s="31">
        <v>8966.1116240600059</v>
      </c>
      <c r="S61" s="30">
        <v>6.8886898474095667E-2</v>
      </c>
    </row>
    <row r="62" spans="7:19" x14ac:dyDescent="0.25">
      <c r="P62" s="28" t="s">
        <v>40</v>
      </c>
      <c r="Q62" s="3">
        <f>SUM(Q42:Q61)</f>
        <v>3903.1699109214937</v>
      </c>
      <c r="R62" s="3"/>
    </row>
    <row r="63" spans="7:19" x14ac:dyDescent="0.25">
      <c r="J63" s="4">
        <f>SUM(J42:J61)</f>
        <v>130156.99389386266</v>
      </c>
      <c r="K63" t="s">
        <v>107</v>
      </c>
    </row>
    <row r="65" spans="16:16" x14ac:dyDescent="0.25">
      <c r="P65" s="28" t="s">
        <v>108</v>
      </c>
    </row>
  </sheetData>
  <mergeCells count="1">
    <mergeCell ref="J3:K3"/>
  </mergeCells>
  <hyperlinks>
    <hyperlink ref="N22" r:id="rId1" location=":~:text=DIMETHYL%20ETHER%20is%20a%20colorless%2C%20highly%20flammable%20gas%20(b.%20p.%20%2D,aluminum%20hydride%2C%20lithium%20aluminum%20hydride." xr:uid="{0A9145EC-76D7-4DF1-ADAD-2802E76B05A7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767E-FB6B-4E9B-9878-383E570F4216}">
  <sheetPr>
    <pageSetUpPr fitToPage="1"/>
  </sheetPr>
  <dimension ref="A2:Y68"/>
  <sheetViews>
    <sheetView tabSelected="1" topLeftCell="A16" zoomScale="70" zoomScaleNormal="70" workbookViewId="0">
      <selection activeCell="J16" sqref="J16"/>
    </sheetView>
  </sheetViews>
  <sheetFormatPr defaultRowHeight="15" x14ac:dyDescent="0.25"/>
  <cols>
    <col min="2" max="2" width="16.5703125" customWidth="1"/>
    <col min="3" max="4" width="11.5703125" bestFit="1" customWidth="1"/>
    <col min="6" max="6" width="11.5703125" bestFit="1" customWidth="1"/>
    <col min="9" max="9" width="10.5703125" bestFit="1" customWidth="1"/>
    <col min="10" max="10" width="13.7109375" bestFit="1" customWidth="1"/>
    <col min="21" max="21" width="9.28515625" bestFit="1" customWidth="1"/>
  </cols>
  <sheetData>
    <row r="2" spans="1:19" x14ac:dyDescent="0.25">
      <c r="A2" t="s">
        <v>1</v>
      </c>
      <c r="B2" s="5">
        <v>10000</v>
      </c>
      <c r="C2" t="s">
        <v>2</v>
      </c>
    </row>
    <row r="3" spans="1:19" x14ac:dyDescent="0.25">
      <c r="B3" s="6">
        <v>4</v>
      </c>
      <c r="C3" t="s">
        <v>3</v>
      </c>
      <c r="F3" s="3">
        <f>+B3*2000/2.204</f>
        <v>3629.764065335753</v>
      </c>
      <c r="G3" t="s">
        <v>4</v>
      </c>
      <c r="S3" s="37"/>
    </row>
    <row r="4" spans="1:19" x14ac:dyDescent="0.25">
      <c r="C4">
        <f>+B2/B3</f>
        <v>2500</v>
      </c>
      <c r="D4" t="s">
        <v>5</v>
      </c>
      <c r="S4" s="37"/>
    </row>
    <row r="5" spans="1:19" x14ac:dyDescent="0.25">
      <c r="B5" s="4">
        <f>+B2*2000/2.204</f>
        <v>9074410.163339382</v>
      </c>
      <c r="C5" t="s">
        <v>6</v>
      </c>
      <c r="S5" s="37"/>
    </row>
    <row r="6" spans="1:19" x14ac:dyDescent="0.25">
      <c r="B6" s="7">
        <v>0.08</v>
      </c>
      <c r="C6" t="s">
        <v>7</v>
      </c>
      <c r="S6" s="37"/>
    </row>
    <row r="7" spans="1:19" x14ac:dyDescent="0.25">
      <c r="C7" s="1">
        <f>+B5*B6</f>
        <v>725952.81306715054</v>
      </c>
      <c r="D7" t="s">
        <v>109</v>
      </c>
      <c r="S7" s="37"/>
    </row>
    <row r="8" spans="1:19" x14ac:dyDescent="0.25">
      <c r="C8" s="26">
        <v>0.27</v>
      </c>
      <c r="D8" t="s">
        <v>110</v>
      </c>
      <c r="S8" s="37"/>
    </row>
    <row r="9" spans="1:19" x14ac:dyDescent="0.25">
      <c r="B9" s="8">
        <v>0.25</v>
      </c>
      <c r="C9" t="s">
        <v>8</v>
      </c>
      <c r="P9" s="1"/>
      <c r="S9" s="37"/>
    </row>
    <row r="10" spans="1:19" x14ac:dyDescent="0.25">
      <c r="C10" s="4">
        <f>+C7-C11</f>
        <v>544464.60980036296</v>
      </c>
      <c r="D10" t="s">
        <v>109</v>
      </c>
      <c r="P10" s="1"/>
      <c r="S10" s="37"/>
    </row>
    <row r="11" spans="1:19" x14ac:dyDescent="0.25">
      <c r="C11" s="15">
        <f>+C7*B9</f>
        <v>181488.20326678763</v>
      </c>
      <c r="D11" t="s">
        <v>111</v>
      </c>
      <c r="P11" s="1"/>
      <c r="S11" s="37"/>
    </row>
    <row r="12" spans="1:19" x14ac:dyDescent="0.25">
      <c r="B12" s="2"/>
      <c r="D12" s="4">
        <f>+SUM(F32:F34)</f>
        <v>81052.631578947374</v>
      </c>
      <c r="E12" t="s">
        <v>109</v>
      </c>
      <c r="F12" s="64">
        <f>+D12/C11</f>
        <v>0.44660000000000011</v>
      </c>
      <c r="Q12" s="26"/>
      <c r="S12" s="37"/>
    </row>
    <row r="13" spans="1:19" x14ac:dyDescent="0.25">
      <c r="B13" s="2"/>
      <c r="D13" s="4">
        <f>+SUM(F17:F31,F35)</f>
        <v>100417.4228675136</v>
      </c>
      <c r="E13" t="s">
        <v>112</v>
      </c>
      <c r="F13" s="64">
        <f>+D13/C11</f>
        <v>0.55330000000000001</v>
      </c>
      <c r="K13">
        <v>1</v>
      </c>
      <c r="L13" t="s">
        <v>17</v>
      </c>
      <c r="S13" s="37"/>
    </row>
    <row r="14" spans="1:19" x14ac:dyDescent="0.25">
      <c r="B14" s="2"/>
      <c r="J14" t="s">
        <v>18</v>
      </c>
      <c r="K14">
        <v>40</v>
      </c>
      <c r="L14" t="s">
        <v>113</v>
      </c>
      <c r="S14" s="56"/>
    </row>
    <row r="15" spans="1:19" x14ac:dyDescent="0.25">
      <c r="B15" s="2"/>
      <c r="J15">
        <f>1*0.082057*(K14+273)/K13</f>
        <v>25.683841000000001</v>
      </c>
      <c r="S15" s="56"/>
    </row>
    <row r="16" spans="1:19" x14ac:dyDescent="0.25">
      <c r="F16" t="s">
        <v>20</v>
      </c>
      <c r="G16" t="s">
        <v>4</v>
      </c>
      <c r="H16" t="s">
        <v>21</v>
      </c>
      <c r="I16" t="s">
        <v>22</v>
      </c>
      <c r="J16" t="s">
        <v>23</v>
      </c>
      <c r="S16" s="37"/>
    </row>
    <row r="17" spans="4:25" x14ac:dyDescent="0.25">
      <c r="D17">
        <v>1.05</v>
      </c>
      <c r="F17" s="1">
        <f t="shared" ref="F17:F35" si="0">+D17/100*$B$6*$B$5*$B$9</f>
        <v>1905.6261343012702</v>
      </c>
      <c r="G17">
        <f t="shared" ref="G17:G31" si="1">+F17/$C$4</f>
        <v>0.76225045372050804</v>
      </c>
      <c r="H17">
        <v>80.52</v>
      </c>
      <c r="I17">
        <f t="shared" ref="I17:I31" si="2">+G17*1000/H17</f>
        <v>9.4665977858980135</v>
      </c>
      <c r="J17" s="3">
        <f>+I17*$J$15</f>
        <v>243.13859234395662</v>
      </c>
    </row>
    <row r="18" spans="4:25" x14ac:dyDescent="0.25">
      <c r="D18">
        <v>37.92</v>
      </c>
      <c r="F18" s="1">
        <f t="shared" si="0"/>
        <v>68820.326678765879</v>
      </c>
      <c r="G18">
        <f t="shared" si="1"/>
        <v>27.52813067150635</v>
      </c>
      <c r="H18">
        <v>44.05</v>
      </c>
      <c r="I18">
        <f t="shared" si="2"/>
        <v>624.92918664032584</v>
      </c>
      <c r="J18" s="3">
        <f t="shared" ref="J18:J31" si="3">+I18*$J$15</f>
        <v>16050.581865929453</v>
      </c>
    </row>
    <row r="19" spans="4:25" x14ac:dyDescent="0.25">
      <c r="D19">
        <v>0.3</v>
      </c>
      <c r="F19" s="1">
        <f t="shared" si="0"/>
        <v>544.46460980036295</v>
      </c>
      <c r="G19">
        <f t="shared" si="1"/>
        <v>0.21778584392014519</v>
      </c>
      <c r="H19">
        <v>48.06</v>
      </c>
      <c r="I19">
        <f t="shared" si="2"/>
        <v>4.531540655849879</v>
      </c>
      <c r="J19" s="3">
        <f t="shared" si="3"/>
        <v>116.38736968988401</v>
      </c>
    </row>
    <row r="20" spans="4:25" x14ac:dyDescent="0.25">
      <c r="D20">
        <v>5.15</v>
      </c>
      <c r="F20" s="1">
        <f t="shared" si="0"/>
        <v>9346.6424682395646</v>
      </c>
      <c r="G20">
        <f t="shared" si="1"/>
        <v>3.7386569872958257</v>
      </c>
      <c r="H20">
        <v>44.1</v>
      </c>
      <c r="I20">
        <f t="shared" si="2"/>
        <v>84.776802433011923</v>
      </c>
      <c r="J20" s="3">
        <f t="shared" si="3"/>
        <v>2177.3939141778915</v>
      </c>
    </row>
    <row r="21" spans="4:25" x14ac:dyDescent="0.25">
      <c r="D21">
        <v>1.19</v>
      </c>
      <c r="F21" s="1">
        <f t="shared" si="0"/>
        <v>2159.7096188747728</v>
      </c>
      <c r="G21">
        <f t="shared" si="1"/>
        <v>0.8638838475499091</v>
      </c>
      <c r="H21">
        <v>46.07</v>
      </c>
      <c r="I21">
        <f t="shared" si="2"/>
        <v>18.751548677011268</v>
      </c>
      <c r="J21" s="3">
        <f t="shared" si="3"/>
        <v>481.61179472411777</v>
      </c>
    </row>
    <row r="22" spans="4:25" x14ac:dyDescent="0.25">
      <c r="D22">
        <v>0.41</v>
      </c>
      <c r="F22" s="1">
        <f t="shared" si="0"/>
        <v>744.10163339382916</v>
      </c>
      <c r="G22">
        <f t="shared" si="1"/>
        <v>0.29764065335753165</v>
      </c>
      <c r="H22">
        <v>62.09</v>
      </c>
      <c r="I22">
        <f t="shared" si="2"/>
        <v>4.7936971067407255</v>
      </c>
      <c r="J22" s="3">
        <f t="shared" si="3"/>
        <v>123.12055429168882</v>
      </c>
      <c r="O22" s="2"/>
    </row>
    <row r="23" spans="4:25" x14ac:dyDescent="0.25">
      <c r="D23">
        <v>0.59</v>
      </c>
      <c r="F23" s="1">
        <f t="shared" si="0"/>
        <v>1070.7803992740471</v>
      </c>
      <c r="G23">
        <f t="shared" si="1"/>
        <v>0.42831215970961883</v>
      </c>
      <c r="H23">
        <v>58.12</v>
      </c>
      <c r="I23">
        <f t="shared" si="2"/>
        <v>7.3694452806197317</v>
      </c>
      <c r="J23" s="3">
        <f t="shared" si="3"/>
        <v>189.27566084563759</v>
      </c>
      <c r="O23" s="2"/>
      <c r="R23" s="3"/>
      <c r="W23" s="4"/>
      <c r="Y23" s="3"/>
    </row>
    <row r="24" spans="4:25" x14ac:dyDescent="0.25">
      <c r="D24">
        <v>3.14</v>
      </c>
      <c r="F24" s="1">
        <f t="shared" si="0"/>
        <v>5698.7295825771325</v>
      </c>
      <c r="G24">
        <f t="shared" si="1"/>
        <v>2.2794918330308529</v>
      </c>
      <c r="H24">
        <v>58.12</v>
      </c>
      <c r="I24">
        <f t="shared" si="2"/>
        <v>39.220437595162643</v>
      </c>
      <c r="J24" s="3">
        <f t="shared" si="3"/>
        <v>1007.3314831445797</v>
      </c>
    </row>
    <row r="25" spans="4:25" x14ac:dyDescent="0.25">
      <c r="D25">
        <v>3.4</v>
      </c>
      <c r="F25" s="1">
        <f t="shared" si="0"/>
        <v>6170.5989110707806</v>
      </c>
      <c r="G25">
        <f t="shared" si="1"/>
        <v>2.4682395644283122</v>
      </c>
      <c r="H25">
        <v>92.19</v>
      </c>
      <c r="I25">
        <f t="shared" si="2"/>
        <v>26.773398030462218</v>
      </c>
      <c r="J25" s="3">
        <f t="shared" si="3"/>
        <v>687.64369804410478</v>
      </c>
    </row>
    <row r="26" spans="4:25" x14ac:dyDescent="0.25">
      <c r="D26">
        <v>0.32</v>
      </c>
      <c r="F26" s="1">
        <f t="shared" si="0"/>
        <v>580.76225045372053</v>
      </c>
      <c r="G26">
        <f t="shared" si="1"/>
        <v>0.23230490018148822</v>
      </c>
      <c r="H26">
        <v>60.1</v>
      </c>
      <c r="I26">
        <f t="shared" si="2"/>
        <v>3.8653061594257605</v>
      </c>
      <c r="J26" s="3">
        <f t="shared" si="3"/>
        <v>99.275908815011888</v>
      </c>
    </row>
    <row r="27" spans="4:25" x14ac:dyDescent="0.25">
      <c r="D27">
        <v>0.26</v>
      </c>
      <c r="F27" s="1">
        <f t="shared" si="0"/>
        <v>471.86932849364786</v>
      </c>
      <c r="G27">
        <f t="shared" si="1"/>
        <v>0.18874773139745915</v>
      </c>
      <c r="H27">
        <v>72.150000000000006</v>
      </c>
      <c r="I27">
        <f t="shared" si="2"/>
        <v>2.6160461732149569</v>
      </c>
      <c r="J27" s="3">
        <f t="shared" si="3"/>
        <v>67.190113961511415</v>
      </c>
    </row>
    <row r="28" spans="4:25" x14ac:dyDescent="0.25">
      <c r="D28">
        <v>0.56999999999999995</v>
      </c>
      <c r="F28" s="1">
        <f t="shared" si="0"/>
        <v>1034.4827586206895</v>
      </c>
      <c r="G28">
        <f t="shared" si="1"/>
        <v>0.4137931034482758</v>
      </c>
      <c r="H28">
        <v>72.150000000000006</v>
      </c>
      <c r="I28">
        <f t="shared" si="2"/>
        <v>5.7351781489712517</v>
      </c>
      <c r="J28" s="3">
        <f t="shared" si="3"/>
        <v>147.30140368485195</v>
      </c>
    </row>
    <row r="29" spans="4:25" x14ac:dyDescent="0.25">
      <c r="D29">
        <v>0.5</v>
      </c>
      <c r="F29" s="1">
        <f t="shared" si="0"/>
        <v>907.44101633393825</v>
      </c>
      <c r="G29">
        <f t="shared" si="1"/>
        <v>0.36297640653357532</v>
      </c>
      <c r="H29">
        <v>74.08</v>
      </c>
      <c r="I29">
        <f t="shared" si="2"/>
        <v>4.8997895050428628</v>
      </c>
      <c r="J29" s="3">
        <f t="shared" si="3"/>
        <v>125.8454145809896</v>
      </c>
    </row>
    <row r="30" spans="4:25" x14ac:dyDescent="0.25">
      <c r="D30">
        <v>0.16</v>
      </c>
      <c r="F30" s="1">
        <f t="shared" si="0"/>
        <v>290.38112522686026</v>
      </c>
      <c r="G30">
        <f t="shared" si="1"/>
        <v>0.11615245009074411</v>
      </c>
      <c r="H30">
        <v>90.2</v>
      </c>
      <c r="I30">
        <f t="shared" si="2"/>
        <v>1.2877211761723293</v>
      </c>
      <c r="J30" s="3">
        <f t="shared" si="3"/>
        <v>33.073625941143092</v>
      </c>
    </row>
    <row r="31" spans="4:25" x14ac:dyDescent="0.25">
      <c r="D31">
        <v>0.12</v>
      </c>
      <c r="F31" s="1">
        <f t="shared" si="0"/>
        <v>217.78584392014514</v>
      </c>
      <c r="G31">
        <f t="shared" si="1"/>
        <v>8.7114337568058059E-2</v>
      </c>
      <c r="H31">
        <v>86.18</v>
      </c>
      <c r="I31">
        <f t="shared" si="2"/>
        <v>1.010841698399374</v>
      </c>
      <c r="J31" s="3">
        <f t="shared" si="3"/>
        <v>25.962297457859478</v>
      </c>
    </row>
    <row r="32" spans="4:25" x14ac:dyDescent="0.25">
      <c r="D32">
        <v>34.840000000000003</v>
      </c>
      <c r="E32" t="s">
        <v>7</v>
      </c>
      <c r="F32" s="1">
        <f t="shared" si="0"/>
        <v>63230.490018148826</v>
      </c>
      <c r="H32" t="s">
        <v>24</v>
      </c>
      <c r="J32" s="3"/>
    </row>
    <row r="33" spans="1:23" x14ac:dyDescent="0.25">
      <c r="D33">
        <v>9.6300000000000008</v>
      </c>
      <c r="E33" t="s">
        <v>7</v>
      </c>
      <c r="F33" s="1">
        <f t="shared" si="0"/>
        <v>17477.313974591652</v>
      </c>
      <c r="H33" t="s">
        <v>24</v>
      </c>
      <c r="J33" s="3"/>
    </row>
    <row r="34" spans="1:23" x14ac:dyDescent="0.25">
      <c r="D34">
        <v>0.19</v>
      </c>
      <c r="E34" t="s">
        <v>7</v>
      </c>
      <c r="F34" s="1">
        <f t="shared" si="0"/>
        <v>344.82758620689651</v>
      </c>
      <c r="H34" t="s">
        <v>24</v>
      </c>
      <c r="J34" s="3"/>
    </row>
    <row r="35" spans="1:23" x14ac:dyDescent="0.25">
      <c r="A35" t="s">
        <v>25</v>
      </c>
      <c r="D35">
        <v>0.25</v>
      </c>
      <c r="F35" s="1">
        <f t="shared" si="0"/>
        <v>453.72050816696913</v>
      </c>
      <c r="G35">
        <f>+F35/$C$4</f>
        <v>0.18148820326678766</v>
      </c>
      <c r="H35">
        <v>230</v>
      </c>
      <c r="I35">
        <f>+G35*1000/H35</f>
        <v>0.78907914463820716</v>
      </c>
      <c r="J35" s="3">
        <f>+I35*$J$15</f>
        <v>20.266583287303717</v>
      </c>
    </row>
    <row r="36" spans="1:23" x14ac:dyDescent="0.25">
      <c r="F36" s="1"/>
      <c r="J36" s="3"/>
    </row>
    <row r="37" spans="1:23" x14ac:dyDescent="0.25">
      <c r="F37" t="s">
        <v>20</v>
      </c>
      <c r="G37" s="58" t="s">
        <v>4</v>
      </c>
      <c r="H37" t="s">
        <v>21</v>
      </c>
      <c r="I37" t="s">
        <v>22</v>
      </c>
      <c r="J37" t="s">
        <v>23</v>
      </c>
      <c r="L37" s="89" t="s">
        <v>114</v>
      </c>
      <c r="M37" s="90"/>
      <c r="N37" s="89" t="s">
        <v>43</v>
      </c>
      <c r="O37" s="90"/>
    </row>
    <row r="38" spans="1:23" x14ac:dyDescent="0.25">
      <c r="B38" t="s">
        <v>115</v>
      </c>
      <c r="F38" s="4">
        <f>+SUM(F17:F35)-SUM(F32:F34)</f>
        <v>100417.4228675136</v>
      </c>
      <c r="G38" s="59">
        <f>+SUM(G17:G35)</f>
        <v>40.166969147005439</v>
      </c>
      <c r="J38" s="4">
        <f>+SUM(J17:J35)</f>
        <v>21595.400280919977</v>
      </c>
      <c r="K38" t="s">
        <v>15</v>
      </c>
      <c r="L38" s="45">
        <f>+J38/1000</f>
        <v>21.595400280919979</v>
      </c>
      <c r="M38" t="s">
        <v>16</v>
      </c>
      <c r="N38" s="35">
        <f>+L38/2</f>
        <v>10.797700140459989</v>
      </c>
      <c r="O38" s="33" t="s">
        <v>16</v>
      </c>
      <c r="P38" t="s">
        <v>115</v>
      </c>
      <c r="T38" t="s">
        <v>116</v>
      </c>
    </row>
    <row r="39" spans="1:23" x14ac:dyDescent="0.25">
      <c r="B39" t="s">
        <v>117</v>
      </c>
      <c r="F39" s="4">
        <f>+SUM(F32:F34)</f>
        <v>81052.631578947374</v>
      </c>
      <c r="G39" s="60">
        <f t="shared" ref="G39:G42" si="4">+F39/$C$4</f>
        <v>32.421052631578952</v>
      </c>
      <c r="H39">
        <v>90.08</v>
      </c>
      <c r="I39" s="3">
        <f>+G39*1000/H39</f>
        <v>359.91399457791914</v>
      </c>
      <c r="J39" s="1">
        <f t="shared" ref="J39:J42" si="5">+I39*$J$15</f>
        <v>9243.9738104141379</v>
      </c>
      <c r="K39" t="s">
        <v>15</v>
      </c>
      <c r="L39" s="45">
        <f>+J39/1000</f>
        <v>9.243973810414138</v>
      </c>
      <c r="M39" t="s">
        <v>16</v>
      </c>
      <c r="N39" s="35">
        <f>+L39/2</f>
        <v>4.621986905207069</v>
      </c>
      <c r="O39" s="33" t="s">
        <v>16</v>
      </c>
      <c r="P39" t="s">
        <v>117</v>
      </c>
      <c r="S39" t="s">
        <v>118</v>
      </c>
      <c r="T39" s="3">
        <f>+G39+G41+G38</f>
        <v>132.04355716878402</v>
      </c>
      <c r="U39" s="3">
        <f>+G39+G42+G38</f>
        <v>211.75317604355718</v>
      </c>
    </row>
    <row r="40" spans="1:23" x14ac:dyDescent="0.25">
      <c r="G40" s="58"/>
      <c r="L40" s="46"/>
      <c r="N40" s="35"/>
      <c r="O40" s="33"/>
      <c r="S40" t="s">
        <v>119</v>
      </c>
      <c r="T40" s="3">
        <f>+T39/2</f>
        <v>66.02177858439201</v>
      </c>
      <c r="U40" s="3">
        <f>+U39/2</f>
        <v>105.87658802177859</v>
      </c>
    </row>
    <row r="41" spans="1:23" x14ac:dyDescent="0.25">
      <c r="B41" t="s">
        <v>120</v>
      </c>
      <c r="C41" t="s">
        <v>121</v>
      </c>
      <c r="D41" s="2">
        <v>0.27300000000000002</v>
      </c>
      <c r="F41" s="4">
        <f>+D41*$C$10</f>
        <v>148638.8384754991</v>
      </c>
      <c r="G41" s="60">
        <f t="shared" si="4"/>
        <v>59.455535390199643</v>
      </c>
      <c r="H41">
        <v>90.08</v>
      </c>
      <c r="I41" s="3">
        <f t="shared" ref="I41:I42" si="6">+G41*1000/H41</f>
        <v>660.03036623223409</v>
      </c>
      <c r="J41" s="1">
        <f>+I41*$J$15</f>
        <v>16952.11498148047</v>
      </c>
      <c r="K41" t="s">
        <v>15</v>
      </c>
      <c r="L41" s="45">
        <f>+J41/1000</f>
        <v>16.95211498148047</v>
      </c>
      <c r="M41" t="s">
        <v>16</v>
      </c>
      <c r="N41" s="35">
        <f>+L41/2</f>
        <v>8.4760574907402351</v>
      </c>
      <c r="O41" s="33" t="s">
        <v>16</v>
      </c>
      <c r="P41" t="s">
        <v>120</v>
      </c>
      <c r="U41" s="57">
        <v>10000</v>
      </c>
      <c r="V41">
        <f>+U41*0.25</f>
        <v>2500</v>
      </c>
      <c r="W41">
        <f>+V41/U40</f>
        <v>23.61239672254791</v>
      </c>
    </row>
    <row r="42" spans="1:23" x14ac:dyDescent="0.25">
      <c r="C42" t="s">
        <v>121</v>
      </c>
      <c r="D42" s="2">
        <v>0.63900000000000001</v>
      </c>
      <c r="F42" s="4">
        <f>+D42*$C$10</f>
        <v>347912.88566243195</v>
      </c>
      <c r="G42" s="60">
        <f t="shared" si="4"/>
        <v>139.16515426497278</v>
      </c>
      <c r="H42">
        <v>90.08</v>
      </c>
      <c r="I42" s="3">
        <f t="shared" si="6"/>
        <v>1544.9062418402839</v>
      </c>
      <c r="J42" s="1">
        <f t="shared" si="5"/>
        <v>39679.126275333401</v>
      </c>
      <c r="K42" t="s">
        <v>15</v>
      </c>
      <c r="L42" s="45">
        <f>+J42/1000</f>
        <v>39.679126275333402</v>
      </c>
      <c r="M42" t="s">
        <v>16</v>
      </c>
      <c r="N42" s="35">
        <f>+L42/2</f>
        <v>19.839563137666701</v>
      </c>
      <c r="O42" s="33" t="s">
        <v>16</v>
      </c>
      <c r="P42" t="s">
        <v>121</v>
      </c>
    </row>
    <row r="43" spans="1:23" x14ac:dyDescent="0.25">
      <c r="C43" s="2"/>
      <c r="F43" s="4"/>
      <c r="G43" s="58"/>
      <c r="I43" s="3"/>
      <c r="J43" s="1"/>
      <c r="L43" s="46"/>
      <c r="N43" s="35"/>
      <c r="O43" s="33"/>
    </row>
    <row r="44" spans="1:23" x14ac:dyDescent="0.25">
      <c r="B44" t="s">
        <v>122</v>
      </c>
      <c r="C44" s="6">
        <v>500</v>
      </c>
      <c r="D44" t="s">
        <v>41</v>
      </c>
      <c r="F44" s="4"/>
      <c r="G44" s="60"/>
      <c r="I44" s="3"/>
      <c r="J44" s="1"/>
      <c r="L44" s="46"/>
      <c r="N44" s="35"/>
      <c r="O44" s="33"/>
    </row>
    <row r="45" spans="1:23" x14ac:dyDescent="0.25">
      <c r="C45">
        <v>7.2499999999999995E-2</v>
      </c>
      <c r="D45" t="s">
        <v>12</v>
      </c>
      <c r="F45" s="4"/>
      <c r="G45" s="60"/>
      <c r="I45" s="3"/>
      <c r="J45" s="1"/>
      <c r="L45" s="46"/>
      <c r="N45" s="35"/>
      <c r="O45" s="33"/>
    </row>
    <row r="46" spans="1:23" x14ac:dyDescent="0.25">
      <c r="C46" s="9">
        <f>+C45/2.204</f>
        <v>3.2894736842105261E-2</v>
      </c>
      <c r="D46" t="s">
        <v>13</v>
      </c>
      <c r="F46" s="1">
        <f>+C44*C4*C46</f>
        <v>41118.42105263158</v>
      </c>
      <c r="G46" s="60">
        <f>+C44*C46</f>
        <v>16.44736842105263</v>
      </c>
      <c r="I46" s="3"/>
      <c r="J46" s="1"/>
      <c r="L46" s="47">
        <f>+C44/C47</f>
        <v>14.158409953928533</v>
      </c>
      <c r="M46" s="48" t="s">
        <v>16</v>
      </c>
      <c r="N46" s="36">
        <f>+L46/2</f>
        <v>7.0792049769642666</v>
      </c>
      <c r="O46" s="34" t="s">
        <v>16</v>
      </c>
      <c r="P46" t="s">
        <v>122</v>
      </c>
    </row>
    <row r="47" spans="1:23" ht="15.75" thickBot="1" x14ac:dyDescent="0.3">
      <c r="B47" s="39"/>
      <c r="C47" s="40">
        <v>35.314700000000002</v>
      </c>
      <c r="D47" s="39" t="s">
        <v>123</v>
      </c>
      <c r="E47" s="39"/>
      <c r="F47" s="41"/>
      <c r="G47" s="61"/>
      <c r="H47" s="39"/>
      <c r="I47" s="42"/>
      <c r="J47" s="43"/>
      <c r="K47" s="39"/>
      <c r="L47" s="39"/>
      <c r="M47" s="39"/>
      <c r="N47" s="44"/>
      <c r="O47" s="39"/>
    </row>
    <row r="48" spans="1:23" ht="15.75" thickTop="1" x14ac:dyDescent="0.25">
      <c r="C48" s="38"/>
      <c r="F48" s="4"/>
      <c r="G48" s="60"/>
      <c r="I48" s="3"/>
      <c r="J48" s="1"/>
      <c r="N48" s="11"/>
    </row>
    <row r="49" spans="2:23" x14ac:dyDescent="0.25">
      <c r="B49" t="s">
        <v>124</v>
      </c>
      <c r="C49" s="38"/>
      <c r="F49" s="4"/>
      <c r="G49" s="60"/>
      <c r="I49" s="3"/>
      <c r="J49" s="1"/>
      <c r="N49" s="11"/>
      <c r="R49" s="49"/>
      <c r="S49" s="49"/>
      <c r="T49" s="49"/>
      <c r="U49" s="49"/>
      <c r="V49" s="49"/>
      <c r="W49" s="49"/>
    </row>
    <row r="50" spans="2:23" x14ac:dyDescent="0.25">
      <c r="B50" t="s">
        <v>35</v>
      </c>
      <c r="C50" s="8">
        <v>0.1</v>
      </c>
      <c r="E50" t="s">
        <v>36</v>
      </c>
      <c r="F50" s="8">
        <v>0.02</v>
      </c>
      <c r="G50" s="58"/>
      <c r="I50" s="3"/>
      <c r="J50" s="1"/>
      <c r="N50" s="11"/>
      <c r="R50" s="49"/>
    </row>
    <row r="51" spans="2:23" x14ac:dyDescent="0.25">
      <c r="B51" t="s">
        <v>125</v>
      </c>
      <c r="C51" s="3">
        <f>+B5*(1-B6)*(C50-F50)</f>
        <v>667876.5880217785</v>
      </c>
      <c r="D51" t="s">
        <v>20</v>
      </c>
      <c r="G51" s="58"/>
      <c r="I51" s="3"/>
      <c r="J51" s="1"/>
      <c r="N51" s="11"/>
      <c r="R51" s="49"/>
    </row>
    <row r="52" spans="2:23" x14ac:dyDescent="0.25">
      <c r="B52" t="s">
        <v>126</v>
      </c>
      <c r="D52" s="51">
        <v>13.9</v>
      </c>
      <c r="E52" s="49" t="s">
        <v>127</v>
      </c>
      <c r="F52" s="51">
        <v>100</v>
      </c>
      <c r="G52" s="62" t="s">
        <v>128</v>
      </c>
      <c r="I52" s="3"/>
      <c r="J52" s="1"/>
      <c r="N52" s="11"/>
      <c r="R52" s="49"/>
    </row>
    <row r="53" spans="2:23" x14ac:dyDescent="0.25">
      <c r="B53" s="49" t="s">
        <v>129</v>
      </c>
      <c r="C53" s="51">
        <v>0.997</v>
      </c>
      <c r="D53" s="49" t="s">
        <v>130</v>
      </c>
      <c r="E53" s="49"/>
      <c r="F53" s="49"/>
      <c r="G53" s="62"/>
      <c r="I53" s="3"/>
      <c r="J53" s="1"/>
      <c r="K53">
        <v>1</v>
      </c>
      <c r="L53" t="s">
        <v>17</v>
      </c>
      <c r="N53" s="11"/>
      <c r="R53" s="49"/>
    </row>
    <row r="54" spans="2:23" x14ac:dyDescent="0.25">
      <c r="B54" s="26">
        <f>+D52/(F52*C53+D52)</f>
        <v>0.12235915492957745</v>
      </c>
      <c r="C54" t="s">
        <v>131</v>
      </c>
      <c r="D54" s="49"/>
      <c r="E54" s="49"/>
      <c r="F54" s="49"/>
      <c r="G54" s="62"/>
      <c r="I54" s="3"/>
      <c r="J54" t="s">
        <v>18</v>
      </c>
      <c r="K54">
        <v>100</v>
      </c>
      <c r="L54" t="s">
        <v>113</v>
      </c>
      <c r="N54" s="11"/>
      <c r="R54" s="49"/>
    </row>
    <row r="55" spans="2:23" x14ac:dyDescent="0.25">
      <c r="D55" s="49"/>
      <c r="E55" s="49"/>
      <c r="F55" s="49"/>
      <c r="G55" s="62"/>
      <c r="I55" s="3"/>
      <c r="J55">
        <f>1*0.082057*(K54+272)/K53</f>
        <v>30.525204000000002</v>
      </c>
      <c r="N55" s="11"/>
      <c r="R55" s="49"/>
    </row>
    <row r="56" spans="2:23" x14ac:dyDescent="0.25">
      <c r="D56" s="49"/>
      <c r="E56" s="49"/>
      <c r="F56" t="s">
        <v>132</v>
      </c>
      <c r="G56" s="58" t="s">
        <v>4</v>
      </c>
      <c r="H56" t="s">
        <v>21</v>
      </c>
      <c r="I56" t="s">
        <v>22</v>
      </c>
      <c r="J56" t="s">
        <v>23</v>
      </c>
      <c r="L56" s="89" t="s">
        <v>114</v>
      </c>
      <c r="M56" s="90"/>
      <c r="N56" s="89" t="s">
        <v>43</v>
      </c>
      <c r="O56" s="90"/>
      <c r="R56" s="49"/>
    </row>
    <row r="57" spans="2:23" x14ac:dyDescent="0.25">
      <c r="B57" t="s">
        <v>34</v>
      </c>
      <c r="F57" s="1">
        <f>+C51*(1-B54)</f>
        <v>586155.77311418415</v>
      </c>
      <c r="G57" s="60">
        <f>+F57/$C$4</f>
        <v>234.46230924567365</v>
      </c>
      <c r="H57">
        <v>18.02</v>
      </c>
      <c r="I57" s="1">
        <f>+G57*1000/H57</f>
        <v>13011.226928172789</v>
      </c>
      <c r="J57" s="4">
        <f>+I57*$J$55</f>
        <v>397170.35627276776</v>
      </c>
      <c r="K57" t="s">
        <v>15</v>
      </c>
      <c r="L57" s="52">
        <f>+J57/1000</f>
        <v>397.17035627276778</v>
      </c>
      <c r="M57" s="53" t="s">
        <v>16</v>
      </c>
      <c r="N57" s="52">
        <f>+L57/2</f>
        <v>198.58517813638389</v>
      </c>
      <c r="O57" s="53" t="s">
        <v>16</v>
      </c>
      <c r="P57" t="s">
        <v>34</v>
      </c>
      <c r="R57" s="49"/>
    </row>
    <row r="58" spans="2:23" x14ac:dyDescent="0.25">
      <c r="B58" t="s">
        <v>133</v>
      </c>
      <c r="F58" s="1">
        <f>+C51*B54</f>
        <v>81720.814907594366</v>
      </c>
      <c r="G58" s="60">
        <f>+F58/$C$4</f>
        <v>32.688325963037748</v>
      </c>
      <c r="H58">
        <v>90.08</v>
      </c>
      <c r="I58" s="1">
        <f>+G58*1000/H58</f>
        <v>362.88106086853628</v>
      </c>
      <c r="J58" s="4">
        <f>+I58*$J$55</f>
        <v>11077.018410748487</v>
      </c>
      <c r="K58" t="s">
        <v>15</v>
      </c>
      <c r="L58" s="47">
        <f>+J58/1000</f>
        <v>11.077018410748487</v>
      </c>
      <c r="M58" s="34" t="s">
        <v>16</v>
      </c>
      <c r="N58" s="36">
        <f>+L58/2</f>
        <v>5.5385092053742433</v>
      </c>
      <c r="O58" s="34" t="s">
        <v>16</v>
      </c>
      <c r="P58" t="s">
        <v>133</v>
      </c>
      <c r="R58" s="49"/>
      <c r="V58">
        <f>+V41</f>
        <v>2500</v>
      </c>
      <c r="W58">
        <f>+V58/G58</f>
        <v>76.479903034094477</v>
      </c>
    </row>
    <row r="59" spans="2:23" ht="15.75" thickBot="1" x14ac:dyDescent="0.3">
      <c r="B59" s="39"/>
      <c r="C59" s="39"/>
      <c r="D59" s="39"/>
      <c r="E59" s="39"/>
      <c r="F59" s="39"/>
      <c r="G59" s="63"/>
      <c r="H59" s="39"/>
      <c r="I59" s="42"/>
      <c r="J59" s="43"/>
      <c r="K59" s="39"/>
      <c r="L59" s="39"/>
      <c r="M59" s="39"/>
      <c r="N59" s="44"/>
      <c r="O59" s="39"/>
      <c r="R59" s="49"/>
    </row>
    <row r="60" spans="2:23" ht="15.75" thickTop="1" x14ac:dyDescent="0.25">
      <c r="I60" s="3"/>
      <c r="N60" s="11"/>
      <c r="R60" s="49"/>
    </row>
    <row r="61" spans="2:23" x14ac:dyDescent="0.25">
      <c r="B61" t="s">
        <v>134</v>
      </c>
      <c r="F61" s="4"/>
      <c r="N61" s="11"/>
      <c r="R61" s="49"/>
      <c r="S61" s="49"/>
      <c r="T61" s="49"/>
      <c r="U61" s="49"/>
      <c r="V61" s="49"/>
      <c r="W61" s="49"/>
    </row>
    <row r="62" spans="2:23" x14ac:dyDescent="0.25">
      <c r="F62" t="s">
        <v>132</v>
      </c>
      <c r="G62" s="94" t="s">
        <v>114</v>
      </c>
      <c r="H62" s="95"/>
      <c r="I62" s="96" t="s">
        <v>43</v>
      </c>
      <c r="J62" s="95"/>
      <c r="L62" s="96" t="s">
        <v>43</v>
      </c>
      <c r="M62" s="95"/>
      <c r="N62" s="11"/>
      <c r="R62" s="49"/>
      <c r="S62" s="49"/>
      <c r="T62" s="49"/>
      <c r="U62" s="49"/>
      <c r="V62" s="49"/>
      <c r="W62" s="49"/>
    </row>
    <row r="63" spans="2:23" x14ac:dyDescent="0.25">
      <c r="B63" t="s">
        <v>135</v>
      </c>
      <c r="C63" t="s">
        <v>136</v>
      </c>
      <c r="F63" s="4">
        <f>+$C$10-(F42+$F$58)</f>
        <v>114830.90923033666</v>
      </c>
      <c r="G63" s="45">
        <f>+F63/$C$4</f>
        <v>45.932363692134665</v>
      </c>
      <c r="H63" s="33" t="s">
        <v>4</v>
      </c>
      <c r="I63" s="54">
        <f>+G63/2</f>
        <v>22.966181846067332</v>
      </c>
      <c r="J63" s="33" t="s">
        <v>4</v>
      </c>
      <c r="L63" s="3">
        <f>+I63*1.07</f>
        <v>24.573814575292047</v>
      </c>
      <c r="M63" t="s">
        <v>137</v>
      </c>
      <c r="N63" s="11"/>
      <c r="R63" s="49"/>
      <c r="S63" s="49"/>
      <c r="T63" s="49"/>
      <c r="U63" s="49"/>
      <c r="V63" s="49"/>
      <c r="W63" s="49"/>
    </row>
    <row r="64" spans="2:23" x14ac:dyDescent="0.25">
      <c r="C64" t="s">
        <v>138</v>
      </c>
      <c r="F64" s="4">
        <f>+$C$10-(F41+$F$58)</f>
        <v>314104.95641726948</v>
      </c>
      <c r="G64" s="47">
        <f>+F64/$C$4</f>
        <v>125.6419825669078</v>
      </c>
      <c r="H64" s="34" t="s">
        <v>4</v>
      </c>
      <c r="I64" s="55">
        <f>+G64/2</f>
        <v>62.8209912834539</v>
      </c>
      <c r="J64" s="34" t="s">
        <v>4</v>
      </c>
      <c r="L64" s="3">
        <f>+I64*1.07</f>
        <v>67.218460673295681</v>
      </c>
      <c r="N64" s="11"/>
      <c r="R64" s="49"/>
      <c r="S64" s="49"/>
      <c r="T64" s="49"/>
      <c r="U64" s="49"/>
      <c r="V64" s="49"/>
      <c r="W64" s="49"/>
    </row>
    <row r="65" spans="3:23" x14ac:dyDescent="0.25">
      <c r="R65" s="49"/>
      <c r="S65" s="49"/>
      <c r="T65" s="49"/>
      <c r="U65" s="49"/>
      <c r="V65" s="49"/>
      <c r="W65" s="49"/>
    </row>
    <row r="66" spans="3:23" x14ac:dyDescent="0.25">
      <c r="C66" t="s">
        <v>139</v>
      </c>
      <c r="D66" t="s">
        <v>140</v>
      </c>
      <c r="R66" s="49"/>
      <c r="S66" s="49"/>
      <c r="T66" s="49"/>
      <c r="U66" s="49"/>
      <c r="V66" s="49"/>
      <c r="W66" s="49"/>
    </row>
    <row r="67" spans="3:23" x14ac:dyDescent="0.25">
      <c r="D67" t="s">
        <v>141</v>
      </c>
      <c r="U67" s="49"/>
      <c r="V67" s="49"/>
      <c r="W67" s="49"/>
    </row>
    <row r="68" spans="3:23" x14ac:dyDescent="0.25">
      <c r="D68" t="s">
        <v>142</v>
      </c>
      <c r="R68" s="49"/>
      <c r="S68" s="49"/>
      <c r="T68" s="49"/>
      <c r="U68" s="49"/>
      <c r="V68" s="50"/>
      <c r="W68" s="49"/>
    </row>
  </sheetData>
  <mergeCells count="7">
    <mergeCell ref="G62:H62"/>
    <mergeCell ref="I62:J62"/>
    <mergeCell ref="N37:O37"/>
    <mergeCell ref="L37:M37"/>
    <mergeCell ref="L56:M56"/>
    <mergeCell ref="N56:O56"/>
    <mergeCell ref="L62:M62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F16E-2327-4824-9E1C-1AFA9553E521}">
  <dimension ref="B1:S22"/>
  <sheetViews>
    <sheetView workbookViewId="0">
      <selection activeCell="J15" sqref="J15"/>
    </sheetView>
  </sheetViews>
  <sheetFormatPr defaultRowHeight="15" x14ac:dyDescent="0.25"/>
  <sheetData>
    <row r="1" spans="2:19" x14ac:dyDescent="0.25">
      <c r="B1" t="s">
        <v>160</v>
      </c>
      <c r="N1" t="s">
        <v>18</v>
      </c>
    </row>
    <row r="2" spans="2:19" x14ac:dyDescent="0.25">
      <c r="M2" t="s">
        <v>158</v>
      </c>
      <c r="N2" t="s">
        <v>162</v>
      </c>
      <c r="O2" t="s">
        <v>159</v>
      </c>
    </row>
    <row r="3" spans="2:19" x14ac:dyDescent="0.25">
      <c r="M3">
        <v>1</v>
      </c>
      <c r="N3">
        <v>8.2057000000000005E-2</v>
      </c>
      <c r="O3">
        <v>120</v>
      </c>
    </row>
    <row r="4" spans="2:19" x14ac:dyDescent="0.25">
      <c r="B4" s="65" t="s">
        <v>143</v>
      </c>
      <c r="C4" s="97" t="s">
        <v>144</v>
      </c>
      <c r="D4" s="97"/>
      <c r="E4" s="66" t="s">
        <v>143</v>
      </c>
      <c r="F4" s="97" t="s">
        <v>144</v>
      </c>
      <c r="G4" s="98"/>
      <c r="M4" s="88" t="s">
        <v>161</v>
      </c>
      <c r="N4">
        <f>+N3*(O3+273)/M3</f>
        <v>32.248401000000001</v>
      </c>
    </row>
    <row r="5" spans="2:19" ht="45" x14ac:dyDescent="0.25">
      <c r="B5" s="67" t="s">
        <v>145</v>
      </c>
      <c r="C5" s="68" t="s">
        <v>146</v>
      </c>
      <c r="D5" s="69" t="s">
        <v>147</v>
      </c>
      <c r="E5" s="70" t="s">
        <v>143</v>
      </c>
      <c r="F5" s="71" t="s">
        <v>148</v>
      </c>
      <c r="G5" s="69" t="s">
        <v>149</v>
      </c>
      <c r="L5" t="s">
        <v>150</v>
      </c>
      <c r="M5" t="s">
        <v>157</v>
      </c>
      <c r="N5" t="s">
        <v>164</v>
      </c>
    </row>
    <row r="6" spans="2:19" x14ac:dyDescent="0.25">
      <c r="B6" s="72" t="s">
        <v>55</v>
      </c>
      <c r="C6" s="72">
        <v>130</v>
      </c>
      <c r="D6" s="73">
        <v>104000</v>
      </c>
      <c r="E6" s="70" t="s">
        <v>143</v>
      </c>
      <c r="F6" s="74">
        <v>0</v>
      </c>
      <c r="G6" s="70">
        <v>0</v>
      </c>
      <c r="L6">
        <v>90.08</v>
      </c>
      <c r="M6" s="3">
        <f t="shared" ref="M6:M11" si="0">+C6*1000/L6</f>
        <v>1443.1616341030197</v>
      </c>
      <c r="N6">
        <f>+M6*$N$4</f>
        <v>46539.655084369457</v>
      </c>
    </row>
    <row r="7" spans="2:19" x14ac:dyDescent="0.25">
      <c r="B7" s="72" t="s">
        <v>151</v>
      </c>
      <c r="C7" s="72">
        <v>13</v>
      </c>
      <c r="D7" s="73">
        <v>10400</v>
      </c>
      <c r="E7" s="70" t="s">
        <v>143</v>
      </c>
      <c r="F7" s="74">
        <v>0.76</v>
      </c>
      <c r="G7" s="70">
        <v>929</v>
      </c>
      <c r="L7">
        <v>44.05</v>
      </c>
      <c r="M7" s="3">
        <f t="shared" si="0"/>
        <v>295.11918274687855</v>
      </c>
      <c r="N7">
        <f t="shared" ref="N7:N11" si="1">+M7*$N$4</f>
        <v>9517.121748013622</v>
      </c>
    </row>
    <row r="8" spans="2:19" x14ac:dyDescent="0.25">
      <c r="B8" s="72" t="s">
        <v>152</v>
      </c>
      <c r="C8" s="72">
        <v>3</v>
      </c>
      <c r="D8" s="73">
        <v>2400</v>
      </c>
      <c r="E8" s="70" t="s">
        <v>143</v>
      </c>
      <c r="F8" s="75">
        <v>2.6000000000000001E-8</v>
      </c>
      <c r="G8" s="76">
        <v>3.1999999999999999E-5</v>
      </c>
      <c r="L8">
        <v>20.006</v>
      </c>
      <c r="M8" s="3">
        <f t="shared" si="0"/>
        <v>149.95501349595122</v>
      </c>
      <c r="N8">
        <f t="shared" si="1"/>
        <v>4835.8094071778469</v>
      </c>
    </row>
    <row r="9" spans="2:19" x14ac:dyDescent="0.25">
      <c r="B9" s="72" t="s">
        <v>153</v>
      </c>
      <c r="C9" s="72">
        <v>278</v>
      </c>
      <c r="D9" s="73">
        <v>222400</v>
      </c>
      <c r="E9" s="70" t="s">
        <v>143</v>
      </c>
      <c r="F9" s="74">
        <v>11</v>
      </c>
      <c r="G9" s="73">
        <v>13232</v>
      </c>
      <c r="L9">
        <v>18</v>
      </c>
      <c r="M9" s="3">
        <f t="shared" si="0"/>
        <v>15444.444444444445</v>
      </c>
      <c r="N9">
        <f t="shared" si="1"/>
        <v>498058.63766666671</v>
      </c>
    </row>
    <row r="10" spans="2:19" x14ac:dyDescent="0.25">
      <c r="B10" s="72" t="s">
        <v>154</v>
      </c>
      <c r="C10" s="72">
        <v>719</v>
      </c>
      <c r="D10" s="77" t="s">
        <v>143</v>
      </c>
      <c r="E10" s="70" t="s">
        <v>143</v>
      </c>
      <c r="F10" s="74">
        <v>703</v>
      </c>
      <c r="G10" s="70" t="s">
        <v>143</v>
      </c>
      <c r="L10">
        <v>28.01</v>
      </c>
      <c r="M10" s="3">
        <f t="shared" si="0"/>
        <v>25669.403784362727</v>
      </c>
      <c r="N10">
        <f t="shared" si="1"/>
        <v>827797.22666904679</v>
      </c>
      <c r="P10" t="s">
        <v>165</v>
      </c>
      <c r="Q10" t="s">
        <v>163</v>
      </c>
      <c r="R10" t="s">
        <v>166</v>
      </c>
      <c r="S10" t="s">
        <v>167</v>
      </c>
    </row>
    <row r="11" spans="2:19" x14ac:dyDescent="0.25">
      <c r="B11" s="78" t="s">
        <v>155</v>
      </c>
      <c r="C11" s="78">
        <v>107</v>
      </c>
      <c r="D11" s="79" t="s">
        <v>143</v>
      </c>
      <c r="E11" s="79" t="s">
        <v>143</v>
      </c>
      <c r="F11" s="80">
        <v>103</v>
      </c>
      <c r="G11" s="79" t="s">
        <v>143</v>
      </c>
      <c r="I11" s="74" t="s">
        <v>9</v>
      </c>
      <c r="J11" s="2">
        <v>0.8</v>
      </c>
      <c r="K11">
        <v>28.01</v>
      </c>
      <c r="L11">
        <f>+K11*J11+J12*K12</f>
        <v>28.808</v>
      </c>
      <c r="M11" s="3">
        <f t="shared" si="0"/>
        <v>3714.2460427658984</v>
      </c>
      <c r="N11">
        <f t="shared" si="1"/>
        <v>119778.49579977784</v>
      </c>
      <c r="P11">
        <f>8000-N14</f>
        <v>6493.4730536249481</v>
      </c>
      <c r="Q11">
        <f>+P11*1000</f>
        <v>6493473.0536249485</v>
      </c>
      <c r="R11">
        <f>+Q11/N4</f>
        <v>201357.98527266353</v>
      </c>
      <c r="S11">
        <f>+R11*L11/1000</f>
        <v>5800.7208397348904</v>
      </c>
    </row>
    <row r="12" spans="2:19" x14ac:dyDescent="0.25">
      <c r="B12" s="81" t="s">
        <v>40</v>
      </c>
      <c r="C12" s="81">
        <v>1250</v>
      </c>
      <c r="D12" s="82" t="s">
        <v>143</v>
      </c>
      <c r="E12" s="83" t="s">
        <v>143</v>
      </c>
      <c r="F12" s="84">
        <v>818</v>
      </c>
      <c r="G12" s="83" t="s">
        <v>143</v>
      </c>
      <c r="I12" s="74" t="s">
        <v>106</v>
      </c>
      <c r="J12" s="2">
        <v>0.2</v>
      </c>
      <c r="K12">
        <v>32</v>
      </c>
    </row>
    <row r="13" spans="2:19" x14ac:dyDescent="0.25">
      <c r="B13" s="74"/>
      <c r="C13" s="74"/>
      <c r="D13" s="74"/>
      <c r="E13" s="74"/>
      <c r="F13" s="74"/>
      <c r="G13" s="74"/>
      <c r="N13">
        <f>+SUM(N6:N11)</f>
        <v>1506526.9463750522</v>
      </c>
      <c r="O13" t="s">
        <v>163</v>
      </c>
    </row>
    <row r="14" spans="2:19" x14ac:dyDescent="0.25">
      <c r="B14" s="65" t="s">
        <v>143</v>
      </c>
      <c r="C14" s="99" t="s">
        <v>156</v>
      </c>
      <c r="D14" s="97"/>
      <c r="E14" s="66" t="s">
        <v>143</v>
      </c>
      <c r="F14" s="97" t="s">
        <v>156</v>
      </c>
      <c r="G14" s="98"/>
      <c r="N14">
        <f>+N13/1000</f>
        <v>1506.5269463750521</v>
      </c>
      <c r="O14" t="s">
        <v>165</v>
      </c>
    </row>
    <row r="15" spans="2:19" ht="45" x14ac:dyDescent="0.25">
      <c r="B15" s="67" t="s">
        <v>145</v>
      </c>
      <c r="C15" s="68" t="s">
        <v>146</v>
      </c>
      <c r="D15" s="71" t="s">
        <v>147</v>
      </c>
      <c r="E15" s="85" t="s">
        <v>143</v>
      </c>
      <c r="F15" s="71" t="s">
        <v>148</v>
      </c>
      <c r="G15" s="69" t="s">
        <v>149</v>
      </c>
      <c r="L15" t="s">
        <v>9</v>
      </c>
      <c r="M15">
        <f>+C10+J11*C11</f>
        <v>804.6</v>
      </c>
    </row>
    <row r="16" spans="2:19" x14ac:dyDescent="0.25">
      <c r="B16" s="72" t="s">
        <v>55</v>
      </c>
      <c r="C16" s="72">
        <v>65</v>
      </c>
      <c r="D16" s="86">
        <v>104000</v>
      </c>
      <c r="E16" s="85" t="s">
        <v>143</v>
      </c>
      <c r="F16" s="74">
        <v>0</v>
      </c>
      <c r="G16" s="70">
        <v>0</v>
      </c>
      <c r="L16" t="s">
        <v>106</v>
      </c>
      <c r="M16">
        <f>+C11*J12</f>
        <v>21.400000000000002</v>
      </c>
      <c r="N16" s="26">
        <f>+M16/SUM(M15:M16)</f>
        <v>2.590799031476998E-2</v>
      </c>
    </row>
    <row r="17" spans="2:7" x14ac:dyDescent="0.25">
      <c r="B17" s="72" t="s">
        <v>151</v>
      </c>
      <c r="C17" s="72">
        <v>7</v>
      </c>
      <c r="D17" s="86">
        <v>10400</v>
      </c>
      <c r="E17" s="85" t="s">
        <v>143</v>
      </c>
      <c r="F17" s="74">
        <v>0.4</v>
      </c>
      <c r="G17" s="70">
        <v>929</v>
      </c>
    </row>
    <row r="18" spans="2:7" x14ac:dyDescent="0.25">
      <c r="B18" s="72" t="s">
        <v>152</v>
      </c>
      <c r="C18" s="72">
        <v>2</v>
      </c>
      <c r="D18" s="86">
        <v>2400</v>
      </c>
      <c r="E18" s="85" t="s">
        <v>143</v>
      </c>
      <c r="F18" s="75">
        <v>1.31E-8</v>
      </c>
      <c r="G18" s="76">
        <v>3.1999999999999999E-5</v>
      </c>
    </row>
    <row r="19" spans="2:7" x14ac:dyDescent="0.25">
      <c r="B19" s="72" t="s">
        <v>153</v>
      </c>
      <c r="C19" s="72">
        <v>139</v>
      </c>
      <c r="D19" s="86">
        <v>222400</v>
      </c>
      <c r="E19" s="85" t="s">
        <v>143</v>
      </c>
      <c r="F19" s="74">
        <v>5</v>
      </c>
      <c r="G19" s="73">
        <v>13233</v>
      </c>
    </row>
    <row r="20" spans="2:7" x14ac:dyDescent="0.25">
      <c r="B20" s="72" t="s">
        <v>154</v>
      </c>
      <c r="C20" s="72">
        <v>360</v>
      </c>
      <c r="D20" s="74"/>
      <c r="E20" s="85" t="s">
        <v>143</v>
      </c>
      <c r="F20" s="74">
        <v>351</v>
      </c>
      <c r="G20" s="70" t="s">
        <v>143</v>
      </c>
    </row>
    <row r="21" spans="2:7" x14ac:dyDescent="0.25">
      <c r="B21" s="78" t="s">
        <v>155</v>
      </c>
      <c r="C21" s="78">
        <v>54</v>
      </c>
      <c r="D21" s="80" t="s">
        <v>143</v>
      </c>
      <c r="E21" s="87" t="s">
        <v>143</v>
      </c>
      <c r="F21" s="80">
        <v>52</v>
      </c>
      <c r="G21" s="79" t="s">
        <v>143</v>
      </c>
    </row>
    <row r="22" spans="2:7" x14ac:dyDescent="0.25">
      <c r="B22" s="81" t="s">
        <v>40</v>
      </c>
      <c r="C22" s="81">
        <v>625</v>
      </c>
      <c r="D22" s="84" t="s">
        <v>143</v>
      </c>
      <c r="E22" s="84" t="s">
        <v>143</v>
      </c>
      <c r="F22" s="84">
        <v>409</v>
      </c>
      <c r="G22" s="83" t="s">
        <v>143</v>
      </c>
    </row>
  </sheetData>
  <mergeCells count="4">
    <mergeCell ref="C4:D4"/>
    <mergeCell ref="F4:G4"/>
    <mergeCell ref="C14:D14"/>
    <mergeCell ref="F14:G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42af4b-a512-4340-9f78-24c2f9d18426">
      <Terms xmlns="http://schemas.microsoft.com/office/infopath/2007/PartnerControls"/>
    </lcf76f155ced4ddcb4097134ff3c332f>
    <TaxCatchAll xmlns="662745e8-e224-48e8-a2e3-254862b8c2f5">
      <Value>425</Value>
      <Value>25</Value>
      <Value>885</Value>
      <Value>8</Value>
      <Value>672</Value>
    </TaxCatchAll>
    <EAReceivedDate xmlns="eebef177-55b5-4448-a5fb-28ea454417ee">2023-09-19T23:00:00+00:00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epr-db3704fg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Ecobat Solutions UK Limited 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2023-09-19T23:00:00+00:00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EPR/DB3704FG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WS10 8JR</FacilityAddressPostcode>
    <ExternalAuthor xmlns="eebef177-55b5-4448-a5fb-28ea454417ee"/>
    <SiteName xmlns="eebef177-55b5-4448-a5fb-28ea454417ee">Crescent Works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Crescent Works Willenhall Road Darlaston Walsall West Midlands WS10 8JR</FacilityAddr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410BBF9B469C04A8839023F31F81677" ma:contentTypeVersion="48" ma:contentTypeDescription="Create a new document." ma:contentTypeScope="" ma:versionID="48967ebc6294665f16944adef16c4274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3942af4b-a512-4340-9f78-24c2f9d18426" targetNamespace="http://schemas.microsoft.com/office/2006/metadata/properties" ma:root="true" ma:fieldsID="0c87bba94176260aaa8edec2cd6c40d4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3942af4b-a512-4340-9f78-24c2f9d18426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LengthInSecond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24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914;#To be confirmed|848d856d-b418-408d-977a-0b756acaad6b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86acb92-712c-431f-9ed6-9eba693c6711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86acb92-712c-431f-9ed6-9eba693c6711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2af4b-a512-4340-9f78-24c2f9d18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6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9ED48-4FB0-4082-8815-21EE648102C1}">
  <ds:schemaRefs>
    <ds:schemaRef ds:uri="http://schemas.microsoft.com/office/2006/metadata/properties"/>
    <ds:schemaRef ds:uri="http://schemas.microsoft.com/office/infopath/2007/PartnerControls"/>
    <ds:schemaRef ds:uri="db2f8751-402e-499b-85b5-4f6ad213ef6d"/>
    <ds:schemaRef ds:uri="7093b54c-3d45-4981-beb8-260d2c6d5f10"/>
  </ds:schemaRefs>
</ds:datastoreItem>
</file>

<file path=customXml/itemProps2.xml><?xml version="1.0" encoding="utf-8"?>
<ds:datastoreItem xmlns:ds="http://schemas.openxmlformats.org/officeDocument/2006/customXml" ds:itemID="{0C3F733A-19AF-4FC8-A05D-EF43208FBE12}"/>
</file>

<file path=customXml/itemProps3.xml><?xml version="1.0" encoding="utf-8"?>
<ds:datastoreItem xmlns:ds="http://schemas.openxmlformats.org/officeDocument/2006/customXml" ds:itemID="{6ED1CE6F-7A94-427A-9FD6-09F58C275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 1 </vt:lpstr>
      <vt:lpstr>Norit Rev 8.4.22</vt:lpstr>
      <vt:lpstr>Recovered Solvent</vt:lpstr>
      <vt:lpstr>Condes.</vt:lpstr>
      <vt:lpstr>Split Emissions</vt:lpstr>
      <vt:lpstr>Scrubber in.out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Pelletier</dc:creator>
  <cp:keywords/>
  <dc:description/>
  <cp:lastModifiedBy>Nicola Kerr</cp:lastModifiedBy>
  <cp:revision/>
  <cp:lastPrinted>2023-09-15T10:49:26Z</cp:lastPrinted>
  <dcterms:created xsi:type="dcterms:W3CDTF">2022-04-01T21:46:13Z</dcterms:created>
  <dcterms:modified xsi:type="dcterms:W3CDTF">2023-09-15T10:51:30Z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0x0101000E9AD557692E154F9D2697C8C6432F76004410BBF9B469C04A8839023F31F81677</vt:lpwstr>
  </property>
  <property fmtid="{D5CDD505-2E9C-101B-9397-08002B2CF9AE}" pid="3" name="MediaServiceImageTags">
    <vt:lpwstr/>
  </property>
  <property fmtid="{D5CDD505-2E9C-101B-9397-08002B2CF9AE}" pid="4" name="PermitDocumentType">
    <vt:lpwstr/>
  </property>
  <property fmtid="{D5CDD505-2E9C-101B-9397-08002B2CF9AE}" pid="5" name="TypeofPermit">
    <vt:lpwstr>25;#N/A - Do not select for New Permits|0430e4c2-ee0a-4b2d-9af6-df735aafbcb2</vt:lpwstr>
  </property>
  <property fmtid="{D5CDD505-2E9C-101B-9397-08002B2CF9AE}" pid="6" name="DisclosureStatus">
    <vt:lpwstr>885;#Public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8;#Application ＆ Associated Docs|5eadfd3c-6deb-44e1-b7e1-16accd427bec</vt:lpwstr>
  </property>
  <property fmtid="{D5CDD505-2E9C-101B-9397-08002B2CF9AE}" pid="9" name="RegulatedActivityClass">
    <vt:lpwstr>672;#Installations|645f1c9c-65df-490a-9ce3-4a2aa7c5ff7f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425;#EPR|0e5af97d-1a8c-4d8f-a20b-528a11cab1f6</vt:lpwstr>
  </property>
  <property fmtid="{D5CDD505-2E9C-101B-9397-08002B2CF9AE}" pid="15" name="RegulatedActivitySub-Class">
    <vt:lpwstr/>
  </property>
</Properties>
</file>