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btportal-my.sharepoint.com/personal/colin_pelletier_ecobat_com/Documents/Documents/Work/Non LAB Batteries/Li Ion/Ecobat Solutions/"/>
    </mc:Choice>
  </mc:AlternateContent>
  <xr:revisionPtr revIDLastSave="1163" documentId="8_{48B76909-2E05-4B1F-96CF-4F8543FD0A6F}" xr6:coauthVersionLast="47" xr6:coauthVersionMax="47" xr10:uidLastSave="{32B4455F-C858-436B-B244-9440F5F0A06E}"/>
  <bookViews>
    <workbookView xWindow="-120" yWindow="-120" windowWidth="27615" windowHeight="18240" xr2:uid="{B1C97026-FE3A-4C71-8377-832A0C112608}"/>
  </bookViews>
  <sheets>
    <sheet name="Sheet1" sheetId="1" r:id="rId1"/>
    <sheet name="Sheet3" sheetId="3" r:id="rId2"/>
  </sheets>
  <definedNames>
    <definedName name="basis">Sheet1!$Y$37:$AF$41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4" i="1" l="1"/>
  <c r="AG15" i="1"/>
  <c r="AB37" i="1"/>
  <c r="AC37" i="1"/>
  <c r="AD37" i="1"/>
  <c r="AE37" i="1" s="1"/>
  <c r="AF37" i="1" s="1"/>
  <c r="AB38" i="1"/>
  <c r="AC38" i="1"/>
  <c r="AD38" i="1"/>
  <c r="AE38" i="1" s="1"/>
  <c r="AF38" i="1" s="1"/>
  <c r="AB39" i="1"/>
  <c r="AC39" i="1"/>
  <c r="AD39" i="1"/>
  <c r="AE39" i="1" s="1"/>
  <c r="AF39" i="1" s="1"/>
  <c r="AB40" i="1"/>
  <c r="AC40" i="1"/>
  <c r="AD40" i="1"/>
  <c r="AE40" i="1" s="1"/>
  <c r="AF40" i="1" s="1"/>
  <c r="AB41" i="1"/>
  <c r="AC41" i="1"/>
  <c r="AD41" i="1"/>
  <c r="AE41" i="1"/>
  <c r="AF41" i="1" s="1"/>
  <c r="AG59" i="1"/>
  <c r="AG58" i="1"/>
  <c r="AG57" i="1"/>
  <c r="S60" i="1"/>
  <c r="Z60" i="1" s="1"/>
  <c r="W25" i="1"/>
  <c r="AE60" i="1"/>
  <c r="S90" i="1" s="1"/>
  <c r="S92" i="1" s="1"/>
  <c r="AF34" i="1"/>
  <c r="T62" i="1" l="1"/>
  <c r="W62" i="1" s="1"/>
  <c r="T63" i="1"/>
  <c r="W63" i="1" s="1"/>
  <c r="T61" i="1"/>
  <c r="W61" i="1" s="1"/>
  <c r="W27" i="1"/>
  <c r="R28" i="1"/>
  <c r="W64" i="1" l="1"/>
  <c r="C5" i="1"/>
  <c r="I60" i="1"/>
  <c r="I59" i="1"/>
  <c r="B66" i="1"/>
  <c r="B65" i="1"/>
  <c r="B64" i="1"/>
  <c r="B63" i="1"/>
  <c r="B62" i="1"/>
  <c r="AA39" i="1" l="1"/>
  <c r="AG39" i="1" s="1"/>
  <c r="AA41" i="1"/>
  <c r="AA38" i="1"/>
  <c r="AA40" i="1"/>
  <c r="AA37" i="1"/>
  <c r="AG37" i="1" s="1"/>
  <c r="AG36" i="1" s="1"/>
  <c r="W65" i="1"/>
  <c r="T64" i="1"/>
  <c r="H63" i="1"/>
  <c r="H65" i="1"/>
  <c r="H66" i="1"/>
  <c r="W29" i="1"/>
  <c r="AF10" i="1"/>
  <c r="H64" i="1" l="1"/>
  <c r="U65" i="1"/>
  <c r="S87" i="1"/>
  <c r="T88" i="1" s="1"/>
  <c r="S94" i="1" s="1"/>
  <c r="AB63" i="1"/>
  <c r="AB64" i="1"/>
  <c r="AB62" i="1"/>
  <c r="F66" i="1"/>
  <c r="J66" i="1"/>
  <c r="F62" i="1"/>
  <c r="J62" i="1"/>
  <c r="F63" i="1"/>
  <c r="J63" i="1"/>
  <c r="F65" i="1"/>
  <c r="J65" i="1"/>
  <c r="F64" i="1"/>
  <c r="J64" i="1"/>
  <c r="H62" i="1"/>
  <c r="E62" i="1"/>
  <c r="E63" i="1"/>
  <c r="E66" i="1"/>
  <c r="E65" i="1"/>
  <c r="E64" i="1"/>
  <c r="AD63" i="1" l="1"/>
  <c r="AD92" i="1"/>
  <c r="AD62" i="1"/>
  <c r="AD91" i="1"/>
  <c r="AD64" i="1"/>
  <c r="AD93" i="1"/>
</calcChain>
</file>

<file path=xl/sharedStrings.xml><?xml version="1.0" encoding="utf-8"?>
<sst xmlns="http://schemas.openxmlformats.org/spreadsheetml/2006/main" count="208" uniqueCount="140">
  <si>
    <t>Shred</t>
  </si>
  <si>
    <t>Dry</t>
  </si>
  <si>
    <t>Sep</t>
  </si>
  <si>
    <t>Process Water</t>
  </si>
  <si>
    <t>Scrubber</t>
  </si>
  <si>
    <t>ETP</t>
  </si>
  <si>
    <t>Baghouse / Stack</t>
  </si>
  <si>
    <t>Batteries (Raw Mat)</t>
  </si>
  <si>
    <t>Products (and wastes)</t>
  </si>
  <si>
    <t>Air</t>
  </si>
  <si>
    <t>Water</t>
  </si>
  <si>
    <t>Solids</t>
  </si>
  <si>
    <t>EV Pouch (cell basis)</t>
  </si>
  <si>
    <t>18650 (cell basis)</t>
  </si>
  <si>
    <t>Powertool (battery basis)</t>
  </si>
  <si>
    <t>Laptop (battery basis)</t>
  </si>
  <si>
    <t>EV (pack basis)</t>
  </si>
  <si>
    <t>TEAMS; ESDP Test Plan</t>
  </si>
  <si>
    <t>TEAMS; % Blackmass</t>
  </si>
  <si>
    <t>TEAMS; small experiments</t>
  </si>
  <si>
    <t>Battery contain decomposition products</t>
  </si>
  <si>
    <t>WAG</t>
  </si>
  <si>
    <t>ton/hr</t>
  </si>
  <si>
    <t>DMC</t>
  </si>
  <si>
    <t>VOC</t>
  </si>
  <si>
    <t>TEAMS; Messer BOE</t>
  </si>
  <si>
    <t>DMC aerosolized (not including decomp)</t>
  </si>
  <si>
    <t>Solvent</t>
  </si>
  <si>
    <t>ton/yr</t>
  </si>
  <si>
    <t>grey water tank</t>
  </si>
  <si>
    <t>gal Clean water tank</t>
  </si>
  <si>
    <t>WTNK-2003</t>
  </si>
  <si>
    <t>WTNK-2004</t>
  </si>
  <si>
    <t>Kg/hr water</t>
  </si>
  <si>
    <t>Hargrove report</t>
  </si>
  <si>
    <t>Kg/hr water vapor</t>
  </si>
  <si>
    <t>Gal/hr</t>
  </si>
  <si>
    <t>L</t>
  </si>
  <si>
    <t>Kg/hr</t>
  </si>
  <si>
    <t>gal EQ tank</t>
  </si>
  <si>
    <t>Gal Oxidation tank (1 hr resonance</t>
  </si>
  <si>
    <t>Gal precip tank (1 hr resonance)</t>
  </si>
  <si>
    <t>gal scrubber recirc tank</t>
  </si>
  <si>
    <t>gal sludge tank</t>
  </si>
  <si>
    <t>3-6 hr resonance time</t>
  </si>
  <si>
    <t>50% removal</t>
  </si>
  <si>
    <t>ton H202</t>
  </si>
  <si>
    <t>90% removal</t>
  </si>
  <si>
    <t>Dry Scrubber ©</t>
  </si>
  <si>
    <t>Loading</t>
  </si>
  <si>
    <r>
      <t>ft</t>
    </r>
    <r>
      <rPr>
        <sz val="11"/>
        <color theme="1"/>
        <rFont val="Calibri"/>
        <family val="2"/>
      </rPr>
      <t>³ bed</t>
    </r>
  </si>
  <si>
    <t>time to saturation</t>
  </si>
  <si>
    <t>Contaminent</t>
  </si>
  <si>
    <t>media</t>
  </si>
  <si>
    <t>Desc</t>
  </si>
  <si>
    <t>quantity captured (lbs)</t>
  </si>
  <si>
    <t>CPIIZ</t>
  </si>
  <si>
    <t>KMnO4</t>
  </si>
  <si>
    <t>Org (DMC)</t>
  </si>
  <si>
    <t>4x8S</t>
  </si>
  <si>
    <t>C</t>
  </si>
  <si>
    <r>
      <rPr>
        <sz val="10"/>
        <color theme="1"/>
        <rFont val="Calibri"/>
        <family val="2"/>
      </rPr>
      <t>ρ</t>
    </r>
    <r>
      <rPr>
        <sz val="10"/>
        <color theme="1"/>
        <rFont val="Calibri"/>
        <family val="2"/>
        <scheme val="minor"/>
      </rPr>
      <t xml:space="preserve"> (lb/ft3)</t>
    </r>
  </si>
  <si>
    <t>DMC (Hr)</t>
  </si>
  <si>
    <t>VOC (HR)</t>
  </si>
  <si>
    <t>CPIIZ (ton/yr)</t>
  </si>
  <si>
    <t>4x8s (ton/yr)</t>
  </si>
  <si>
    <t>BOE Continental Carbon</t>
  </si>
  <si>
    <t>EPS Rev 0</t>
  </si>
  <si>
    <t>Arkema Rev 1</t>
  </si>
  <si>
    <t>ETP Sketch</t>
  </si>
  <si>
    <t>Arkema notes</t>
  </si>
  <si>
    <t>Kg/Hr VOC Target</t>
  </si>
  <si>
    <t>Kg/Hr VOC Limit (100 ton/yr)</t>
  </si>
  <si>
    <t>Email regualtory limits for AZ 9/16/22</t>
  </si>
  <si>
    <t>Hrs</t>
  </si>
  <si>
    <t>Operating hours</t>
  </si>
  <si>
    <t>ton/yr/shift objective</t>
  </si>
  <si>
    <t>in feed</t>
  </si>
  <si>
    <t>Shredder water loop</t>
  </si>
  <si>
    <t>gal/min</t>
  </si>
  <si>
    <t>primary</t>
  </si>
  <si>
    <t>primary 2</t>
  </si>
  <si>
    <t>Den. Sep</t>
  </si>
  <si>
    <t>Den Sep 2</t>
  </si>
  <si>
    <t>Triplus</t>
  </si>
  <si>
    <t>Triplus 2</t>
  </si>
  <si>
    <t>gal</t>
  </si>
  <si>
    <t>on</t>
  </si>
  <si>
    <t>Size of clean water loop</t>
  </si>
  <si>
    <t>Gal</t>
  </si>
  <si>
    <t>2022.07.08 Ecobat Equipment List</t>
  </si>
  <si>
    <t>lb/hr</t>
  </si>
  <si>
    <t>Incoming solvent</t>
  </si>
  <si>
    <t>EMC</t>
  </si>
  <si>
    <t>DEC</t>
  </si>
  <si>
    <t>Kg/L</t>
  </si>
  <si>
    <t>"DMC" Air</t>
  </si>
  <si>
    <t>"DMC" Water</t>
  </si>
  <si>
    <t>L/Hr Solvent to the water loop</t>
  </si>
  <si>
    <t>hr/shift</t>
  </si>
  <si>
    <t>gal solvent/shift to water loop</t>
  </si>
  <si>
    <t>denisty</t>
  </si>
  <si>
    <t>solub. In water</t>
  </si>
  <si>
    <t>g/L</t>
  </si>
  <si>
    <t>Kg Soluble DMC</t>
  </si>
  <si>
    <t>Kg Soluble EMC</t>
  </si>
  <si>
    <t>Kg Soluble DEC</t>
  </si>
  <si>
    <t>L dissolved solvents</t>
  </si>
  <si>
    <t>L DMC/hr</t>
  </si>
  <si>
    <t>L EMC/Hr</t>
  </si>
  <si>
    <t>L DEC/Hr</t>
  </si>
  <si>
    <t>L DMC/shift</t>
  </si>
  <si>
    <t>L EMC/shift</t>
  </si>
  <si>
    <t>L DEC/shift</t>
  </si>
  <si>
    <t>Electrolyte</t>
  </si>
  <si>
    <t>Clean Water tank</t>
  </si>
  <si>
    <t>Pump/Manifold</t>
  </si>
  <si>
    <t>Primary Shredder</t>
  </si>
  <si>
    <t>Denisty Separator</t>
  </si>
  <si>
    <t>Dewatering auger, collection pump</t>
  </si>
  <si>
    <t>Recirc basin</t>
  </si>
  <si>
    <t>Grey water tank</t>
  </si>
  <si>
    <t>Wave conveyor</t>
  </si>
  <si>
    <t>Settling tanks</t>
  </si>
  <si>
    <t>Overflow/settling tank?</t>
  </si>
  <si>
    <t>L "Clean water loop"</t>
  </si>
  <si>
    <t>Gal in system at steady state (saturated)</t>
  </si>
  <si>
    <t>L water</t>
  </si>
  <si>
    <t>loading</t>
  </si>
  <si>
    <t>gals loaded "Clean water loop" end of shift</t>
  </si>
  <si>
    <t>Time to saturation</t>
  </si>
  <si>
    <t>Hr</t>
  </si>
  <si>
    <t>Hargrove waste water estimates</t>
  </si>
  <si>
    <t>Scrubber Design</t>
  </si>
  <si>
    <t>Scrubber spec</t>
  </si>
  <si>
    <t>Sly Quote 3/6/23</t>
  </si>
  <si>
    <t>gal/hr</t>
  </si>
  <si>
    <t>gal recirc tank</t>
  </si>
  <si>
    <t>min loop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</si>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</sst>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6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00B0F0"/>
      </left>
      <right/>
      <top style="medium">
        <color indexed="64"/>
      </top>
      <bottom/>
      <diagonal/>
    </border>
    <border>
      <left/>
      <right style="thick">
        <color rgb="FF00B0F0"/>
      </right>
      <top style="medium">
        <color indexed="64"/>
      </top>
      <bottom/>
      <diagonal/>
    </border>
    <border>
      <left style="thick">
        <color rgb="FF00B0F0"/>
      </left>
      <right/>
      <top/>
      <bottom style="medium">
        <color indexed="64"/>
      </bottom>
      <diagonal/>
    </border>
    <border>
      <left/>
      <right style="thick">
        <color rgb="FF00B0F0"/>
      </right>
      <top/>
      <bottom style="medium">
        <color indexed="64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 style="medium">
        <color indexed="64"/>
      </left>
      <right/>
      <top style="thick">
        <color rgb="FF00B0F0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rgb="FF7030A0"/>
      </bottom>
      <diagonal/>
    </border>
    <border>
      <left/>
      <right style="thick">
        <color rgb="FF7030A0"/>
      </right>
      <top style="medium">
        <color indexed="64"/>
      </top>
      <bottom/>
      <diagonal/>
    </border>
    <border>
      <left/>
      <right style="thick">
        <color rgb="FF7030A0"/>
      </right>
      <top/>
      <bottom style="medium">
        <color indexed="64"/>
      </bottom>
      <diagonal/>
    </border>
    <border>
      <left style="thick">
        <color rgb="FF7030A0"/>
      </left>
      <right/>
      <top style="medium">
        <color indexed="64"/>
      </top>
      <bottom/>
      <diagonal/>
    </border>
    <border>
      <left style="thick">
        <color rgb="FF7030A0"/>
      </left>
      <right/>
      <top/>
      <bottom style="medium">
        <color indexed="64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/>
      <right style="thick">
        <color rgb="FF7030A0"/>
      </right>
      <top/>
      <bottom/>
      <diagonal/>
    </border>
    <border>
      <left/>
      <right/>
      <top/>
      <bottom style="thick">
        <color rgb="FF7030A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 style="thick">
        <color rgb="FF00B050"/>
      </left>
      <right/>
      <top style="medium">
        <color indexed="64"/>
      </top>
      <bottom/>
      <diagonal/>
    </border>
    <border>
      <left style="thick">
        <color rgb="FF00B050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00B0F0"/>
      </bottom>
      <diagonal/>
    </border>
    <border>
      <left style="thin">
        <color indexed="64"/>
      </left>
      <right/>
      <top/>
      <bottom style="thick">
        <color rgb="FF00B0F0"/>
      </bottom>
      <diagonal/>
    </border>
    <border>
      <left style="thick">
        <color rgb="FF00B0F0"/>
      </left>
      <right style="thin">
        <color indexed="64"/>
      </right>
      <top/>
      <bottom style="thick">
        <color rgb="FF00B0F0"/>
      </bottom>
      <diagonal/>
    </border>
    <border>
      <left/>
      <right style="thin">
        <color indexed="64"/>
      </right>
      <top/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/>
      <bottom/>
      <diagonal/>
    </border>
    <border>
      <left style="thin">
        <color indexed="64"/>
      </left>
      <right/>
      <top style="medium">
        <color rgb="FF00B0F0"/>
      </top>
      <bottom/>
      <diagonal/>
    </border>
    <border>
      <left/>
      <right style="medium">
        <color rgb="FF00B0F0"/>
      </right>
      <top style="thin">
        <color indexed="64"/>
      </top>
      <bottom/>
      <diagonal/>
    </border>
    <border>
      <left/>
      <right style="medium">
        <color rgb="FF00B0F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B0F0"/>
      </bottom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/>
      <top/>
      <bottom/>
      <diagonal/>
    </border>
    <border>
      <left/>
      <right/>
      <top/>
      <bottom style="medium">
        <color rgb="FF00B0F0"/>
      </bottom>
      <diagonal/>
    </border>
    <border>
      <left style="medium">
        <color rgb="FF00B0F0"/>
      </left>
      <right/>
      <top style="thin">
        <color indexed="64"/>
      </top>
      <bottom/>
      <diagonal/>
    </border>
    <border>
      <left style="medium">
        <color rgb="FF00B0F0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 applyAlignment="1">
      <alignment horizontal="center" vertical="center"/>
    </xf>
    <xf numFmtId="0" fontId="0" fillId="0" borderId="29" xfId="0" applyBorder="1"/>
    <xf numFmtId="0" fontId="0" fillId="0" borderId="27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9" fontId="0" fillId="0" borderId="0" xfId="0" applyNumberFormat="1"/>
    <xf numFmtId="1" fontId="0" fillId="0" borderId="0" xfId="0" applyNumberForma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164" fontId="0" fillId="0" borderId="0" xfId="1" applyNumberFormat="1" applyFont="1"/>
    <xf numFmtId="3" fontId="0" fillId="0" borderId="0" xfId="0" applyNumberFormat="1"/>
    <xf numFmtId="0" fontId="0" fillId="2" borderId="0" xfId="0" applyFill="1"/>
    <xf numFmtId="9" fontId="0" fillId="2" borderId="0" xfId="0" applyNumberFormat="1" applyFill="1"/>
    <xf numFmtId="9" fontId="6" fillId="2" borderId="0" xfId="0" applyNumberFormat="1" applyFont="1" applyFill="1"/>
    <xf numFmtId="0" fontId="0" fillId="0" borderId="35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36" xfId="0" applyBorder="1"/>
    <xf numFmtId="0" fontId="0" fillId="0" borderId="44" xfId="0" applyBorder="1"/>
    <xf numFmtId="0" fontId="7" fillId="0" borderId="36" xfId="0" applyFont="1" applyBorder="1"/>
    <xf numFmtId="0" fontId="0" fillId="0" borderId="45" xfId="0" applyBorder="1"/>
    <xf numFmtId="164" fontId="6" fillId="0" borderId="0" xfId="0" applyNumberFormat="1" applyFont="1"/>
    <xf numFmtId="0" fontId="0" fillId="0" borderId="46" xfId="0" applyBorder="1"/>
    <xf numFmtId="0" fontId="0" fillId="0" borderId="48" xfId="0" applyBorder="1"/>
    <xf numFmtId="0" fontId="0" fillId="0" borderId="47" xfId="0" applyBorder="1"/>
    <xf numFmtId="164" fontId="0" fillId="0" borderId="39" xfId="1" applyNumberFormat="1" applyFont="1" applyBorder="1"/>
    <xf numFmtId="164" fontId="0" fillId="0" borderId="41" xfId="1" applyNumberFormat="1" applyFont="1" applyBorder="1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5" xfId="0" applyBorder="1"/>
    <xf numFmtId="0" fontId="0" fillId="0" borderId="54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2" xfId="0" applyBorder="1"/>
    <xf numFmtId="0" fontId="0" fillId="0" borderId="61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9" fontId="0" fillId="0" borderId="0" xfId="2" applyFont="1"/>
    <xf numFmtId="164" fontId="6" fillId="2" borderId="0" xfId="0" applyNumberFormat="1" applyFont="1" applyFill="1"/>
    <xf numFmtId="1" fontId="6" fillId="2" borderId="0" xfId="0" applyNumberFormat="1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12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right"/>
    </xf>
    <xf numFmtId="0" fontId="7" fillId="0" borderId="44" xfId="0" applyFont="1" applyBorder="1" applyAlignment="1">
      <alignment horizontal="center"/>
    </xf>
    <xf numFmtId="9" fontId="0" fillId="0" borderId="35" xfId="0" applyNumberFormat="1" applyBorder="1" applyAlignment="1">
      <alignment horizontal="right"/>
    </xf>
    <xf numFmtId="164" fontId="0" fillId="0" borderId="35" xfId="1" applyNumberFormat="1" applyFont="1" applyBorder="1" applyAlignment="1">
      <alignment horizontal="center"/>
    </xf>
    <xf numFmtId="164" fontId="0" fillId="0" borderId="42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40" xfId="1" applyNumberFormat="1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17</xdr:row>
      <xdr:rowOff>152400</xdr:rowOff>
    </xdr:from>
    <xdr:to>
      <xdr:col>4</xdr:col>
      <xdr:colOff>114300</xdr:colOff>
      <xdr:row>18</xdr:row>
      <xdr:rowOff>38100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FE8FF8A7-FBBA-4D3C-AD30-42C9D09AF919}"/>
            </a:ext>
          </a:extLst>
        </xdr:cNvPr>
        <xdr:cNvSpPr/>
      </xdr:nvSpPr>
      <xdr:spPr>
        <a:xfrm rot="5400000">
          <a:off x="1752600" y="3600450"/>
          <a:ext cx="85725" cy="200025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285750</xdr:colOff>
      <xdr:row>17</xdr:row>
      <xdr:rowOff>161925</xdr:rowOff>
    </xdr:from>
    <xdr:to>
      <xdr:col>7</xdr:col>
      <xdr:colOff>104775</xdr:colOff>
      <xdr:row>18</xdr:row>
      <xdr:rowOff>47625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DD2B8880-3783-4581-9A1D-1818357B85A0}"/>
            </a:ext>
          </a:extLst>
        </xdr:cNvPr>
        <xdr:cNvSpPr/>
      </xdr:nvSpPr>
      <xdr:spPr>
        <a:xfrm rot="5400000">
          <a:off x="3343275" y="3609975"/>
          <a:ext cx="85725" cy="200025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295275</xdr:colOff>
      <xdr:row>17</xdr:row>
      <xdr:rowOff>180975</xdr:rowOff>
    </xdr:from>
    <xdr:to>
      <xdr:col>10</xdr:col>
      <xdr:colOff>114300</xdr:colOff>
      <xdr:row>18</xdr:row>
      <xdr:rowOff>66675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C4FECD4A-58B5-41CD-8A51-9A478877F8CC}"/>
            </a:ext>
          </a:extLst>
        </xdr:cNvPr>
        <xdr:cNvSpPr/>
      </xdr:nvSpPr>
      <xdr:spPr>
        <a:xfrm rot="5400000">
          <a:off x="4953000" y="3629025"/>
          <a:ext cx="85725" cy="200025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304800</xdr:colOff>
      <xdr:row>17</xdr:row>
      <xdr:rowOff>152400</xdr:rowOff>
    </xdr:from>
    <xdr:to>
      <xdr:col>13</xdr:col>
      <xdr:colOff>123825</xdr:colOff>
      <xdr:row>18</xdr:row>
      <xdr:rowOff>38100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A9090040-1F71-40DE-93C9-7330E903C241}"/>
            </a:ext>
          </a:extLst>
        </xdr:cNvPr>
        <xdr:cNvSpPr/>
      </xdr:nvSpPr>
      <xdr:spPr>
        <a:xfrm rot="5400000">
          <a:off x="6562725" y="3600450"/>
          <a:ext cx="85725" cy="200025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571500</xdr:colOff>
      <xdr:row>14</xdr:row>
      <xdr:rowOff>133350</xdr:rowOff>
    </xdr:from>
    <xdr:to>
      <xdr:col>11</xdr:col>
      <xdr:colOff>47625</xdr:colOff>
      <xdr:row>15</xdr:row>
      <xdr:rowOff>123825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5678D802-9435-4B18-B064-A094050BADF0}"/>
            </a:ext>
          </a:extLst>
        </xdr:cNvPr>
        <xdr:cNvSpPr/>
      </xdr:nvSpPr>
      <xdr:spPr>
        <a:xfrm>
          <a:off x="5553075" y="3038475"/>
          <a:ext cx="85725" cy="200025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571500</xdr:colOff>
      <xdr:row>18</xdr:row>
      <xdr:rowOff>190500</xdr:rowOff>
    </xdr:from>
    <xdr:to>
      <xdr:col>14</xdr:col>
      <xdr:colOff>47625</xdr:colOff>
      <xdr:row>19</xdr:row>
      <xdr:rowOff>180975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882046DA-5F2B-4408-8ABB-DC6376F4256E}"/>
            </a:ext>
          </a:extLst>
        </xdr:cNvPr>
        <xdr:cNvSpPr/>
      </xdr:nvSpPr>
      <xdr:spPr>
        <a:xfrm>
          <a:off x="7153275" y="3895725"/>
          <a:ext cx="85725" cy="200025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571500</xdr:colOff>
      <xdr:row>16</xdr:row>
      <xdr:rowOff>38100</xdr:rowOff>
    </xdr:from>
    <xdr:to>
      <xdr:col>14</xdr:col>
      <xdr:colOff>47625</xdr:colOff>
      <xdr:row>17</xdr:row>
      <xdr:rowOff>38100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1C75C63E-6B58-44BE-BEBF-65A3B846EA3D}"/>
            </a:ext>
          </a:extLst>
        </xdr:cNvPr>
        <xdr:cNvSpPr/>
      </xdr:nvSpPr>
      <xdr:spPr>
        <a:xfrm rot="10800000">
          <a:off x="7153275" y="3343275"/>
          <a:ext cx="85725" cy="200025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342900</xdr:colOff>
      <xdr:row>20</xdr:row>
      <xdr:rowOff>114300</xdr:rowOff>
    </xdr:from>
    <xdr:to>
      <xdr:col>21</xdr:col>
      <xdr:colOff>47625</xdr:colOff>
      <xdr:row>21</xdr:row>
      <xdr:rowOff>114300</xdr:rowOff>
    </xdr:to>
    <xdr:sp macro="" textlink="">
      <xdr:nvSpPr>
        <xdr:cNvPr id="9" name="Isosceles Triangle 8">
          <a:extLst>
            <a:ext uri="{FF2B5EF4-FFF2-40B4-BE49-F238E27FC236}">
              <a16:creationId xmlns:a16="http://schemas.microsoft.com/office/drawing/2014/main" id="{554F11DB-4958-4A17-BBA0-702A124639AE}"/>
            </a:ext>
          </a:extLst>
        </xdr:cNvPr>
        <xdr:cNvSpPr/>
      </xdr:nvSpPr>
      <xdr:spPr>
        <a:xfrm rot="10800000">
          <a:off x="9734550" y="4238625"/>
          <a:ext cx="85725" cy="200025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552450</xdr:colOff>
      <xdr:row>18</xdr:row>
      <xdr:rowOff>123825</xdr:rowOff>
    </xdr:from>
    <xdr:to>
      <xdr:col>23</xdr:col>
      <xdr:colOff>28575</xdr:colOff>
      <xdr:row>19</xdr:row>
      <xdr:rowOff>114300</xdr:rowOff>
    </xdr:to>
    <xdr:sp macro="" textlink="">
      <xdr:nvSpPr>
        <xdr:cNvPr id="10" name="Isosceles Triangle 9">
          <a:extLst>
            <a:ext uri="{FF2B5EF4-FFF2-40B4-BE49-F238E27FC236}">
              <a16:creationId xmlns:a16="http://schemas.microsoft.com/office/drawing/2014/main" id="{FA04336D-6954-474E-A6AB-DB353055C16E}"/>
            </a:ext>
          </a:extLst>
        </xdr:cNvPr>
        <xdr:cNvSpPr/>
      </xdr:nvSpPr>
      <xdr:spPr>
        <a:xfrm>
          <a:off x="10934700" y="3848100"/>
          <a:ext cx="85725" cy="200025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161925</xdr:colOff>
      <xdr:row>12</xdr:row>
      <xdr:rowOff>85725</xdr:rowOff>
    </xdr:from>
    <xdr:to>
      <xdr:col>25</xdr:col>
      <xdr:colOff>57150</xdr:colOff>
      <xdr:row>13</xdr:row>
      <xdr:rowOff>85725</xdr:rowOff>
    </xdr:to>
    <xdr:sp macro="" textlink="">
      <xdr:nvSpPr>
        <xdr:cNvPr id="11" name="Isosceles Triangle 10">
          <a:extLst>
            <a:ext uri="{FF2B5EF4-FFF2-40B4-BE49-F238E27FC236}">
              <a16:creationId xmlns:a16="http://schemas.microsoft.com/office/drawing/2014/main" id="{1258DEA7-8D78-49E2-BBDF-FCFA1E2E9BDA}"/>
            </a:ext>
          </a:extLst>
        </xdr:cNvPr>
        <xdr:cNvSpPr/>
      </xdr:nvSpPr>
      <xdr:spPr>
        <a:xfrm rot="10800000">
          <a:off x="11344275" y="2609850"/>
          <a:ext cx="85725" cy="200025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561975</xdr:colOff>
      <xdr:row>10</xdr:row>
      <xdr:rowOff>95250</xdr:rowOff>
    </xdr:from>
    <xdr:to>
      <xdr:col>27</xdr:col>
      <xdr:colOff>38100</xdr:colOff>
      <xdr:row>11</xdr:row>
      <xdr:rowOff>85725</xdr:rowOff>
    </xdr:to>
    <xdr:sp macro="" textlink="">
      <xdr:nvSpPr>
        <xdr:cNvPr id="12" name="Isosceles Triangle 11">
          <a:extLst>
            <a:ext uri="{FF2B5EF4-FFF2-40B4-BE49-F238E27FC236}">
              <a16:creationId xmlns:a16="http://schemas.microsoft.com/office/drawing/2014/main" id="{ECC65F3C-A053-4061-94D8-46F91D1C9C7B}"/>
            </a:ext>
          </a:extLst>
        </xdr:cNvPr>
        <xdr:cNvSpPr/>
      </xdr:nvSpPr>
      <xdr:spPr>
        <a:xfrm>
          <a:off x="12544425" y="2219325"/>
          <a:ext cx="85725" cy="200025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466725</xdr:colOff>
      <xdr:row>21</xdr:row>
      <xdr:rowOff>152400</xdr:rowOff>
    </xdr:from>
    <xdr:to>
      <xdr:col>23</xdr:col>
      <xdr:colOff>57150</xdr:colOff>
      <xdr:row>22</xdr:row>
      <xdr:rowOff>38100</xdr:rowOff>
    </xdr:to>
    <xdr:sp macro="" textlink="">
      <xdr:nvSpPr>
        <xdr:cNvPr id="13" name="Isosceles Triangle 12">
          <a:extLst>
            <a:ext uri="{FF2B5EF4-FFF2-40B4-BE49-F238E27FC236}">
              <a16:creationId xmlns:a16="http://schemas.microsoft.com/office/drawing/2014/main" id="{0CA6E26D-AC24-432A-936B-B7723BB85B0C}"/>
            </a:ext>
          </a:extLst>
        </xdr:cNvPr>
        <xdr:cNvSpPr/>
      </xdr:nvSpPr>
      <xdr:spPr>
        <a:xfrm rot="16200000">
          <a:off x="10906125" y="4419600"/>
          <a:ext cx="85725" cy="200025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323850</xdr:colOff>
      <xdr:row>50</xdr:row>
      <xdr:rowOff>152400</xdr:rowOff>
    </xdr:from>
    <xdr:to>
      <xdr:col>21</xdr:col>
      <xdr:colOff>142875</xdr:colOff>
      <xdr:row>51</xdr:row>
      <xdr:rowOff>38100</xdr:rowOff>
    </xdr:to>
    <xdr:sp macro="" textlink="">
      <xdr:nvSpPr>
        <xdr:cNvPr id="14" name="Isosceles Triangle 13">
          <a:extLst>
            <a:ext uri="{FF2B5EF4-FFF2-40B4-BE49-F238E27FC236}">
              <a16:creationId xmlns:a16="http://schemas.microsoft.com/office/drawing/2014/main" id="{2F35DF7D-E135-4D07-8AAF-E3767624EE5D}"/>
            </a:ext>
          </a:extLst>
        </xdr:cNvPr>
        <xdr:cNvSpPr/>
      </xdr:nvSpPr>
      <xdr:spPr>
        <a:xfrm rot="5400000">
          <a:off x="9772650" y="10067925"/>
          <a:ext cx="85725" cy="200025"/>
        </a:xfrm>
        <a:prstGeom prst="triangle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85725</xdr:colOff>
      <xdr:row>46</xdr:row>
      <xdr:rowOff>161925</xdr:rowOff>
    </xdr:from>
    <xdr:to>
      <xdr:col>25</xdr:col>
      <xdr:colOff>95250</xdr:colOff>
      <xdr:row>47</xdr:row>
      <xdr:rowOff>47625</xdr:rowOff>
    </xdr:to>
    <xdr:sp macro="" textlink="">
      <xdr:nvSpPr>
        <xdr:cNvPr id="15" name="Isosceles Triangle 14">
          <a:extLst>
            <a:ext uri="{FF2B5EF4-FFF2-40B4-BE49-F238E27FC236}">
              <a16:creationId xmlns:a16="http://schemas.microsoft.com/office/drawing/2014/main" id="{06B2FCA6-DFBA-4CFA-A3E3-628E9EC7CB32}"/>
            </a:ext>
          </a:extLst>
        </xdr:cNvPr>
        <xdr:cNvSpPr/>
      </xdr:nvSpPr>
      <xdr:spPr>
        <a:xfrm rot="5400000">
          <a:off x="11325225" y="9277350"/>
          <a:ext cx="85725" cy="200025"/>
        </a:xfrm>
        <a:prstGeom prst="triangle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571500</xdr:colOff>
      <xdr:row>47</xdr:row>
      <xdr:rowOff>133350</xdr:rowOff>
    </xdr:from>
    <xdr:to>
      <xdr:col>26</xdr:col>
      <xdr:colOff>47625</xdr:colOff>
      <xdr:row>48</xdr:row>
      <xdr:rowOff>123825</xdr:rowOff>
    </xdr:to>
    <xdr:sp macro="" textlink="">
      <xdr:nvSpPr>
        <xdr:cNvPr id="16" name="Isosceles Triangle 15">
          <a:extLst>
            <a:ext uri="{FF2B5EF4-FFF2-40B4-BE49-F238E27FC236}">
              <a16:creationId xmlns:a16="http://schemas.microsoft.com/office/drawing/2014/main" id="{A6FA4800-FAD1-430D-8B6E-FDD65AC212E0}"/>
            </a:ext>
          </a:extLst>
        </xdr:cNvPr>
        <xdr:cNvSpPr/>
      </xdr:nvSpPr>
      <xdr:spPr>
        <a:xfrm>
          <a:off x="11944350" y="9505950"/>
          <a:ext cx="85725" cy="200025"/>
        </a:xfrm>
        <a:prstGeom prst="triangle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571500</xdr:colOff>
      <xdr:row>53</xdr:row>
      <xdr:rowOff>123825</xdr:rowOff>
    </xdr:from>
    <xdr:to>
      <xdr:col>22</xdr:col>
      <xdr:colOff>47625</xdr:colOff>
      <xdr:row>54</xdr:row>
      <xdr:rowOff>123825</xdr:rowOff>
    </xdr:to>
    <xdr:sp macro="" textlink="">
      <xdr:nvSpPr>
        <xdr:cNvPr id="17" name="Isosceles Triangle 16">
          <a:extLst>
            <a:ext uri="{FF2B5EF4-FFF2-40B4-BE49-F238E27FC236}">
              <a16:creationId xmlns:a16="http://schemas.microsoft.com/office/drawing/2014/main" id="{0AEB4912-D9D3-4850-BB10-A63F3EE01811}"/>
            </a:ext>
          </a:extLst>
        </xdr:cNvPr>
        <xdr:cNvSpPr/>
      </xdr:nvSpPr>
      <xdr:spPr>
        <a:xfrm rot="10800000">
          <a:off x="10344150" y="10696575"/>
          <a:ext cx="85725" cy="200025"/>
        </a:xfrm>
        <a:prstGeom prst="triangle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571500</xdr:colOff>
      <xdr:row>51</xdr:row>
      <xdr:rowOff>123825</xdr:rowOff>
    </xdr:from>
    <xdr:to>
      <xdr:col>26</xdr:col>
      <xdr:colOff>47625</xdr:colOff>
      <xdr:row>52</xdr:row>
      <xdr:rowOff>114300</xdr:rowOff>
    </xdr:to>
    <xdr:sp macro="" textlink="">
      <xdr:nvSpPr>
        <xdr:cNvPr id="18" name="Isosceles Triangle 17">
          <a:extLst>
            <a:ext uri="{FF2B5EF4-FFF2-40B4-BE49-F238E27FC236}">
              <a16:creationId xmlns:a16="http://schemas.microsoft.com/office/drawing/2014/main" id="{5B8ADDC4-A638-449B-B792-FCE3F031B070}"/>
            </a:ext>
          </a:extLst>
        </xdr:cNvPr>
        <xdr:cNvSpPr/>
      </xdr:nvSpPr>
      <xdr:spPr>
        <a:xfrm>
          <a:off x="11944350" y="10296525"/>
          <a:ext cx="85725" cy="200025"/>
        </a:xfrm>
        <a:prstGeom prst="triangle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266700</xdr:colOff>
      <xdr:row>46</xdr:row>
      <xdr:rowOff>161925</xdr:rowOff>
    </xdr:from>
    <xdr:to>
      <xdr:col>7</xdr:col>
      <xdr:colOff>85725</xdr:colOff>
      <xdr:row>47</xdr:row>
      <xdr:rowOff>47625</xdr:rowOff>
    </xdr:to>
    <xdr:sp macro="" textlink="">
      <xdr:nvSpPr>
        <xdr:cNvPr id="19" name="Isosceles Triangle 18">
          <a:extLst>
            <a:ext uri="{FF2B5EF4-FFF2-40B4-BE49-F238E27FC236}">
              <a16:creationId xmlns:a16="http://schemas.microsoft.com/office/drawing/2014/main" id="{FF981F58-F12C-4DC2-8ECD-EB3278ACE0F2}"/>
            </a:ext>
          </a:extLst>
        </xdr:cNvPr>
        <xdr:cNvSpPr/>
      </xdr:nvSpPr>
      <xdr:spPr>
        <a:xfrm rot="5400000">
          <a:off x="3324225" y="9277350"/>
          <a:ext cx="85725" cy="200025"/>
        </a:xfrm>
        <a:prstGeom prst="triangl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238125</xdr:colOff>
      <xdr:row>46</xdr:row>
      <xdr:rowOff>152400</xdr:rowOff>
    </xdr:from>
    <xdr:to>
      <xdr:col>10</xdr:col>
      <xdr:colOff>57150</xdr:colOff>
      <xdr:row>47</xdr:row>
      <xdr:rowOff>38100</xdr:rowOff>
    </xdr:to>
    <xdr:sp macro="" textlink="">
      <xdr:nvSpPr>
        <xdr:cNvPr id="20" name="Isosceles Triangle 19">
          <a:extLst>
            <a:ext uri="{FF2B5EF4-FFF2-40B4-BE49-F238E27FC236}">
              <a16:creationId xmlns:a16="http://schemas.microsoft.com/office/drawing/2014/main" id="{DC2CBB51-25E0-4E21-B6E3-950921F136FC}"/>
            </a:ext>
          </a:extLst>
        </xdr:cNvPr>
        <xdr:cNvSpPr/>
      </xdr:nvSpPr>
      <xdr:spPr>
        <a:xfrm rot="5400000">
          <a:off x="4895850" y="9267825"/>
          <a:ext cx="85725" cy="200025"/>
        </a:xfrm>
        <a:prstGeom prst="triangl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561975</xdr:colOff>
      <xdr:row>47</xdr:row>
      <xdr:rowOff>123825</xdr:rowOff>
    </xdr:from>
    <xdr:to>
      <xdr:col>11</xdr:col>
      <xdr:colOff>38100</xdr:colOff>
      <xdr:row>48</xdr:row>
      <xdr:rowOff>114300</xdr:rowOff>
    </xdr:to>
    <xdr:sp macro="" textlink="">
      <xdr:nvSpPr>
        <xdr:cNvPr id="21" name="Isosceles Triangle 20">
          <a:extLst>
            <a:ext uri="{FF2B5EF4-FFF2-40B4-BE49-F238E27FC236}">
              <a16:creationId xmlns:a16="http://schemas.microsoft.com/office/drawing/2014/main" id="{57B1E5A9-632E-4FA5-9A4F-94ADE6F4C912}"/>
            </a:ext>
          </a:extLst>
        </xdr:cNvPr>
        <xdr:cNvSpPr/>
      </xdr:nvSpPr>
      <xdr:spPr>
        <a:xfrm>
          <a:off x="5543550" y="9496425"/>
          <a:ext cx="85725" cy="200025"/>
        </a:xfrm>
        <a:prstGeom prst="triangl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571500</xdr:colOff>
      <xdr:row>47</xdr:row>
      <xdr:rowOff>133350</xdr:rowOff>
    </xdr:from>
    <xdr:to>
      <xdr:col>8</xdr:col>
      <xdr:colOff>47625</xdr:colOff>
      <xdr:row>48</xdr:row>
      <xdr:rowOff>123825</xdr:rowOff>
    </xdr:to>
    <xdr:sp macro="" textlink="">
      <xdr:nvSpPr>
        <xdr:cNvPr id="22" name="Isosceles Triangle 21">
          <a:extLst>
            <a:ext uri="{FF2B5EF4-FFF2-40B4-BE49-F238E27FC236}">
              <a16:creationId xmlns:a16="http://schemas.microsoft.com/office/drawing/2014/main" id="{6B630F73-5F1C-498E-976F-6C8B3D1D0FB2}"/>
            </a:ext>
          </a:extLst>
        </xdr:cNvPr>
        <xdr:cNvSpPr/>
      </xdr:nvSpPr>
      <xdr:spPr>
        <a:xfrm>
          <a:off x="3952875" y="9505950"/>
          <a:ext cx="85725" cy="200025"/>
        </a:xfrm>
        <a:prstGeom prst="triangl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282669</xdr:colOff>
      <xdr:row>74</xdr:row>
      <xdr:rowOff>172851</xdr:rowOff>
    </xdr:from>
    <xdr:to>
      <xdr:col>21</xdr:col>
      <xdr:colOff>103375</xdr:colOff>
      <xdr:row>75</xdr:row>
      <xdr:rowOff>74799</xdr:rowOff>
    </xdr:to>
    <xdr:sp macro="" textlink="">
      <xdr:nvSpPr>
        <xdr:cNvPr id="23" name="Isosceles Triangle 22">
          <a:extLst>
            <a:ext uri="{FF2B5EF4-FFF2-40B4-BE49-F238E27FC236}">
              <a16:creationId xmlns:a16="http://schemas.microsoft.com/office/drawing/2014/main" id="{379DBE69-7407-40F6-9457-C036BD1848C3}"/>
            </a:ext>
          </a:extLst>
        </xdr:cNvPr>
        <xdr:cNvSpPr/>
      </xdr:nvSpPr>
      <xdr:spPr>
        <a:xfrm rot="5400000">
          <a:off x="10601886" y="14697075"/>
          <a:ext cx="114860" cy="201706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31657</xdr:colOff>
      <xdr:row>67</xdr:row>
      <xdr:rowOff>145956</xdr:rowOff>
    </xdr:from>
    <xdr:to>
      <xdr:col>25</xdr:col>
      <xdr:colOff>42863</xdr:colOff>
      <xdr:row>68</xdr:row>
      <xdr:rowOff>59110</xdr:rowOff>
    </xdr:to>
    <xdr:sp macro="" textlink="">
      <xdr:nvSpPr>
        <xdr:cNvPr id="24" name="Isosceles Triangle 23">
          <a:extLst>
            <a:ext uri="{FF2B5EF4-FFF2-40B4-BE49-F238E27FC236}">
              <a16:creationId xmlns:a16="http://schemas.microsoft.com/office/drawing/2014/main" id="{D104CD54-A27D-4A73-980C-F74C7AEFB4CE}"/>
            </a:ext>
          </a:extLst>
        </xdr:cNvPr>
        <xdr:cNvSpPr/>
      </xdr:nvSpPr>
      <xdr:spPr>
        <a:xfrm rot="5400000">
          <a:off x="12166227" y="13280651"/>
          <a:ext cx="114860" cy="201706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38381</xdr:colOff>
      <xdr:row>70</xdr:row>
      <xdr:rowOff>130269</xdr:rowOff>
    </xdr:from>
    <xdr:to>
      <xdr:col>25</xdr:col>
      <xdr:colOff>49587</xdr:colOff>
      <xdr:row>71</xdr:row>
      <xdr:rowOff>43423</xdr:rowOff>
    </xdr:to>
    <xdr:sp macro="" textlink="">
      <xdr:nvSpPr>
        <xdr:cNvPr id="25" name="Isosceles Triangle 24">
          <a:extLst>
            <a:ext uri="{FF2B5EF4-FFF2-40B4-BE49-F238E27FC236}">
              <a16:creationId xmlns:a16="http://schemas.microsoft.com/office/drawing/2014/main" id="{04CBCB67-B2E8-455F-8AA0-B008B5160D88}"/>
            </a:ext>
          </a:extLst>
        </xdr:cNvPr>
        <xdr:cNvSpPr/>
      </xdr:nvSpPr>
      <xdr:spPr>
        <a:xfrm rot="5400000">
          <a:off x="12172951" y="13858875"/>
          <a:ext cx="114860" cy="201706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33899</xdr:colOff>
      <xdr:row>73</xdr:row>
      <xdr:rowOff>148198</xdr:rowOff>
    </xdr:from>
    <xdr:to>
      <xdr:col>25</xdr:col>
      <xdr:colOff>45105</xdr:colOff>
      <xdr:row>74</xdr:row>
      <xdr:rowOff>61352</xdr:rowOff>
    </xdr:to>
    <xdr:sp macro="" textlink="">
      <xdr:nvSpPr>
        <xdr:cNvPr id="26" name="Isosceles Triangle 25">
          <a:extLst>
            <a:ext uri="{FF2B5EF4-FFF2-40B4-BE49-F238E27FC236}">
              <a16:creationId xmlns:a16="http://schemas.microsoft.com/office/drawing/2014/main" id="{4CF11E80-8A61-4FBF-BDBA-7DC669CDAA42}"/>
            </a:ext>
          </a:extLst>
        </xdr:cNvPr>
        <xdr:cNvSpPr/>
      </xdr:nvSpPr>
      <xdr:spPr>
        <a:xfrm rot="5400000">
          <a:off x="12168469" y="14470716"/>
          <a:ext cx="114860" cy="201706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40622</xdr:colOff>
      <xdr:row>76</xdr:row>
      <xdr:rowOff>132509</xdr:rowOff>
    </xdr:from>
    <xdr:to>
      <xdr:col>25</xdr:col>
      <xdr:colOff>51828</xdr:colOff>
      <xdr:row>77</xdr:row>
      <xdr:rowOff>45663</xdr:rowOff>
    </xdr:to>
    <xdr:sp macro="" textlink="">
      <xdr:nvSpPr>
        <xdr:cNvPr id="27" name="Isosceles Triangle 26">
          <a:extLst>
            <a:ext uri="{FF2B5EF4-FFF2-40B4-BE49-F238E27FC236}">
              <a16:creationId xmlns:a16="http://schemas.microsoft.com/office/drawing/2014/main" id="{B3390BAB-0549-4BDA-86CB-93348A7E6D9D}"/>
            </a:ext>
          </a:extLst>
        </xdr:cNvPr>
        <xdr:cNvSpPr/>
      </xdr:nvSpPr>
      <xdr:spPr>
        <a:xfrm rot="5400000">
          <a:off x="12175192" y="15071351"/>
          <a:ext cx="114860" cy="201706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170610</xdr:colOff>
      <xdr:row>79</xdr:row>
      <xdr:rowOff>139234</xdr:rowOff>
    </xdr:from>
    <xdr:to>
      <xdr:col>25</xdr:col>
      <xdr:colOff>181816</xdr:colOff>
      <xdr:row>80</xdr:row>
      <xdr:rowOff>52388</xdr:rowOff>
    </xdr:to>
    <xdr:sp macro="" textlink="">
      <xdr:nvSpPr>
        <xdr:cNvPr id="28" name="Isosceles Triangle 27">
          <a:extLst>
            <a:ext uri="{FF2B5EF4-FFF2-40B4-BE49-F238E27FC236}">
              <a16:creationId xmlns:a16="http://schemas.microsoft.com/office/drawing/2014/main" id="{9DFB12CC-06C9-43E9-B2F5-FE796B9F6ACE}"/>
            </a:ext>
          </a:extLst>
        </xdr:cNvPr>
        <xdr:cNvSpPr/>
      </xdr:nvSpPr>
      <xdr:spPr>
        <a:xfrm rot="5400000">
          <a:off x="12305180" y="15671987"/>
          <a:ext cx="114860" cy="201706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121304</xdr:colOff>
      <xdr:row>82</xdr:row>
      <xdr:rowOff>134751</xdr:rowOff>
    </xdr:from>
    <xdr:to>
      <xdr:col>25</xdr:col>
      <xdr:colOff>132510</xdr:colOff>
      <xdr:row>83</xdr:row>
      <xdr:rowOff>47905</xdr:rowOff>
    </xdr:to>
    <xdr:sp macro="" textlink="">
      <xdr:nvSpPr>
        <xdr:cNvPr id="29" name="Isosceles Triangle 28">
          <a:extLst>
            <a:ext uri="{FF2B5EF4-FFF2-40B4-BE49-F238E27FC236}">
              <a16:creationId xmlns:a16="http://schemas.microsoft.com/office/drawing/2014/main" id="{E96CD986-D258-4CF4-9DFD-3E6DE22E37D9}"/>
            </a:ext>
          </a:extLst>
        </xdr:cNvPr>
        <xdr:cNvSpPr/>
      </xdr:nvSpPr>
      <xdr:spPr>
        <a:xfrm rot="5400000">
          <a:off x="12255874" y="16261416"/>
          <a:ext cx="114860" cy="201706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240087</xdr:colOff>
      <xdr:row>82</xdr:row>
      <xdr:rowOff>141475</xdr:rowOff>
    </xdr:from>
    <xdr:to>
      <xdr:col>28</xdr:col>
      <xdr:colOff>60793</xdr:colOff>
      <xdr:row>83</xdr:row>
      <xdr:rowOff>54629</xdr:rowOff>
    </xdr:to>
    <xdr:sp macro="" textlink="">
      <xdr:nvSpPr>
        <xdr:cNvPr id="30" name="Isosceles Triangle 29">
          <a:extLst>
            <a:ext uri="{FF2B5EF4-FFF2-40B4-BE49-F238E27FC236}">
              <a16:creationId xmlns:a16="http://schemas.microsoft.com/office/drawing/2014/main" id="{B488EB35-FC60-4D52-B3DB-0C0ACCC4D172}"/>
            </a:ext>
          </a:extLst>
        </xdr:cNvPr>
        <xdr:cNvSpPr/>
      </xdr:nvSpPr>
      <xdr:spPr>
        <a:xfrm rot="5400000">
          <a:off x="13775392" y="16268140"/>
          <a:ext cx="114860" cy="201706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291633</xdr:colOff>
      <xdr:row>82</xdr:row>
      <xdr:rowOff>136993</xdr:rowOff>
    </xdr:from>
    <xdr:to>
      <xdr:col>31</xdr:col>
      <xdr:colOff>112339</xdr:colOff>
      <xdr:row>83</xdr:row>
      <xdr:rowOff>50147</xdr:rowOff>
    </xdr:to>
    <xdr:sp macro="" textlink="">
      <xdr:nvSpPr>
        <xdr:cNvPr id="31" name="Isosceles Triangle 30">
          <a:extLst>
            <a:ext uri="{FF2B5EF4-FFF2-40B4-BE49-F238E27FC236}">
              <a16:creationId xmlns:a16="http://schemas.microsoft.com/office/drawing/2014/main" id="{95417FB7-4929-46D9-AEDB-8DA6EDF01A0E}"/>
            </a:ext>
          </a:extLst>
        </xdr:cNvPr>
        <xdr:cNvSpPr/>
      </xdr:nvSpPr>
      <xdr:spPr>
        <a:xfrm rot="5400000">
          <a:off x="15418174" y="16263658"/>
          <a:ext cx="114860" cy="201706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242328</xdr:colOff>
      <xdr:row>79</xdr:row>
      <xdr:rowOff>132511</xdr:rowOff>
    </xdr:from>
    <xdr:to>
      <xdr:col>28</xdr:col>
      <xdr:colOff>63034</xdr:colOff>
      <xdr:row>80</xdr:row>
      <xdr:rowOff>45665</xdr:rowOff>
    </xdr:to>
    <xdr:sp macro="" textlink="">
      <xdr:nvSpPr>
        <xdr:cNvPr id="32" name="Isosceles Triangle 31">
          <a:extLst>
            <a:ext uri="{FF2B5EF4-FFF2-40B4-BE49-F238E27FC236}">
              <a16:creationId xmlns:a16="http://schemas.microsoft.com/office/drawing/2014/main" id="{6A951B38-D1AA-4D05-9F1E-337A2DB7107A}"/>
            </a:ext>
          </a:extLst>
        </xdr:cNvPr>
        <xdr:cNvSpPr/>
      </xdr:nvSpPr>
      <xdr:spPr>
        <a:xfrm rot="5400000">
          <a:off x="13777633" y="15665264"/>
          <a:ext cx="114860" cy="201706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293875</xdr:colOff>
      <xdr:row>76</xdr:row>
      <xdr:rowOff>128028</xdr:rowOff>
    </xdr:from>
    <xdr:to>
      <xdr:col>28</xdr:col>
      <xdr:colOff>114581</xdr:colOff>
      <xdr:row>77</xdr:row>
      <xdr:rowOff>41182</xdr:rowOff>
    </xdr:to>
    <xdr:sp macro="" textlink="">
      <xdr:nvSpPr>
        <xdr:cNvPr id="33" name="Isosceles Triangle 32">
          <a:extLst>
            <a:ext uri="{FF2B5EF4-FFF2-40B4-BE49-F238E27FC236}">
              <a16:creationId xmlns:a16="http://schemas.microsoft.com/office/drawing/2014/main" id="{DA7F8236-845D-4A31-87D2-625D7713ABBA}"/>
            </a:ext>
          </a:extLst>
        </xdr:cNvPr>
        <xdr:cNvSpPr/>
      </xdr:nvSpPr>
      <xdr:spPr>
        <a:xfrm rot="5400000">
          <a:off x="13829180" y="15066870"/>
          <a:ext cx="114860" cy="201706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311804</xdr:colOff>
      <xdr:row>73</xdr:row>
      <xdr:rowOff>145958</xdr:rowOff>
    </xdr:from>
    <xdr:to>
      <xdr:col>28</xdr:col>
      <xdr:colOff>132510</xdr:colOff>
      <xdr:row>74</xdr:row>
      <xdr:rowOff>59112</xdr:rowOff>
    </xdr:to>
    <xdr:sp macro="" textlink="">
      <xdr:nvSpPr>
        <xdr:cNvPr id="34" name="Isosceles Triangle 33">
          <a:extLst>
            <a:ext uri="{FF2B5EF4-FFF2-40B4-BE49-F238E27FC236}">
              <a16:creationId xmlns:a16="http://schemas.microsoft.com/office/drawing/2014/main" id="{64910C3B-4E32-4C22-BDF1-B6346D3BE1D4}"/>
            </a:ext>
          </a:extLst>
        </xdr:cNvPr>
        <xdr:cNvSpPr/>
      </xdr:nvSpPr>
      <xdr:spPr>
        <a:xfrm rot="5400000">
          <a:off x="13847109" y="14468476"/>
          <a:ext cx="114860" cy="201706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284910</xdr:colOff>
      <xdr:row>70</xdr:row>
      <xdr:rowOff>130270</xdr:rowOff>
    </xdr:from>
    <xdr:to>
      <xdr:col>28</xdr:col>
      <xdr:colOff>105616</xdr:colOff>
      <xdr:row>71</xdr:row>
      <xdr:rowOff>43424</xdr:rowOff>
    </xdr:to>
    <xdr:sp macro="" textlink="">
      <xdr:nvSpPr>
        <xdr:cNvPr id="35" name="Isosceles Triangle 34">
          <a:extLst>
            <a:ext uri="{FF2B5EF4-FFF2-40B4-BE49-F238E27FC236}">
              <a16:creationId xmlns:a16="http://schemas.microsoft.com/office/drawing/2014/main" id="{14D7352F-23CB-4FD7-8C86-555C762A1E10}"/>
            </a:ext>
          </a:extLst>
        </xdr:cNvPr>
        <xdr:cNvSpPr/>
      </xdr:nvSpPr>
      <xdr:spPr>
        <a:xfrm rot="5400000">
          <a:off x="13820215" y="13858876"/>
          <a:ext cx="114860" cy="201706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224398</xdr:colOff>
      <xdr:row>67</xdr:row>
      <xdr:rowOff>159405</xdr:rowOff>
    </xdr:from>
    <xdr:to>
      <xdr:col>28</xdr:col>
      <xdr:colOff>45104</xdr:colOff>
      <xdr:row>68</xdr:row>
      <xdr:rowOff>72559</xdr:rowOff>
    </xdr:to>
    <xdr:sp macro="" textlink="">
      <xdr:nvSpPr>
        <xdr:cNvPr id="36" name="Isosceles Triangle 35">
          <a:extLst>
            <a:ext uri="{FF2B5EF4-FFF2-40B4-BE49-F238E27FC236}">
              <a16:creationId xmlns:a16="http://schemas.microsoft.com/office/drawing/2014/main" id="{06D77BCA-1816-4E5F-BD1C-620829B28E0B}"/>
            </a:ext>
          </a:extLst>
        </xdr:cNvPr>
        <xdr:cNvSpPr/>
      </xdr:nvSpPr>
      <xdr:spPr>
        <a:xfrm rot="5400000">
          <a:off x="13759703" y="13294100"/>
          <a:ext cx="114860" cy="201706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31</xdr:col>
      <xdr:colOff>532279</xdr:colOff>
      <xdr:row>81</xdr:row>
      <xdr:rowOff>10648</xdr:rowOff>
    </xdr:from>
    <xdr:to>
      <xdr:col>32</xdr:col>
      <xdr:colOff>42022</xdr:colOff>
      <xdr:row>82</xdr:row>
      <xdr:rowOff>21854</xdr:rowOff>
    </xdr:to>
    <xdr:sp macro="" textlink="">
      <xdr:nvSpPr>
        <xdr:cNvPr id="37" name="Isosceles Triangle 36">
          <a:extLst>
            <a:ext uri="{FF2B5EF4-FFF2-40B4-BE49-F238E27FC236}">
              <a16:creationId xmlns:a16="http://schemas.microsoft.com/office/drawing/2014/main" id="{A6E354E9-88CB-41F9-95F9-19FBC6E06657}"/>
            </a:ext>
          </a:extLst>
        </xdr:cNvPr>
        <xdr:cNvSpPr/>
      </xdr:nvSpPr>
      <xdr:spPr>
        <a:xfrm rot="10800000">
          <a:off x="15996397" y="15990236"/>
          <a:ext cx="114860" cy="201706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31</xdr:col>
      <xdr:colOff>539003</xdr:colOff>
      <xdr:row>85</xdr:row>
      <xdr:rowOff>50988</xdr:rowOff>
    </xdr:from>
    <xdr:to>
      <xdr:col>32</xdr:col>
      <xdr:colOff>48746</xdr:colOff>
      <xdr:row>86</xdr:row>
      <xdr:rowOff>62194</xdr:rowOff>
    </xdr:to>
    <xdr:sp macro="" textlink="">
      <xdr:nvSpPr>
        <xdr:cNvPr id="38" name="Isosceles Triangle 37">
          <a:extLst>
            <a:ext uri="{FF2B5EF4-FFF2-40B4-BE49-F238E27FC236}">
              <a16:creationId xmlns:a16="http://schemas.microsoft.com/office/drawing/2014/main" id="{D3460408-450F-43E7-ADC7-193B6D8766E9}"/>
            </a:ext>
          </a:extLst>
        </xdr:cNvPr>
        <xdr:cNvSpPr/>
      </xdr:nvSpPr>
      <xdr:spPr>
        <a:xfrm rot="10800000">
          <a:off x="16003121" y="16814988"/>
          <a:ext cx="114860" cy="201706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513509</xdr:colOff>
      <xdr:row>86</xdr:row>
      <xdr:rowOff>145959</xdr:rowOff>
    </xdr:from>
    <xdr:to>
      <xdr:col>30</xdr:col>
      <xdr:colOff>110097</xdr:colOff>
      <xdr:row>87</xdr:row>
      <xdr:rowOff>59113</xdr:rowOff>
    </xdr:to>
    <xdr:sp macro="" textlink="">
      <xdr:nvSpPr>
        <xdr:cNvPr id="39" name="Isosceles Triangle 38">
          <a:extLst>
            <a:ext uri="{FF2B5EF4-FFF2-40B4-BE49-F238E27FC236}">
              <a16:creationId xmlns:a16="http://schemas.microsoft.com/office/drawing/2014/main" id="{754DD03E-2A53-4E96-ABEF-6756B0D23E70}"/>
            </a:ext>
          </a:extLst>
        </xdr:cNvPr>
        <xdr:cNvSpPr/>
      </xdr:nvSpPr>
      <xdr:spPr>
        <a:xfrm rot="16200000">
          <a:off x="15034932" y="17057036"/>
          <a:ext cx="114860" cy="201706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547688</xdr:colOff>
      <xdr:row>75</xdr:row>
      <xdr:rowOff>158283</xdr:rowOff>
    </xdr:from>
    <xdr:to>
      <xdr:col>20</xdr:col>
      <xdr:colOff>57430</xdr:colOff>
      <xdr:row>76</xdr:row>
      <xdr:rowOff>158283</xdr:rowOff>
    </xdr:to>
    <xdr:sp macro="" textlink="">
      <xdr:nvSpPr>
        <xdr:cNvPr id="40" name="Isosceles Triangle 39">
          <a:extLst>
            <a:ext uri="{FF2B5EF4-FFF2-40B4-BE49-F238E27FC236}">
              <a16:creationId xmlns:a16="http://schemas.microsoft.com/office/drawing/2014/main" id="{A5F4781D-A303-4F46-9817-7F4A7EC84079}"/>
            </a:ext>
          </a:extLst>
        </xdr:cNvPr>
        <xdr:cNvSpPr/>
      </xdr:nvSpPr>
      <xdr:spPr>
        <a:xfrm>
          <a:off x="10218364" y="14938842"/>
          <a:ext cx="114860" cy="201706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546286</xdr:colOff>
      <xdr:row>75</xdr:row>
      <xdr:rowOff>182095</xdr:rowOff>
    </xdr:from>
    <xdr:to>
      <xdr:col>19</xdr:col>
      <xdr:colOff>56029</xdr:colOff>
      <xdr:row>76</xdr:row>
      <xdr:rowOff>182095</xdr:rowOff>
    </xdr:to>
    <xdr:sp macro="" textlink="">
      <xdr:nvSpPr>
        <xdr:cNvPr id="41" name="Isosceles Triangle 40">
          <a:extLst>
            <a:ext uri="{FF2B5EF4-FFF2-40B4-BE49-F238E27FC236}">
              <a16:creationId xmlns:a16="http://schemas.microsoft.com/office/drawing/2014/main" id="{A019E8C3-D552-41FC-8EDF-E4CE7E8F085F}"/>
            </a:ext>
          </a:extLst>
        </xdr:cNvPr>
        <xdr:cNvSpPr/>
      </xdr:nvSpPr>
      <xdr:spPr>
        <a:xfrm>
          <a:off x="9611845" y="14962654"/>
          <a:ext cx="114860" cy="201706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553009</xdr:colOff>
      <xdr:row>81</xdr:row>
      <xdr:rowOff>9525</xdr:rowOff>
    </xdr:from>
    <xdr:to>
      <xdr:col>19</xdr:col>
      <xdr:colOff>62752</xdr:colOff>
      <xdr:row>82</xdr:row>
      <xdr:rowOff>20731</xdr:rowOff>
    </xdr:to>
    <xdr:sp macro="" textlink="">
      <xdr:nvSpPr>
        <xdr:cNvPr id="42" name="Isosceles Triangle 41">
          <a:extLst>
            <a:ext uri="{FF2B5EF4-FFF2-40B4-BE49-F238E27FC236}">
              <a16:creationId xmlns:a16="http://schemas.microsoft.com/office/drawing/2014/main" id="{82337103-D01B-4148-9EE7-3F68DB74177C}"/>
            </a:ext>
          </a:extLst>
        </xdr:cNvPr>
        <xdr:cNvSpPr/>
      </xdr:nvSpPr>
      <xdr:spPr>
        <a:xfrm rot="10800000">
          <a:off x="9618568" y="16000319"/>
          <a:ext cx="114860" cy="201706"/>
        </a:xfrm>
        <a:prstGeom prst="triangle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20615-B63B-4D1C-8BFE-890B546601DD}">
  <dimension ref="A1:AI100"/>
  <sheetViews>
    <sheetView tabSelected="1" topLeftCell="J27" zoomScaleNormal="100" workbookViewId="0">
      <selection activeCell="AK43" sqref="AK43"/>
    </sheetView>
  </sheetViews>
  <sheetFormatPr defaultRowHeight="15" x14ac:dyDescent="0.25"/>
  <cols>
    <col min="1" max="1" width="2.7109375" customWidth="1"/>
    <col min="3" max="3" width="10.5703125" bestFit="1" customWidth="1"/>
    <col min="4" max="4" width="5.7109375" customWidth="1"/>
    <col min="7" max="7" width="5.7109375" customWidth="1"/>
    <col min="10" max="10" width="5.7109375" customWidth="1"/>
    <col min="13" max="13" width="5.7109375" customWidth="1"/>
    <col min="16" max="16" width="12" customWidth="1"/>
    <col min="17" max="17" width="2.85546875" customWidth="1"/>
    <col min="18" max="18" width="3.42578125" customWidth="1"/>
    <col min="21" max="21" width="5.7109375" customWidth="1"/>
    <col min="22" max="22" width="9.5703125" bestFit="1" customWidth="1"/>
    <col min="24" max="25" width="2.85546875" customWidth="1"/>
    <col min="26" max="26" width="9" customWidth="1"/>
    <col min="28" max="28" width="5.7109375" customWidth="1"/>
    <col min="31" max="31" width="5.7109375" customWidth="1"/>
    <col min="34" max="34" width="12.7109375" customWidth="1"/>
    <col min="35" max="35" width="2.85546875" customWidth="1"/>
    <col min="36" max="36" width="3.42578125" customWidth="1"/>
  </cols>
  <sheetData>
    <row r="1" spans="1:35" ht="15.75" thickBot="1" x14ac:dyDescent="0.3">
      <c r="A1" s="1"/>
      <c r="B1" s="33" t="s">
        <v>11</v>
      </c>
      <c r="Q1" s="1"/>
      <c r="R1" s="1"/>
      <c r="S1" s="34" t="s">
        <v>10</v>
      </c>
      <c r="AI1" s="1"/>
    </row>
    <row r="2" spans="1:35" x14ac:dyDescent="0.25">
      <c r="B2" s="44">
        <v>4</v>
      </c>
      <c r="C2" t="s">
        <v>22</v>
      </c>
      <c r="E2">
        <v>10000</v>
      </c>
      <c r="F2" t="s">
        <v>76</v>
      </c>
    </row>
    <row r="3" spans="1:35" x14ac:dyDescent="0.25">
      <c r="B3" t="s">
        <v>75</v>
      </c>
    </row>
    <row r="4" spans="1:35" x14ac:dyDescent="0.25">
      <c r="B4" s="44">
        <v>8760</v>
      </c>
      <c r="C4" t="s">
        <v>74</v>
      </c>
      <c r="V4" t="s">
        <v>68</v>
      </c>
      <c r="Z4" t="s">
        <v>67</v>
      </c>
      <c r="AG4" s="39" t="s">
        <v>69</v>
      </c>
    </row>
    <row r="5" spans="1:35" x14ac:dyDescent="0.25">
      <c r="C5" s="42">
        <f>+B4*B2</f>
        <v>35040</v>
      </c>
      <c r="D5" t="s">
        <v>28</v>
      </c>
      <c r="V5" t="s">
        <v>44</v>
      </c>
      <c r="Z5" s="43">
        <v>10000</v>
      </c>
      <c r="AA5" t="s">
        <v>39</v>
      </c>
      <c r="AG5" s="39" t="s">
        <v>70</v>
      </c>
    </row>
    <row r="6" spans="1:35" x14ac:dyDescent="0.25">
      <c r="B6">
        <v>8</v>
      </c>
      <c r="C6" t="s">
        <v>99</v>
      </c>
      <c r="U6" s="41" t="s">
        <v>45</v>
      </c>
      <c r="V6" s="43">
        <v>2000</v>
      </c>
      <c r="W6" t="s">
        <v>46</v>
      </c>
      <c r="Z6" s="42">
        <v>3000</v>
      </c>
      <c r="AA6" t="s">
        <v>40</v>
      </c>
    </row>
    <row r="7" spans="1:35" x14ac:dyDescent="0.25">
      <c r="U7" s="41" t="s">
        <v>47</v>
      </c>
      <c r="V7" s="42">
        <v>3800</v>
      </c>
      <c r="W7" t="s">
        <v>46</v>
      </c>
      <c r="Z7" s="42">
        <v>3000</v>
      </c>
      <c r="AA7" t="s">
        <v>41</v>
      </c>
    </row>
    <row r="8" spans="1:35" x14ac:dyDescent="0.25">
      <c r="Z8" s="42">
        <v>5000</v>
      </c>
      <c r="AA8" t="s">
        <v>42</v>
      </c>
      <c r="AF8" t="s">
        <v>133</v>
      </c>
      <c r="AH8" s="40" t="s">
        <v>34</v>
      </c>
    </row>
    <row r="9" spans="1:35" ht="15.75" thickBot="1" x14ac:dyDescent="0.3">
      <c r="Z9" s="42">
        <v>5000</v>
      </c>
      <c r="AA9" t="s">
        <v>43</v>
      </c>
      <c r="AF9" s="43">
        <v>4000</v>
      </c>
      <c r="AG9" t="s">
        <v>33</v>
      </c>
    </row>
    <row r="10" spans="1:35" ht="15.75" thickBot="1" x14ac:dyDescent="0.3">
      <c r="H10" s="90" t="s">
        <v>5</v>
      </c>
      <c r="I10" s="91"/>
      <c r="Z10" s="90" t="s">
        <v>5</v>
      </c>
      <c r="AA10" s="91"/>
      <c r="AF10" s="42">
        <f>+AF9/3.785</f>
        <v>1056.8031704095113</v>
      </c>
      <c r="AG10" t="s">
        <v>36</v>
      </c>
    </row>
    <row r="11" spans="1:35" ht="16.5" thickTop="1" thickBot="1" x14ac:dyDescent="0.3">
      <c r="H11" s="92"/>
      <c r="I11" s="93"/>
      <c r="Y11" s="13"/>
      <c r="Z11" s="92"/>
      <c r="AA11" s="93"/>
      <c r="AF11" t="s">
        <v>134</v>
      </c>
      <c r="AH11" s="40" t="s">
        <v>135</v>
      </c>
    </row>
    <row r="12" spans="1:35" x14ac:dyDescent="0.25">
      <c r="Y12" s="14"/>
      <c r="Z12" s="8"/>
      <c r="AA12" s="9"/>
      <c r="AF12">
        <v>60</v>
      </c>
      <c r="AG12" t="s">
        <v>79</v>
      </c>
    </row>
    <row r="13" spans="1:35" ht="15.75" thickBot="1" x14ac:dyDescent="0.3">
      <c r="Y13" s="14"/>
      <c r="Z13" s="10"/>
      <c r="AA13" s="11"/>
      <c r="AG13">
        <v>400</v>
      </c>
      <c r="AH13" t="s">
        <v>137</v>
      </c>
    </row>
    <row r="14" spans="1:35" ht="15.75" thickBot="1" x14ac:dyDescent="0.3">
      <c r="H14" s="90" t="s">
        <v>4</v>
      </c>
      <c r="I14" s="91"/>
      <c r="K14" s="90" t="s">
        <v>6</v>
      </c>
      <c r="L14" s="91"/>
      <c r="Y14" s="14"/>
      <c r="Z14" s="90" t="s">
        <v>4</v>
      </c>
      <c r="AA14" s="91"/>
      <c r="AC14" s="90" t="s">
        <v>6</v>
      </c>
      <c r="AD14" s="91"/>
      <c r="AG14" s="38">
        <f>+AG13/AF12</f>
        <v>6.666666666666667</v>
      </c>
      <c r="AH14" t="s">
        <v>138</v>
      </c>
    </row>
    <row r="15" spans="1:35" ht="16.5" thickTop="1" thickBot="1" x14ac:dyDescent="0.3">
      <c r="H15" s="92"/>
      <c r="I15" s="93"/>
      <c r="K15" s="92"/>
      <c r="L15" s="93"/>
      <c r="M15" s="6"/>
      <c r="N15" s="7"/>
      <c r="Y15" s="14"/>
      <c r="Z15" s="92"/>
      <c r="AA15" s="93"/>
      <c r="AC15" s="92"/>
      <c r="AD15" s="93"/>
      <c r="AG15">
        <f>+AF12*60</f>
        <v>3600</v>
      </c>
      <c r="AH15" t="s">
        <v>136</v>
      </c>
    </row>
    <row r="16" spans="1:35" x14ac:dyDescent="0.25">
      <c r="K16" s="3"/>
      <c r="N16" s="3"/>
      <c r="Y16" s="14"/>
    </row>
    <row r="17" spans="2:33" ht="15.75" thickBot="1" x14ac:dyDescent="0.3">
      <c r="K17" s="3"/>
      <c r="N17" s="3"/>
      <c r="Y17" s="14"/>
    </row>
    <row r="18" spans="2:33" ht="15.75" thickBot="1" x14ac:dyDescent="0.3">
      <c r="B18" s="94" t="s">
        <v>7</v>
      </c>
      <c r="C18" s="95"/>
      <c r="D18" s="2"/>
      <c r="E18" s="90" t="s">
        <v>0</v>
      </c>
      <c r="F18" s="91"/>
      <c r="G18" s="2"/>
      <c r="H18" s="90" t="s">
        <v>1</v>
      </c>
      <c r="I18" s="91"/>
      <c r="J18" s="2"/>
      <c r="K18" s="90" t="s">
        <v>2</v>
      </c>
      <c r="L18" s="91"/>
      <c r="M18" s="2"/>
      <c r="N18" s="94" t="s">
        <v>8</v>
      </c>
      <c r="O18" s="95"/>
      <c r="P18" s="66"/>
      <c r="S18" s="94" t="s">
        <v>7</v>
      </c>
      <c r="T18" s="95"/>
      <c r="V18" s="90" t="s">
        <v>0</v>
      </c>
      <c r="W18" s="91"/>
      <c r="X18" s="12"/>
      <c r="Y18" s="14"/>
      <c r="Z18" s="90" t="s">
        <v>1</v>
      </c>
      <c r="AA18" s="91"/>
      <c r="AC18" s="90" t="s">
        <v>2</v>
      </c>
      <c r="AD18" s="91"/>
      <c r="AF18" s="94" t="s">
        <v>8</v>
      </c>
      <c r="AG18" s="95"/>
    </row>
    <row r="19" spans="2:33" ht="16.5" thickTop="1" thickBot="1" x14ac:dyDescent="0.3">
      <c r="B19" s="96"/>
      <c r="C19" s="97"/>
      <c r="E19" s="92"/>
      <c r="F19" s="93"/>
      <c r="H19" s="92"/>
      <c r="I19" s="93"/>
      <c r="K19" s="92"/>
      <c r="L19" s="93"/>
      <c r="N19" s="96"/>
      <c r="O19" s="97"/>
      <c r="P19" s="66"/>
      <c r="S19" s="96"/>
      <c r="T19" s="97"/>
      <c r="V19" s="92"/>
      <c r="W19" s="93"/>
      <c r="X19" s="12"/>
      <c r="Y19" s="14"/>
      <c r="Z19" s="92"/>
      <c r="AA19" s="93"/>
      <c r="AC19" s="92"/>
      <c r="AD19" s="93"/>
      <c r="AF19" s="96"/>
      <c r="AG19" s="97"/>
    </row>
    <row r="20" spans="2:33" x14ac:dyDescent="0.25">
      <c r="N20" s="3"/>
      <c r="S20" s="45">
        <v>1</v>
      </c>
      <c r="T20" t="s">
        <v>87</v>
      </c>
      <c r="V20" s="8"/>
      <c r="W20" s="9"/>
      <c r="Y20" s="14"/>
      <c r="Z20">
        <v>278</v>
      </c>
      <c r="AA20" t="s">
        <v>35</v>
      </c>
    </row>
    <row r="21" spans="2:33" ht="15.75" thickBot="1" x14ac:dyDescent="0.3">
      <c r="N21" s="3"/>
      <c r="R21" s="44">
        <v>8</v>
      </c>
      <c r="S21" t="s">
        <v>79</v>
      </c>
      <c r="T21" t="s">
        <v>80</v>
      </c>
      <c r="V21" s="10"/>
      <c r="W21" s="11"/>
      <c r="Y21" s="14"/>
      <c r="AE21" s="40" t="s">
        <v>90</v>
      </c>
    </row>
    <row r="22" spans="2:33" ht="15.75" thickBot="1" x14ac:dyDescent="0.3">
      <c r="E22" s="90" t="s">
        <v>3</v>
      </c>
      <c r="F22" s="91"/>
      <c r="G22" s="4"/>
      <c r="H22" s="4"/>
      <c r="I22" s="4"/>
      <c r="J22" s="4"/>
      <c r="K22" s="4"/>
      <c r="L22" s="4"/>
      <c r="M22" s="4"/>
      <c r="N22" s="5"/>
      <c r="R22" s="44">
        <v>8</v>
      </c>
      <c r="S22" t="s">
        <v>79</v>
      </c>
      <c r="T22" t="s">
        <v>81</v>
      </c>
      <c r="V22" s="90" t="s">
        <v>3</v>
      </c>
      <c r="W22" s="91"/>
      <c r="X22" s="12"/>
      <c r="Y22" s="14"/>
    </row>
    <row r="23" spans="2:33" ht="16.5" thickTop="1" thickBot="1" x14ac:dyDescent="0.3">
      <c r="E23" s="92"/>
      <c r="F23" s="93"/>
      <c r="R23" s="44"/>
      <c r="S23" t="s">
        <v>79</v>
      </c>
      <c r="T23" t="s">
        <v>82</v>
      </c>
      <c r="V23" s="92"/>
      <c r="W23" s="93"/>
      <c r="X23" s="15"/>
    </row>
    <row r="24" spans="2:33" x14ac:dyDescent="0.25">
      <c r="R24" s="44" t="s">
        <v>139</v>
      </c>
      <c r="S24" t="s">
        <v>79</v>
      </c>
      <c r="T24" t="s">
        <v>83</v>
      </c>
      <c r="V24" s="42">
        <v>1000</v>
      </c>
      <c r="W24" t="s">
        <v>30</v>
      </c>
      <c r="AG24" s="40" t="s">
        <v>31</v>
      </c>
    </row>
    <row r="25" spans="2:33" x14ac:dyDescent="0.25">
      <c r="R25" s="44">
        <v>5</v>
      </c>
      <c r="S25" t="s">
        <v>79</v>
      </c>
      <c r="T25" t="s">
        <v>84</v>
      </c>
      <c r="W25">
        <f>+V24*3.785</f>
        <v>3785</v>
      </c>
      <c r="X25" t="s">
        <v>37</v>
      </c>
    </row>
    <row r="26" spans="2:33" x14ac:dyDescent="0.25">
      <c r="R26" s="44">
        <v>5</v>
      </c>
      <c r="S26" t="s">
        <v>79</v>
      </c>
      <c r="T26" t="s">
        <v>85</v>
      </c>
      <c r="V26" s="45">
        <v>1</v>
      </c>
      <c r="W26" t="s">
        <v>88</v>
      </c>
    </row>
    <row r="27" spans="2:33" x14ac:dyDescent="0.25">
      <c r="W27">
        <f>+V24*V26</f>
        <v>1000</v>
      </c>
      <c r="X27" t="s">
        <v>89</v>
      </c>
    </row>
    <row r="28" spans="2:33" x14ac:dyDescent="0.25">
      <c r="R28">
        <f>+SUM(R21:R26)*S20</f>
        <v>26</v>
      </c>
      <c r="S28" t="s">
        <v>79</v>
      </c>
      <c r="V28">
        <v>500</v>
      </c>
      <c r="W28" t="s">
        <v>29</v>
      </c>
      <c r="AG28" s="40" t="s">
        <v>32</v>
      </c>
    </row>
    <row r="29" spans="2:33" x14ac:dyDescent="0.25">
      <c r="W29" s="38">
        <f>+V28*3.785</f>
        <v>1892.5</v>
      </c>
      <c r="X29" t="s">
        <v>37</v>
      </c>
    </row>
    <row r="30" spans="2:33" x14ac:dyDescent="0.25">
      <c r="Z30" s="42"/>
    </row>
    <row r="32" spans="2:33" ht="15.75" thickBot="1" x14ac:dyDescent="0.3"/>
    <row r="33" spans="1:35" ht="15.75" customHeight="1" thickBot="1" x14ac:dyDescent="0.3">
      <c r="A33" s="1"/>
      <c r="Q33" s="1"/>
      <c r="R33" s="1"/>
      <c r="AI33" s="1"/>
    </row>
    <row r="34" spans="1:35" ht="15.75" customHeight="1" thickBot="1" x14ac:dyDescent="0.3">
      <c r="A34" s="1"/>
      <c r="B34" s="36" t="s">
        <v>9</v>
      </c>
      <c r="Q34" s="1"/>
      <c r="R34" s="1"/>
      <c r="S34" s="35" t="s">
        <v>114</v>
      </c>
      <c r="AA34" t="s">
        <v>27</v>
      </c>
      <c r="AB34" s="98" t="s">
        <v>96</v>
      </c>
      <c r="AC34" s="98" t="s">
        <v>97</v>
      </c>
      <c r="AF34">
        <f>+B4</f>
        <v>8760</v>
      </c>
      <c r="AI34" s="1"/>
    </row>
    <row r="35" spans="1:35" x14ac:dyDescent="0.25">
      <c r="Z35" t="s">
        <v>27</v>
      </c>
      <c r="AA35" t="s">
        <v>77</v>
      </c>
      <c r="AB35" s="98"/>
      <c r="AC35" s="98"/>
      <c r="AD35" s="47" t="s">
        <v>24</v>
      </c>
      <c r="AE35" s="47"/>
      <c r="AF35" s="47"/>
    </row>
    <row r="36" spans="1:35" x14ac:dyDescent="0.25">
      <c r="M36" s="40" t="s">
        <v>73</v>
      </c>
      <c r="S36" s="35"/>
      <c r="Z36" t="s">
        <v>128</v>
      </c>
      <c r="AA36" t="s">
        <v>28</v>
      </c>
      <c r="AB36" t="s">
        <v>38</v>
      </c>
      <c r="AC36" t="s">
        <v>38</v>
      </c>
      <c r="AD36" t="s">
        <v>38</v>
      </c>
      <c r="AE36" t="s">
        <v>91</v>
      </c>
      <c r="AF36" t="s">
        <v>28</v>
      </c>
      <c r="AG36">
        <f>+AG37*24</f>
        <v>11520</v>
      </c>
    </row>
    <row r="37" spans="1:35" x14ac:dyDescent="0.25">
      <c r="K37">
        <v>0.5</v>
      </c>
      <c r="L37" t="s">
        <v>71</v>
      </c>
      <c r="Y37" s="88" t="s">
        <v>13</v>
      </c>
      <c r="Z37" s="46">
        <v>0.06</v>
      </c>
      <c r="AA37" s="85">
        <f>+Z37*$C$5</f>
        <v>2102.4</v>
      </c>
      <c r="AB37" s="86">
        <f>(Z37*$B$2*2000*$S$45*$T$46+Z37*$B$2*2000*(1-$S$45)*$S$44)/2.204</f>
        <v>62.722323049001815</v>
      </c>
      <c r="AC37" s="86">
        <f>(Z37*$B$2*2000*(1-$S$45)*(1-$S$44))/2.204</f>
        <v>143.08529945553539</v>
      </c>
      <c r="AD37" s="86">
        <f>(Z37*$B$2*2000*$S$45*$V$46)/2.204</f>
        <v>11.978221415607985</v>
      </c>
      <c r="AE37" s="87">
        <f>+AD37*2.204</f>
        <v>26.400000000000002</v>
      </c>
      <c r="AF37" s="86">
        <f>+AE37*$AF$34/2000</f>
        <v>115.63200000000002</v>
      </c>
      <c r="AG37">
        <f>+AA37*2000/B4</f>
        <v>480</v>
      </c>
      <c r="AH37" s="89" t="s">
        <v>18</v>
      </c>
    </row>
    <row r="38" spans="1:35" x14ac:dyDescent="0.25">
      <c r="K38">
        <v>10.3</v>
      </c>
      <c r="L38" t="s">
        <v>72</v>
      </c>
      <c r="Y38" s="41" t="s">
        <v>16</v>
      </c>
      <c r="Z38" s="45">
        <v>8.2000000000000003E-2</v>
      </c>
      <c r="AA38" s="59">
        <f>+Z38*$C$5</f>
        <v>2873.28</v>
      </c>
      <c r="AB38" s="38">
        <f>(Z38*$B$2*2000*$S$45*$T$46+Z38*$B$2*2000*(1-$S$45)*$S$44)/2.204</f>
        <v>85.720508166969154</v>
      </c>
      <c r="AC38" s="38">
        <f>(Z38*$B$2*2000*(1-$S$45)*(1-$S$44))/2.204</f>
        <v>195.54990925589834</v>
      </c>
      <c r="AD38" s="38">
        <f>(Z38*$B$2*2000*$S$45*$V$46)/2.204</f>
        <v>16.370235934664247</v>
      </c>
      <c r="AE38">
        <f>+AD38*2.204</f>
        <v>36.080000000000005</v>
      </c>
      <c r="AF38" s="38">
        <f>+AE38*$AF$34/2000</f>
        <v>158.03040000000001</v>
      </c>
      <c r="AH38" s="89" t="s">
        <v>18</v>
      </c>
    </row>
    <row r="39" spans="1:35" x14ac:dyDescent="0.25">
      <c r="Y39" s="41" t="s">
        <v>12</v>
      </c>
      <c r="Z39" s="45">
        <v>0.11</v>
      </c>
      <c r="AA39" s="65">
        <f>+Z39*$C$5</f>
        <v>3854.4</v>
      </c>
      <c r="AB39" s="38">
        <f>(Z39*$B$2*2000*$S$45*$T$46+Z39*$B$2*2000*(1-$S$45)*$S$44)/2.204</f>
        <v>114.99092558983665</v>
      </c>
      <c r="AC39" s="38">
        <f>(Z39*$B$2*2000*(1-$S$45)*(1-$S$44))/2.204</f>
        <v>262.32304900181487</v>
      </c>
      <c r="AD39" s="38">
        <f>(Z39*$B$2*2000*$S$45*$V$46)/2.204</f>
        <v>21.960072595281307</v>
      </c>
      <c r="AE39">
        <f>+AD39*2.204</f>
        <v>48.400000000000006</v>
      </c>
      <c r="AF39" s="38">
        <f>+AE39*$AF$34/2000</f>
        <v>211.99200000000002</v>
      </c>
      <c r="AG39">
        <f>+AA39*2000/B4</f>
        <v>880</v>
      </c>
      <c r="AH39" s="89" t="s">
        <v>18</v>
      </c>
    </row>
    <row r="40" spans="1:35" x14ac:dyDescent="0.25">
      <c r="Y40" s="41" t="s">
        <v>15</v>
      </c>
      <c r="Z40" s="45">
        <v>0.05</v>
      </c>
      <c r="AA40" s="59">
        <f>+Z40*$C$5</f>
        <v>1752</v>
      </c>
      <c r="AB40" s="38">
        <f>(Z40*$B$2*2000*$S$45*$T$46+Z40*$B$2*2000*(1-$S$45)*$S$44)/2.204</f>
        <v>52.268602540834841</v>
      </c>
      <c r="AC40" s="38">
        <f>(Z40*$B$2*2000*(1-$S$45)*(1-$S$44))/2.204</f>
        <v>119.23774954627949</v>
      </c>
      <c r="AD40" s="38">
        <f>(Z40*$B$2*2000*$S$45*$V$46)/2.204</f>
        <v>9.9818511796733205</v>
      </c>
      <c r="AE40">
        <f>+AD40*2.204</f>
        <v>22</v>
      </c>
      <c r="AF40" s="38">
        <f>+AE40*$AF$34/2000</f>
        <v>96.36</v>
      </c>
      <c r="AH40" s="89" t="s">
        <v>17</v>
      </c>
    </row>
    <row r="41" spans="1:35" x14ac:dyDescent="0.25">
      <c r="Y41" s="41" t="s">
        <v>14</v>
      </c>
      <c r="Z41" s="45">
        <v>3.6999999999999998E-2</v>
      </c>
      <c r="AA41" s="59">
        <f>+Z41*$C$5</f>
        <v>1296.48</v>
      </c>
      <c r="AB41" s="38">
        <f>(Z41*$B$2*2000*$S$45*$T$46+Z41*$B$2*2000*(1-$S$45)*$S$44)/2.204</f>
        <v>38.678765880217789</v>
      </c>
      <c r="AC41" s="38">
        <f>(Z41*$B$2*2000*(1-$S$45)*(1-$S$44))/2.204</f>
        <v>88.235934664246827</v>
      </c>
      <c r="AD41" s="38">
        <f>(Z41*$B$2*2000*$S$45*$V$46)/2.204</f>
        <v>7.3865698729582574</v>
      </c>
      <c r="AE41">
        <f>+AD41*2.204</f>
        <v>16.28</v>
      </c>
      <c r="AF41" s="38">
        <f>+AE41*$AF$34/2000</f>
        <v>71.306400000000011</v>
      </c>
      <c r="AH41" s="89" t="s">
        <v>17</v>
      </c>
    </row>
    <row r="42" spans="1:35" ht="15.75" thickBot="1" x14ac:dyDescent="0.3">
      <c r="AF42" s="40"/>
    </row>
    <row r="43" spans="1:35" x14ac:dyDescent="0.25">
      <c r="H43" s="90" t="s">
        <v>5</v>
      </c>
      <c r="I43" s="91"/>
      <c r="Z43" s="90" t="s">
        <v>5</v>
      </c>
      <c r="AA43" s="91"/>
      <c r="AF43" s="40" t="s">
        <v>19</v>
      </c>
    </row>
    <row r="44" spans="1:35" ht="15.75" thickBot="1" x14ac:dyDescent="0.3">
      <c r="H44" s="92"/>
      <c r="I44" s="93"/>
      <c r="S44" s="45">
        <v>0.27</v>
      </c>
      <c r="T44" t="s">
        <v>26</v>
      </c>
      <c r="Z44" s="92"/>
      <c r="AA44" s="93"/>
      <c r="AF44" s="40" t="s">
        <v>21</v>
      </c>
    </row>
    <row r="45" spans="1:35" x14ac:dyDescent="0.25">
      <c r="S45" s="45">
        <v>0.1</v>
      </c>
      <c r="T45" t="s">
        <v>20</v>
      </c>
      <c r="AF45" s="40" t="s">
        <v>25</v>
      </c>
    </row>
    <row r="46" spans="1:35" ht="15.75" thickBot="1" x14ac:dyDescent="0.3">
      <c r="T46" s="45">
        <v>0.45</v>
      </c>
      <c r="U46" t="s">
        <v>23</v>
      </c>
      <c r="V46" s="45">
        <v>0.55000000000000004</v>
      </c>
      <c r="W46" t="s">
        <v>24</v>
      </c>
    </row>
    <row r="47" spans="1:35" ht="15.75" thickBot="1" x14ac:dyDescent="0.3">
      <c r="H47" s="90" t="s">
        <v>4</v>
      </c>
      <c r="I47" s="91"/>
      <c r="K47" s="90" t="s">
        <v>6</v>
      </c>
      <c r="L47" s="91"/>
      <c r="Z47" s="90" t="s">
        <v>4</v>
      </c>
      <c r="AA47" s="91"/>
      <c r="AC47" s="90" t="s">
        <v>6</v>
      </c>
      <c r="AD47" s="91"/>
    </row>
    <row r="48" spans="1:35" ht="16.5" thickTop="1" thickBot="1" x14ac:dyDescent="0.3">
      <c r="F48" s="28"/>
      <c r="G48" s="29"/>
      <c r="H48" s="92"/>
      <c r="I48" s="93"/>
      <c r="J48" s="29"/>
      <c r="K48" s="92"/>
      <c r="L48" s="93"/>
      <c r="W48" s="21"/>
      <c r="X48" s="22"/>
      <c r="Y48" s="22"/>
      <c r="Z48" s="92"/>
      <c r="AA48" s="93"/>
      <c r="AC48" s="92"/>
      <c r="AD48" s="93"/>
    </row>
    <row r="49" spans="2:33" x14ac:dyDescent="0.25">
      <c r="F49" s="30"/>
      <c r="I49" s="31"/>
      <c r="L49" s="31"/>
      <c r="W49" s="23"/>
      <c r="AA49" s="19"/>
    </row>
    <row r="50" spans="2:33" ht="15.75" thickBot="1" x14ac:dyDescent="0.3">
      <c r="F50" s="30"/>
      <c r="I50" s="32"/>
      <c r="L50" s="32"/>
      <c r="W50" s="23"/>
      <c r="AA50" s="20"/>
    </row>
    <row r="51" spans="2:33" ht="15.75" thickBot="1" x14ac:dyDescent="0.3">
      <c r="B51" s="94" t="s">
        <v>7</v>
      </c>
      <c r="C51" s="95"/>
      <c r="E51" s="90" t="s">
        <v>0</v>
      </c>
      <c r="F51" s="91"/>
      <c r="H51" s="90" t="s">
        <v>1</v>
      </c>
      <c r="I51" s="91"/>
      <c r="K51" s="90" t="s">
        <v>2</v>
      </c>
      <c r="L51" s="91"/>
      <c r="N51" s="94" t="s">
        <v>8</v>
      </c>
      <c r="O51" s="95"/>
      <c r="P51" s="66"/>
      <c r="S51" s="94" t="s">
        <v>7</v>
      </c>
      <c r="T51" s="95"/>
      <c r="U51" s="16"/>
      <c r="V51" s="90" t="s">
        <v>0</v>
      </c>
      <c r="W51" s="91"/>
      <c r="X51" s="12"/>
      <c r="Z51" s="90" t="s">
        <v>1</v>
      </c>
      <c r="AA51" s="91"/>
      <c r="AC51" s="90" t="s">
        <v>2</v>
      </c>
      <c r="AD51" s="91"/>
      <c r="AF51" s="94" t="s">
        <v>8</v>
      </c>
      <c r="AG51" s="95"/>
    </row>
    <row r="52" spans="2:33" ht="16.5" thickTop="1" thickBot="1" x14ac:dyDescent="0.3">
      <c r="B52" s="96"/>
      <c r="C52" s="97"/>
      <c r="E52" s="92"/>
      <c r="F52" s="93"/>
      <c r="H52" s="92"/>
      <c r="I52" s="93"/>
      <c r="K52" s="92"/>
      <c r="L52" s="93"/>
      <c r="N52" s="96"/>
      <c r="O52" s="97"/>
      <c r="P52" s="66"/>
      <c r="S52" s="96"/>
      <c r="T52" s="97"/>
      <c r="V52" s="92"/>
      <c r="W52" s="93"/>
      <c r="X52" s="12"/>
      <c r="Z52" s="92"/>
      <c r="AA52" s="93"/>
      <c r="AC52" s="92"/>
      <c r="AD52" s="93"/>
      <c r="AF52" s="96"/>
      <c r="AG52" s="97"/>
    </row>
    <row r="53" spans="2:33" x14ac:dyDescent="0.25">
      <c r="V53" s="17"/>
      <c r="Z53" s="24"/>
    </row>
    <row r="54" spans="2:33" ht="15.75" thickBot="1" x14ac:dyDescent="0.3">
      <c r="V54" s="18"/>
      <c r="Z54" s="24"/>
    </row>
    <row r="55" spans="2:33" ht="15.75" thickBot="1" x14ac:dyDescent="0.3">
      <c r="E55" s="90" t="s">
        <v>3</v>
      </c>
      <c r="F55" s="91"/>
      <c r="V55" s="90" t="s">
        <v>3</v>
      </c>
      <c r="W55" s="91"/>
      <c r="X55" s="25"/>
      <c r="Y55" s="26"/>
      <c r="Z55" s="27"/>
      <c r="AE55" t="s">
        <v>101</v>
      </c>
      <c r="AF55" t="s">
        <v>102</v>
      </c>
    </row>
    <row r="56" spans="2:33" ht="16.5" thickTop="1" thickBot="1" x14ac:dyDescent="0.3">
      <c r="E56" s="92"/>
      <c r="F56" s="93"/>
      <c r="V56" s="92"/>
      <c r="W56" s="93"/>
      <c r="X56" s="12"/>
      <c r="AE56" t="s">
        <v>95</v>
      </c>
      <c r="AF56" t="s">
        <v>103</v>
      </c>
    </row>
    <row r="57" spans="2:33" x14ac:dyDescent="0.25">
      <c r="B57" t="s">
        <v>48</v>
      </c>
      <c r="D57" s="44">
        <v>140</v>
      </c>
      <c r="E57" t="s">
        <v>50</v>
      </c>
      <c r="AC57" t="s">
        <v>23</v>
      </c>
      <c r="AD57" s="45">
        <v>0.49</v>
      </c>
      <c r="AE57">
        <v>1.0656000000000001</v>
      </c>
      <c r="AF57">
        <v>138</v>
      </c>
      <c r="AG57" s="84">
        <f>+AF57/(AF57+1000)</f>
        <v>0.12126537785588752</v>
      </c>
    </row>
    <row r="58" spans="2:33" x14ac:dyDescent="0.25">
      <c r="B58" s="54" t="s">
        <v>53</v>
      </c>
      <c r="C58" s="55" t="s">
        <v>54</v>
      </c>
      <c r="D58" s="56" t="s">
        <v>52</v>
      </c>
      <c r="E58" s="56"/>
      <c r="F58" s="57" t="s">
        <v>61</v>
      </c>
      <c r="G58" s="100" t="s">
        <v>49</v>
      </c>
      <c r="H58" s="100"/>
      <c r="I58" s="56" t="s">
        <v>55</v>
      </c>
      <c r="J58" s="56"/>
      <c r="K58" s="58"/>
      <c r="AC58" t="s">
        <v>93</v>
      </c>
      <c r="AD58" s="45">
        <v>0.45</v>
      </c>
      <c r="AE58">
        <v>0.97499999999999998</v>
      </c>
      <c r="AF58">
        <v>47.1</v>
      </c>
      <c r="AG58" s="84">
        <f>+AF58/(AF58+1000)</f>
        <v>4.4981377136854177E-2</v>
      </c>
    </row>
    <row r="59" spans="2:33" x14ac:dyDescent="0.25">
      <c r="B59" s="50" t="s">
        <v>56</v>
      </c>
      <c r="C59" s="48" t="s">
        <v>57</v>
      </c>
      <c r="D59" t="s">
        <v>24</v>
      </c>
      <c r="F59" s="48">
        <v>60</v>
      </c>
      <c r="G59" s="99">
        <v>0.1</v>
      </c>
      <c r="H59" s="99"/>
      <c r="I59">
        <f>+F59*D57*G59</f>
        <v>840</v>
      </c>
      <c r="K59" s="51"/>
      <c r="N59" s="39" t="s">
        <v>66</v>
      </c>
      <c r="AC59" t="s">
        <v>94</v>
      </c>
      <c r="AD59" s="45">
        <v>0.01</v>
      </c>
      <c r="AE59">
        <v>1</v>
      </c>
      <c r="AF59">
        <v>18.8</v>
      </c>
      <c r="AG59" s="84">
        <f>+AF59/(AF59+1000)</f>
        <v>1.845308205732234E-2</v>
      </c>
    </row>
    <row r="60" spans="2:33" x14ac:dyDescent="0.25">
      <c r="B60" s="52" t="s">
        <v>59</v>
      </c>
      <c r="C60" s="49" t="s">
        <v>60</v>
      </c>
      <c r="D60" s="47" t="s">
        <v>58</v>
      </c>
      <c r="E60" s="47"/>
      <c r="F60" s="49">
        <v>30</v>
      </c>
      <c r="G60" s="101">
        <v>0.25</v>
      </c>
      <c r="H60" s="101"/>
      <c r="I60" s="47">
        <f>+F60*D57*G60</f>
        <v>1050</v>
      </c>
      <c r="J60" s="47"/>
      <c r="K60" s="53"/>
      <c r="N60" s="39" t="s">
        <v>66</v>
      </c>
      <c r="S60">
        <f>+V24*V26</f>
        <v>1000</v>
      </c>
      <c r="T60" t="s">
        <v>126</v>
      </c>
      <c r="Z60">
        <f>+S60*3.785</f>
        <v>3785</v>
      </c>
      <c r="AA60" t="s">
        <v>37</v>
      </c>
      <c r="AE60">
        <f>+AE57*AD57+AE58*AD58+AE59*AD59</f>
        <v>0.97089400000000003</v>
      </c>
    </row>
    <row r="61" spans="2:33" x14ac:dyDescent="0.25">
      <c r="B61" s="47" t="s">
        <v>51</v>
      </c>
      <c r="D61" s="47"/>
      <c r="E61" t="s">
        <v>62</v>
      </c>
      <c r="F61" t="s">
        <v>63</v>
      </c>
      <c r="H61" s="60" t="s">
        <v>65</v>
      </c>
      <c r="I61" s="61"/>
      <c r="J61" s="61" t="s">
        <v>64</v>
      </c>
      <c r="K61" s="62"/>
      <c r="T61" s="38">
        <f>+$Z$60*AG57</f>
        <v>458.98945518453428</v>
      </c>
      <c r="U61" t="s">
        <v>104</v>
      </c>
      <c r="W61" s="38">
        <f>+T61/AE57</f>
        <v>430.73334758308391</v>
      </c>
      <c r="X61" t="s">
        <v>37</v>
      </c>
      <c r="AF61" s="38"/>
    </row>
    <row r="62" spans="2:33" x14ac:dyDescent="0.25">
      <c r="B62" t="str">
        <f>+Y37</f>
        <v>18650 (cell basis)</v>
      </c>
      <c r="D62" s="37"/>
      <c r="E62" s="38">
        <f>+$I$60/(AB37*2.204)</f>
        <v>7.5954861111111107</v>
      </c>
      <c r="F62" s="38">
        <f>+$I$59/(AD37*2.204)</f>
        <v>31.818181818181817</v>
      </c>
      <c r="H62" s="63">
        <f>(AB37*2.204*$B$4/2000)/$G$60</f>
        <v>2421.9648000000002</v>
      </c>
      <c r="J62" s="104">
        <f>(AD37*2.204*$B$4/2000)/$G$59</f>
        <v>1156.3200000000002</v>
      </c>
      <c r="K62" s="105"/>
      <c r="T62" s="38">
        <f>+$Z$60*AG58</f>
        <v>170.25451246299306</v>
      </c>
      <c r="U62" t="s">
        <v>105</v>
      </c>
      <c r="W62" s="38">
        <f t="shared" ref="W62:W63" si="0">+T62/AE58</f>
        <v>174.62001278255698</v>
      </c>
      <c r="X62" t="s">
        <v>37</v>
      </c>
      <c r="AB62" s="38">
        <f>+$S$90*AD57</f>
        <v>72.213647147075108</v>
      </c>
      <c r="AC62" t="s">
        <v>108</v>
      </c>
      <c r="AD62" s="38">
        <f>+AB62*8</f>
        <v>577.70917717660086</v>
      </c>
      <c r="AE62" t="s">
        <v>111</v>
      </c>
      <c r="AF62" s="38"/>
    </row>
    <row r="63" spans="2:33" x14ac:dyDescent="0.25">
      <c r="B63" t="str">
        <f>+Y38</f>
        <v>EV (pack basis)</v>
      </c>
      <c r="D63" s="37"/>
      <c r="E63" s="38">
        <f>+$I$60/(AB38*2.204)</f>
        <v>5.5576727642276413</v>
      </c>
      <c r="F63" s="38">
        <f>+$I$59/(AD38*2.204)</f>
        <v>23.281596452328156</v>
      </c>
      <c r="H63" s="63">
        <f>(AB38*2.204*$B$4/2000)/$G$60</f>
        <v>3310.0185600000004</v>
      </c>
      <c r="J63" s="104">
        <f>(AD38*2.204*$B$4/2000)/$G$59</f>
        <v>1580.3040000000001</v>
      </c>
      <c r="K63" s="105"/>
      <c r="T63" s="38">
        <f>+$Z$60*AG59</f>
        <v>69.844915586965058</v>
      </c>
      <c r="U63" t="s">
        <v>106</v>
      </c>
      <c r="W63" s="38">
        <f t="shared" si="0"/>
        <v>69.844915586965058</v>
      </c>
      <c r="X63" t="s">
        <v>37</v>
      </c>
      <c r="AB63" s="38">
        <f>+$S$90*AD58</f>
        <v>66.318655543232239</v>
      </c>
      <c r="AC63" t="s">
        <v>109</v>
      </c>
      <c r="AD63" s="38">
        <f t="shared" ref="AD63:AD64" si="1">+AB63*8</f>
        <v>530.54924434585791</v>
      </c>
      <c r="AE63" t="s">
        <v>112</v>
      </c>
      <c r="AF63" s="38"/>
    </row>
    <row r="64" spans="2:33" x14ac:dyDescent="0.25">
      <c r="B64" t="str">
        <f>+Y39</f>
        <v>EV Pouch (cell basis)</v>
      </c>
      <c r="E64" s="38">
        <f>+$I$60/(AB39*2.204)</f>
        <v>4.1429924242424239</v>
      </c>
      <c r="F64" s="38">
        <f>+$I$59/(AD39*2.204)</f>
        <v>17.355371900826444</v>
      </c>
      <c r="H64" s="63">
        <f>(AB39*2.204*$B$4/2000)/$G$60</f>
        <v>4440.2687999999998</v>
      </c>
      <c r="J64" s="104">
        <f>(AD39*2.204*$B$4/2000)/$G$59</f>
        <v>2119.92</v>
      </c>
      <c r="K64" s="105"/>
      <c r="T64" s="38">
        <f>+Z60-W64</f>
        <v>3109.8017240473941</v>
      </c>
      <c r="U64" t="s">
        <v>127</v>
      </c>
      <c r="W64" s="38">
        <f>+SUM(W61:W63)</f>
        <v>675.19827595260597</v>
      </c>
      <c r="X64" t="s">
        <v>107</v>
      </c>
      <c r="AB64" s="38">
        <f>+$S$90*AD59</f>
        <v>1.4737479009607166</v>
      </c>
      <c r="AC64" t="s">
        <v>110</v>
      </c>
      <c r="AD64" s="38">
        <f t="shared" si="1"/>
        <v>11.789983207685733</v>
      </c>
      <c r="AE64" t="s">
        <v>113</v>
      </c>
      <c r="AF64" s="38"/>
    </row>
    <row r="65" spans="1:35" ht="15.75" thickBot="1" x14ac:dyDescent="0.3">
      <c r="B65" t="str">
        <f>+Y40</f>
        <v>Laptop (battery basis)</v>
      </c>
      <c r="E65" s="38">
        <f>+$I$60/(AB40*2.204)</f>
        <v>9.1145833333333339</v>
      </c>
      <c r="F65" s="38">
        <f>+$I$59/(AD40*2.204)</f>
        <v>38.18181818181818</v>
      </c>
      <c r="H65" s="63">
        <f>(AB40*2.204*$B$4/2000)/$G$60</f>
        <v>2018.3040000000001</v>
      </c>
      <c r="J65" s="104">
        <f>(AD40*2.204*$B$4/2000)/$G$59</f>
        <v>963.59999999999991</v>
      </c>
      <c r="K65" s="105"/>
      <c r="T65" s="65"/>
      <c r="U65">
        <f>+T64/3.785</f>
        <v>821.61208032956245</v>
      </c>
      <c r="V65" t="s">
        <v>89</v>
      </c>
      <c r="W65" s="38">
        <f>+W64/3.785</f>
        <v>178.3879196704375</v>
      </c>
    </row>
    <row r="66" spans="1:35" ht="15.75" thickBot="1" x14ac:dyDescent="0.3">
      <c r="A66" s="1"/>
      <c r="B66" t="str">
        <f>+Y41</f>
        <v>Powertool (battery basis)</v>
      </c>
      <c r="E66" s="38">
        <f>+$I$60/(AB41*2.204)</f>
        <v>12.317004504504501</v>
      </c>
      <c r="F66" s="38">
        <f>+$I$59/(AD41*2.204)</f>
        <v>51.597051597051596</v>
      </c>
      <c r="H66" s="64">
        <f>(AB41*2.204*$B$4/2000)/$G$60</f>
        <v>1493.5449600000004</v>
      </c>
      <c r="I66" s="47"/>
      <c r="J66" s="102">
        <f>(AD41*2.204*$B$4/2000)/$G$59</f>
        <v>713.06400000000008</v>
      </c>
      <c r="K66" s="103"/>
      <c r="Q66" s="1"/>
      <c r="R66" s="1"/>
      <c r="AI66" s="1"/>
    </row>
    <row r="67" spans="1:35" ht="15.75" thickBot="1" x14ac:dyDescent="0.3">
      <c r="R67" s="1"/>
      <c r="S67" t="s">
        <v>3</v>
      </c>
      <c r="AI67" s="1"/>
    </row>
    <row r="68" spans="1:35" ht="15.75" thickBot="1" x14ac:dyDescent="0.3">
      <c r="Y68" s="70"/>
      <c r="Z68" s="106" t="s">
        <v>117</v>
      </c>
      <c r="AA68" s="107"/>
      <c r="AC68" s="110" t="s">
        <v>119</v>
      </c>
      <c r="AD68" s="111"/>
    </row>
    <row r="69" spans="1:35" ht="15.75" thickTop="1" x14ac:dyDescent="0.25">
      <c r="Y69" s="13"/>
      <c r="Z69" s="108"/>
      <c r="AA69" s="109"/>
      <c r="AB69" s="71"/>
      <c r="AC69" s="112"/>
      <c r="AD69" s="113"/>
      <c r="AE69" s="75"/>
      <c r="AF69" s="73"/>
    </row>
    <row r="70" spans="1:35" x14ac:dyDescent="0.25">
      <c r="Y70" s="14"/>
      <c r="AF70" s="74"/>
    </row>
    <row r="71" spans="1:35" ht="15.75" thickBot="1" x14ac:dyDescent="0.3">
      <c r="Y71" s="69"/>
      <c r="Z71" s="106" t="s">
        <v>117</v>
      </c>
      <c r="AA71" s="107"/>
      <c r="AC71" s="110" t="s">
        <v>119</v>
      </c>
      <c r="AD71" s="111"/>
      <c r="AF71" s="74"/>
    </row>
    <row r="72" spans="1:35" ht="15.75" thickTop="1" x14ac:dyDescent="0.25">
      <c r="Y72" s="14"/>
      <c r="Z72" s="108"/>
      <c r="AA72" s="109"/>
      <c r="AB72" s="71"/>
      <c r="AC72" s="112"/>
      <c r="AD72" s="113"/>
      <c r="AE72" s="75"/>
      <c r="AF72" s="73"/>
    </row>
    <row r="73" spans="1:35" x14ac:dyDescent="0.25">
      <c r="Y73" s="14"/>
      <c r="AF73" s="74"/>
    </row>
    <row r="74" spans="1:35" ht="15.75" thickBot="1" x14ac:dyDescent="0.3">
      <c r="Y74" s="69"/>
      <c r="Z74" s="106" t="s">
        <v>118</v>
      </c>
      <c r="AA74" s="107"/>
      <c r="AC74" s="106" t="s">
        <v>120</v>
      </c>
      <c r="AD74" s="107"/>
      <c r="AF74" s="74"/>
    </row>
    <row r="75" spans="1:35" ht="16.5" thickTop="1" thickBot="1" x14ac:dyDescent="0.3">
      <c r="S75" s="106" t="s">
        <v>115</v>
      </c>
      <c r="T75" s="107"/>
      <c r="U75" s="67"/>
      <c r="V75" s="106" t="s">
        <v>116</v>
      </c>
      <c r="W75" s="107"/>
      <c r="X75" s="68"/>
      <c r="Y75" s="14"/>
      <c r="Z75" s="108"/>
      <c r="AA75" s="109"/>
      <c r="AB75" s="71"/>
      <c r="AC75" s="108"/>
      <c r="AD75" s="109"/>
      <c r="AE75" s="75"/>
      <c r="AF75" s="73"/>
    </row>
    <row r="76" spans="1:35" ht="15.75" thickTop="1" x14ac:dyDescent="0.25">
      <c r="S76" s="108"/>
      <c r="T76" s="109"/>
      <c r="V76" s="108"/>
      <c r="W76" s="109"/>
      <c r="Y76" s="14"/>
      <c r="AF76" s="74"/>
    </row>
    <row r="77" spans="1:35" ht="15.75" thickBot="1" x14ac:dyDescent="0.3">
      <c r="T77" s="82"/>
      <c r="U77" s="79"/>
      <c r="Y77" s="69"/>
      <c r="Z77" s="106" t="s">
        <v>118</v>
      </c>
      <c r="AA77" s="107"/>
      <c r="AC77" s="106" t="s">
        <v>120</v>
      </c>
      <c r="AD77" s="107"/>
      <c r="AF77" s="74"/>
    </row>
    <row r="78" spans="1:35" ht="16.5" thickTop="1" thickBot="1" x14ac:dyDescent="0.3">
      <c r="T78" s="79"/>
      <c r="U78" s="80"/>
      <c r="Y78" s="14"/>
      <c r="Z78" s="108"/>
      <c r="AA78" s="109"/>
      <c r="AB78" s="71"/>
      <c r="AC78" s="108"/>
      <c r="AD78" s="109"/>
      <c r="AE78" s="75"/>
      <c r="AF78" s="73"/>
    </row>
    <row r="79" spans="1:35" x14ac:dyDescent="0.25">
      <c r="T79" s="79"/>
      <c r="U79" s="72"/>
      <c r="V79" s="73"/>
      <c r="Y79" s="14"/>
      <c r="AF79" s="74"/>
    </row>
    <row r="80" spans="1:35" ht="15.75" thickBot="1" x14ac:dyDescent="0.3">
      <c r="T80" s="79"/>
      <c r="V80" s="74"/>
      <c r="Y80" s="69"/>
      <c r="Z80" s="106" t="s">
        <v>84</v>
      </c>
      <c r="AA80" s="107"/>
      <c r="AC80" s="110" t="s">
        <v>119</v>
      </c>
      <c r="AD80" s="111"/>
      <c r="AF80" s="74"/>
    </row>
    <row r="81" spans="19:33" ht="15.75" thickTop="1" x14ac:dyDescent="0.25">
      <c r="T81" s="79"/>
      <c r="V81" s="74"/>
      <c r="Y81" s="14"/>
      <c r="Z81" s="108"/>
      <c r="AA81" s="109"/>
      <c r="AB81" s="71"/>
      <c r="AC81" s="112"/>
      <c r="AD81" s="113"/>
      <c r="AE81" s="75"/>
      <c r="AF81" s="73"/>
    </row>
    <row r="82" spans="19:33" x14ac:dyDescent="0.25">
      <c r="T82" s="83"/>
      <c r="V82" s="74"/>
      <c r="Y82" s="14"/>
      <c r="AF82" s="74"/>
    </row>
    <row r="83" spans="19:33" ht="15.75" thickBot="1" x14ac:dyDescent="0.3">
      <c r="S83" s="110" t="s">
        <v>124</v>
      </c>
      <c r="T83" s="111"/>
      <c r="V83" s="74"/>
      <c r="Y83" s="69"/>
      <c r="Z83" s="106" t="s">
        <v>84</v>
      </c>
      <c r="AA83" s="107"/>
      <c r="AC83" s="110" t="s">
        <v>119</v>
      </c>
      <c r="AD83" s="111"/>
      <c r="AF83" s="110" t="s">
        <v>121</v>
      </c>
      <c r="AG83" s="111"/>
    </row>
    <row r="84" spans="19:33" ht="15.75" thickTop="1" x14ac:dyDescent="0.25">
      <c r="S84" s="112"/>
      <c r="T84" s="113"/>
      <c r="V84" s="74"/>
      <c r="Z84" s="108"/>
      <c r="AA84" s="109"/>
      <c r="AB84" s="71"/>
      <c r="AC84" s="112"/>
      <c r="AD84" s="113"/>
      <c r="AE84" s="75"/>
      <c r="AF84" s="112"/>
      <c r="AG84" s="113"/>
    </row>
    <row r="85" spans="19:33" x14ac:dyDescent="0.25">
      <c r="V85" s="74"/>
      <c r="AF85" s="76"/>
    </row>
    <row r="86" spans="19:33" x14ac:dyDescent="0.25">
      <c r="S86" t="s">
        <v>78</v>
      </c>
      <c r="V86" s="74"/>
      <c r="AF86" s="77"/>
    </row>
    <row r="87" spans="19:33" ht="15.75" thickBot="1" x14ac:dyDescent="0.3">
      <c r="S87" s="38">
        <f>+T64+W64</f>
        <v>3785</v>
      </c>
      <c r="T87" t="s">
        <v>125</v>
      </c>
      <c r="V87" s="74"/>
      <c r="W87" s="81"/>
      <c r="X87" s="81"/>
      <c r="Y87" s="81"/>
      <c r="Z87" s="81"/>
      <c r="AA87" s="81"/>
      <c r="AB87" s="81"/>
      <c r="AC87" s="110" t="s">
        <v>123</v>
      </c>
      <c r="AD87" s="111"/>
      <c r="AE87" s="78"/>
      <c r="AF87" s="110" t="s">
        <v>122</v>
      </c>
      <c r="AG87" s="111"/>
    </row>
    <row r="88" spans="19:33" x14ac:dyDescent="0.25">
      <c r="T88" s="38">
        <f>+S87/3.785</f>
        <v>1000</v>
      </c>
      <c r="U88" t="s">
        <v>86</v>
      </c>
      <c r="AC88" s="112"/>
      <c r="AD88" s="113"/>
      <c r="AF88" s="112"/>
      <c r="AG88" s="113"/>
    </row>
    <row r="89" spans="19:33" x14ac:dyDescent="0.25">
      <c r="S89" t="s">
        <v>92</v>
      </c>
    </row>
    <row r="90" spans="19:33" x14ac:dyDescent="0.25">
      <c r="S90" s="38">
        <f>(VLOOKUP(T91,basis,5,FALSE))/AE60</f>
        <v>147.37479009607165</v>
      </c>
      <c r="T90" t="s">
        <v>98</v>
      </c>
      <c r="AC90" t="s">
        <v>130</v>
      </c>
    </row>
    <row r="91" spans="19:33" x14ac:dyDescent="0.25">
      <c r="T91" s="44" t="s">
        <v>13</v>
      </c>
      <c r="AC91" t="s">
        <v>23</v>
      </c>
      <c r="AD91" s="38">
        <f>+W61/AB62</f>
        <v>5.9647083979268318</v>
      </c>
      <c r="AE91" t="s">
        <v>131</v>
      </c>
    </row>
    <row r="92" spans="19:33" x14ac:dyDescent="0.25">
      <c r="S92" s="38">
        <f>+B6*S90/3.785</f>
        <v>311.49229082392952</v>
      </c>
      <c r="T92" t="s">
        <v>100</v>
      </c>
      <c r="AC92" t="s">
        <v>93</v>
      </c>
      <c r="AD92" s="38">
        <f>+W62/AB63</f>
        <v>2.6330451266269193</v>
      </c>
      <c r="AE92" t="s">
        <v>131</v>
      </c>
    </row>
    <row r="93" spans="19:33" x14ac:dyDescent="0.25">
      <c r="AC93" t="s">
        <v>94</v>
      </c>
      <c r="AD93" s="38">
        <f>+W63/AB64</f>
        <v>47.392715905776072</v>
      </c>
      <c r="AE93" t="s">
        <v>131</v>
      </c>
    </row>
    <row r="94" spans="19:33" x14ac:dyDescent="0.25">
      <c r="S94" s="38">
        <f>+S92+T88</f>
        <v>1311.4922908239296</v>
      </c>
      <c r="T94" t="s">
        <v>129</v>
      </c>
    </row>
    <row r="99" spans="18:35" ht="15.75" thickBot="1" x14ac:dyDescent="0.3"/>
    <row r="100" spans="18:35" ht="15.75" thickBot="1" x14ac:dyDescent="0.3">
      <c r="R100" s="1"/>
      <c r="AI100" s="1"/>
    </row>
  </sheetData>
  <sortState xmlns:xlrd2="http://schemas.microsoft.com/office/spreadsheetml/2017/richdata2" ref="S37:AC41">
    <sortCondition ref="T37:T41"/>
  </sortState>
  <mergeCells count="64">
    <mergeCell ref="AF83:AG84"/>
    <mergeCell ref="AF87:AG88"/>
    <mergeCell ref="AC87:AD88"/>
    <mergeCell ref="S83:T84"/>
    <mergeCell ref="Z77:AA78"/>
    <mergeCell ref="Z80:AA81"/>
    <mergeCell ref="Z83:AA84"/>
    <mergeCell ref="AC83:AD84"/>
    <mergeCell ref="AC68:AD69"/>
    <mergeCell ref="AC71:AD72"/>
    <mergeCell ref="AC74:AD75"/>
    <mergeCell ref="AC77:AD78"/>
    <mergeCell ref="AC80:AD81"/>
    <mergeCell ref="S75:T76"/>
    <mergeCell ref="V75:W76"/>
    <mergeCell ref="Z68:AA69"/>
    <mergeCell ref="Z71:AA72"/>
    <mergeCell ref="Z74:AA75"/>
    <mergeCell ref="J66:K66"/>
    <mergeCell ref="J62:K62"/>
    <mergeCell ref="J64:K64"/>
    <mergeCell ref="J65:K65"/>
    <mergeCell ref="J63:K63"/>
    <mergeCell ref="G59:H59"/>
    <mergeCell ref="G58:H58"/>
    <mergeCell ref="G60:H60"/>
    <mergeCell ref="V55:W56"/>
    <mergeCell ref="S51:T52"/>
    <mergeCell ref="V51:W52"/>
    <mergeCell ref="E55:F56"/>
    <mergeCell ref="H10:I11"/>
    <mergeCell ref="E22:F23"/>
    <mergeCell ref="N18:O19"/>
    <mergeCell ref="H43:I44"/>
    <mergeCell ref="H47:I48"/>
    <mergeCell ref="K47:L48"/>
    <mergeCell ref="E18:F19"/>
    <mergeCell ref="H18:I19"/>
    <mergeCell ref="K18:L19"/>
    <mergeCell ref="H14:I15"/>
    <mergeCell ref="K14:L15"/>
    <mergeCell ref="S18:T19"/>
    <mergeCell ref="V18:W19"/>
    <mergeCell ref="Z18:AA19"/>
    <mergeCell ref="AC18:AD19"/>
    <mergeCell ref="B51:C52"/>
    <mergeCell ref="E51:F52"/>
    <mergeCell ref="H51:I52"/>
    <mergeCell ref="K51:L52"/>
    <mergeCell ref="N51:O52"/>
    <mergeCell ref="B18:C19"/>
    <mergeCell ref="Z51:AA52"/>
    <mergeCell ref="V22:W23"/>
    <mergeCell ref="Z43:AA44"/>
    <mergeCell ref="Z47:AA48"/>
    <mergeCell ref="AC47:AD48"/>
    <mergeCell ref="AC51:AD52"/>
    <mergeCell ref="AF51:AG52"/>
    <mergeCell ref="AF18:AG19"/>
    <mergeCell ref="Z10:AA11"/>
    <mergeCell ref="Z14:AA15"/>
    <mergeCell ref="AC14:AD15"/>
    <mergeCell ref="AB34:AB35"/>
    <mergeCell ref="AC34:AC35"/>
  </mergeCells>
  <phoneticPr fontId="13" type="noConversion"/>
  <dataValidations count="1">
    <dataValidation type="list" allowBlank="1" showInputMessage="1" showErrorMessage="1" sqref="T91" xr:uid="{C51A4516-16B9-4AB9-B270-737504B6B7FF}">
      <formula1>$Y$37:$Y$41</formula1>
    </dataValidation>
  </dataValidation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3C844-8D81-4340-8541-16AD6E9D2B61}">
  <dimension ref="B2"/>
  <sheetViews>
    <sheetView workbookViewId="0">
      <selection activeCell="B3" sqref="B3"/>
    </sheetView>
  </sheetViews>
  <sheetFormatPr defaultRowHeight="15" x14ac:dyDescent="0.25"/>
  <sheetData>
    <row r="2" spans="2:2" x14ac:dyDescent="0.25">
      <c r="B2" t="s">
        <v>132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4410BBF9B469C04A8839023F31F81677" ma:contentTypeVersion="48" ma:contentTypeDescription="Create a new document." ma:contentTypeScope="" ma:versionID="48967ebc6294665f16944adef16c4274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3942af4b-a512-4340-9f78-24c2f9d18426" targetNamespace="http://schemas.microsoft.com/office/2006/metadata/properties" ma:root="true" ma:fieldsID="0c87bba94176260aaa8edec2cd6c40d4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3942af4b-a512-4340-9f78-24c2f9d18426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KeyPoints" minOccurs="0"/>
                <xsd:element ref="ns6:MediaServiceKeyPoints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6:MediaServiceDateTaken" minOccurs="0"/>
                <xsd:element ref="ns6:MediaServiceLocation" minOccurs="0"/>
                <xsd:element ref="ns6:lcf76f155ced4ddcb4097134ff3c332f" minOccurs="0"/>
                <xsd:element ref="ns2:SharedWithUsers" minOccurs="0"/>
                <xsd:element ref="ns2:SharedWithDetails" minOccurs="0"/>
                <xsd:element ref="ns6:MediaLengthInSeconds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24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914;#To be confirmed|848d856d-b418-408d-977a-0b756acaad6b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686acb92-712c-431f-9ed6-9eba693c6711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86acb92-712c-431f-9ed6-9eba693c6711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42af4b-a512-4340-9f78-24c2f9d184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5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52" nillable="true" ma:displayName="Tags" ma:internalName="MediaServiceAutoTags" ma:readOnly="true">
      <xsd:simpleType>
        <xsd:restriction base="dms:Text"/>
      </xsd:simpleType>
    </xsd:element>
    <xsd:element name="MediaServiceGenerationTime" ma:index="5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5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5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59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6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6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2023-09-19T23:00:00+00:00</EAReceivedDate>
    <c52c737aaa794145b5e1ab0b33580095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PermitNumber xmlns="eebef177-55b5-4448-a5fb-28ea454417ee">epr-db3704fg</PermitNumber>
    <lcf76f155ced4ddcb4097134ff3c332f xmlns="3942af4b-a512-4340-9f78-24c2f9d18426">
      <Terms xmlns="http://schemas.microsoft.com/office/infopath/2007/PartnerControls"/>
    </lcf76f155ced4ddcb4097134ff3c332f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Ecobat Solutions UK Limited </Customer_x002f_OperatorName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>2023-09-19T23:00:00+00:00</DocumentDate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EPRNumber xmlns="eebef177-55b5-4448-a5fb-28ea454417ee">EPR/DB3704FG</EPRNumber>
    <ed3cfd1978f244c4af5dc9d642a18018 xmlns="8595a0ec-c146-4eeb-925a-270f4bc4be63">
      <Terms xmlns="http://schemas.microsoft.com/office/infopath/2007/PartnerControls"/>
    </ed3cfd1978f244c4af5dc9d642a18018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WS10 8JR</FacilityAddressPostcode>
    <TaxCatchAll xmlns="662745e8-e224-48e8-a2e3-254862b8c2f5">
      <Value>425</Value>
      <Value>25</Value>
      <Value>885</Value>
      <Value>8</Value>
      <Value>672</Value>
    </TaxCatchAll>
    <ExternalAuthor xmlns="eebef177-55b5-4448-a5fb-28ea454417ee"/>
    <SiteName xmlns="eebef177-55b5-4448-a5fb-28ea454417ee">Crescent Works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ga477587807b4e8dbd9d142e03c014fa xmlns="8595a0ec-c146-4eeb-925a-270f4bc4be63">
      <Terms xmlns="http://schemas.microsoft.com/office/infopath/2007/PartnerControls"/>
    </ga477587807b4e8dbd9d142e03c014fa>
    <FacilityAddress xmlns="eebef177-55b5-4448-a5fb-28ea454417ee">Crescent Works Willenhall Road Darlaston Walsall West Midlands WS10 8JR</FacilityAddress>
  </documentManagement>
</p:properties>
</file>

<file path=customXml/itemProps1.xml><?xml version="1.0" encoding="utf-8"?>
<ds:datastoreItem xmlns:ds="http://schemas.openxmlformats.org/officeDocument/2006/customXml" ds:itemID="{0337D3D2-8249-4C3E-A956-C43C2BC7AB68}"/>
</file>

<file path=customXml/itemProps2.xml><?xml version="1.0" encoding="utf-8"?>
<ds:datastoreItem xmlns:ds="http://schemas.openxmlformats.org/officeDocument/2006/customXml" ds:itemID="{1C93C786-8C7C-4401-AE70-DD58F9BB3ABF}"/>
</file>

<file path=customXml/itemProps3.xml><?xml version="1.0" encoding="utf-8"?>
<ds:datastoreItem xmlns:ds="http://schemas.openxmlformats.org/officeDocument/2006/customXml" ds:itemID="{AA145DDD-B01A-4B51-992A-57EC08C624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basis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Pelletier</dc:creator>
  <cp:lastModifiedBy>Colin Pelletier</cp:lastModifiedBy>
  <cp:lastPrinted>2023-03-20T21:31:56Z</cp:lastPrinted>
  <dcterms:created xsi:type="dcterms:W3CDTF">2023-03-10T22:33:49Z</dcterms:created>
  <dcterms:modified xsi:type="dcterms:W3CDTF">2023-09-14T15:13:28Z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0x0101000E9AD557692E154F9D2697C8C6432F76004410BBF9B469C04A8839023F31F81677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25;#N/A - Do not select for New Permits|0430e4c2-ee0a-4b2d-9af6-df735aafbcb2</vt:lpwstr>
  </property>
  <property fmtid="{D5CDD505-2E9C-101B-9397-08002B2CF9AE}" pid="6" name="DisclosureStatus">
    <vt:lpwstr>885;#Public Register|f1fcf6a6-5d97-4f1d-964e-a2f916eb1f18</vt:lpwstr>
  </property>
  <property fmtid="{D5CDD505-2E9C-101B-9397-08002B2CF9AE}" pid="7" name="EventType1">
    <vt:lpwstr/>
  </property>
  <property fmtid="{D5CDD505-2E9C-101B-9397-08002B2CF9AE}" pid="8" name="ActivityGrouping">
    <vt:lpwstr>8;#Application ＆ Associated Docs|5eadfd3c-6deb-44e1-b7e1-16accd427bec</vt:lpwstr>
  </property>
  <property fmtid="{D5CDD505-2E9C-101B-9397-08002B2CF9AE}" pid="9" name="RegulatedActivityClass">
    <vt:lpwstr>672;#Installations|645f1c9c-65df-490a-9ce3-4a2aa7c5ff7f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425;#EPR|0e5af97d-1a8c-4d8f-a20b-528a11cab1f6</vt:lpwstr>
  </property>
  <property fmtid="{D5CDD505-2E9C-101B-9397-08002B2CF9AE}" pid="15" name="RegulatedActivitySub-Class">
    <vt:lpwstr/>
  </property>
</Properties>
</file>