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ublic\Clients\F\FCC Environment\5827 Knottingley Permitting\2 - Project Management\3. Resubmission\2. WIP\H1 Assessment\"/>
    </mc:Choice>
  </mc:AlternateContent>
  <xr:revisionPtr revIDLastSave="0" documentId="13_ncr:1_{9E2268DD-F9C2-4D40-B100-9EAB11A2550C}" xr6:coauthVersionLast="47" xr6:coauthVersionMax="47" xr10:uidLastSave="{00000000-0000-0000-0000-000000000000}"/>
  <bookViews>
    <workbookView xWindow="-108" yWindow="-108" windowWidth="23256" windowHeight="12456" xr2:uid="{D596D051-2380-48D6-A008-1339D1676C89}"/>
  </bookViews>
  <sheets>
    <sheet name="Direct" sheetId="1" r:id="rId1"/>
    <sheet name="Sewer" sheetId="2" r:id="rId2"/>
  </sheets>
  <definedNames>
    <definedName name="_xlnm.Print_Area" localSheetId="0">Direct!$A$1:$K$93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E77" i="1"/>
  <c r="B99" i="2"/>
  <c r="D102" i="2" s="1"/>
  <c r="C102" i="2"/>
  <c r="C92" i="1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D95" i="2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D79" i="2"/>
  <c r="D96" i="2" s="1"/>
  <c r="D78" i="2"/>
  <c r="D77" i="2"/>
  <c r="D94" i="2" s="1"/>
  <c r="D76" i="2"/>
  <c r="D93" i="2" s="1"/>
  <c r="D75" i="2"/>
  <c r="D92" i="2" s="1"/>
  <c r="D74" i="2"/>
  <c r="D91" i="2" s="1"/>
  <c r="D73" i="2"/>
  <c r="D90" i="2" s="1"/>
  <c r="D72" i="2"/>
  <c r="D89" i="2" s="1"/>
  <c r="D71" i="2"/>
  <c r="D88" i="2" s="1"/>
  <c r="D70" i="2"/>
  <c r="D87" i="2" s="1"/>
  <c r="D69" i="2"/>
  <c r="D86" i="2" s="1"/>
  <c r="D68" i="2"/>
  <c r="D85" i="2" s="1"/>
  <c r="D67" i="2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F18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B36" i="2" l="1"/>
  <c r="B35" i="2"/>
  <c r="B34" i="2"/>
  <c r="E34" i="2" s="1"/>
  <c r="D18" i="2" s="1"/>
  <c r="B33" i="2"/>
  <c r="B32" i="2"/>
  <c r="B31" i="2"/>
  <c r="B30" i="2"/>
  <c r="B29" i="2"/>
  <c r="B28" i="2"/>
  <c r="B27" i="2"/>
  <c r="B26" i="2"/>
  <c r="B25" i="2"/>
  <c r="B24" i="2"/>
  <c r="G18" i="2" l="1"/>
  <c r="C58" i="2"/>
  <c r="D58" i="2" s="1"/>
  <c r="B33" i="1"/>
  <c r="B32" i="1"/>
  <c r="B31" i="1"/>
  <c r="E31" i="1" s="1"/>
  <c r="B30" i="1"/>
  <c r="E30" i="1" s="1"/>
  <c r="B29" i="1"/>
  <c r="E29" i="1" s="1"/>
  <c r="B28" i="1"/>
  <c r="E28" i="1" s="1"/>
  <c r="B27" i="1"/>
  <c r="E27" i="1" s="1"/>
  <c r="B26" i="1"/>
  <c r="E26" i="1" s="1"/>
  <c r="B25" i="1"/>
  <c r="E25" i="1" s="1"/>
  <c r="B24" i="1"/>
  <c r="E24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D66" i="1" s="1"/>
  <c r="D80" i="1" s="1"/>
  <c r="H65" i="1"/>
  <c r="D65" i="1" s="1"/>
  <c r="D79" i="1" s="1"/>
  <c r="H64" i="1"/>
  <c r="D64" i="1" s="1"/>
  <c r="D78" i="1" s="1"/>
  <c r="H63" i="1"/>
  <c r="H7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C56" i="1"/>
  <c r="C55" i="1"/>
  <c r="C54" i="1"/>
  <c r="C53" i="1"/>
  <c r="C52" i="1"/>
  <c r="C51" i="1"/>
  <c r="C50" i="1"/>
  <c r="C49" i="1"/>
  <c r="C48" i="1"/>
  <c r="F10" i="1"/>
  <c r="D10" i="1"/>
  <c r="C47" i="1"/>
  <c r="B39" i="1"/>
  <c r="B89" i="1" s="1"/>
  <c r="D92" i="1" s="1"/>
  <c r="D17" i="1"/>
  <c r="D16" i="1"/>
  <c r="D15" i="1"/>
  <c r="D14" i="1"/>
  <c r="D13" i="1"/>
  <c r="D12" i="1"/>
  <c r="D11" i="1"/>
  <c r="D9" i="1"/>
  <c r="D8" i="1"/>
  <c r="H67" i="2"/>
  <c r="E48" i="2"/>
  <c r="F48" i="2" s="1"/>
  <c r="E36" i="2"/>
  <c r="E35" i="2"/>
  <c r="D19" i="2" s="1"/>
  <c r="C59" i="2" s="1"/>
  <c r="D59" i="2" s="1"/>
  <c r="E33" i="2"/>
  <c r="D17" i="2" s="1"/>
  <c r="C57" i="2" s="1"/>
  <c r="D57" i="2" s="1"/>
  <c r="E32" i="2"/>
  <c r="D16" i="2" s="1"/>
  <c r="C56" i="2" s="1"/>
  <c r="D56" i="2" s="1"/>
  <c r="E31" i="2"/>
  <c r="E30" i="2"/>
  <c r="D14" i="2" s="1"/>
  <c r="C54" i="2" s="1"/>
  <c r="D54" i="2" s="1"/>
  <c r="E29" i="2"/>
  <c r="D13" i="2" s="1"/>
  <c r="C53" i="2" s="1"/>
  <c r="D53" i="2" s="1"/>
  <c r="E28" i="2"/>
  <c r="D12" i="2" s="1"/>
  <c r="C52" i="2" s="1"/>
  <c r="D52" i="2" s="1"/>
  <c r="E27" i="2"/>
  <c r="D11" i="2" s="1"/>
  <c r="C51" i="2" s="1"/>
  <c r="D51" i="2" s="1"/>
  <c r="E26" i="2"/>
  <c r="D10" i="2" s="1"/>
  <c r="C50" i="2" s="1"/>
  <c r="D50" i="2" s="1"/>
  <c r="E25" i="2"/>
  <c r="E24" i="2"/>
  <c r="D8" i="2" s="1"/>
  <c r="C48" i="2" s="1"/>
  <c r="D48" i="2" s="1"/>
  <c r="F20" i="2"/>
  <c r="F19" i="2"/>
  <c r="F17" i="2"/>
  <c r="F16" i="2"/>
  <c r="F15" i="2"/>
  <c r="F14" i="2"/>
  <c r="F13" i="2"/>
  <c r="F12" i="2"/>
  <c r="F11" i="2"/>
  <c r="F10" i="2"/>
  <c r="F9" i="2"/>
  <c r="F8" i="2"/>
  <c r="E35" i="1"/>
  <c r="E34" i="1"/>
  <c r="E33" i="1"/>
  <c r="E32" i="1"/>
  <c r="F17" i="1"/>
  <c r="F16" i="1"/>
  <c r="F15" i="1"/>
  <c r="F14" i="1"/>
  <c r="F13" i="1"/>
  <c r="F12" i="1"/>
  <c r="F11" i="1"/>
  <c r="F9" i="1"/>
  <c r="F8" i="1"/>
  <c r="H83" i="1" l="1"/>
  <c r="D70" i="1"/>
  <c r="D84" i="1" s="1"/>
  <c r="H82" i="1"/>
  <c r="D71" i="1"/>
  <c r="D85" i="1" s="1"/>
  <c r="H84" i="1"/>
  <c r="H85" i="1"/>
  <c r="H86" i="1"/>
  <c r="D72" i="1"/>
  <c r="D86" i="1" s="1"/>
  <c r="H79" i="1"/>
  <c r="H80" i="1"/>
  <c r="D55" i="1"/>
  <c r="C71" i="1" s="1"/>
  <c r="H78" i="1"/>
  <c r="D67" i="1"/>
  <c r="D81" i="1" s="1"/>
  <c r="D68" i="1"/>
  <c r="D82" i="1" s="1"/>
  <c r="D48" i="1"/>
  <c r="C64" i="1" s="1"/>
  <c r="C78" i="1" s="1"/>
  <c r="D69" i="1"/>
  <c r="D83" i="1" s="1"/>
  <c r="H81" i="1"/>
  <c r="G59" i="2"/>
  <c r="C78" i="2"/>
  <c r="C95" i="2" s="1"/>
  <c r="G57" i="2"/>
  <c r="C76" i="2"/>
  <c r="C93" i="2" s="1"/>
  <c r="G56" i="2"/>
  <c r="C75" i="2"/>
  <c r="C92" i="2" s="1"/>
  <c r="G50" i="2"/>
  <c r="C69" i="2"/>
  <c r="C86" i="2" s="1"/>
  <c r="G52" i="2"/>
  <c r="C71" i="2"/>
  <c r="C88" i="2" s="1"/>
  <c r="G54" i="2"/>
  <c r="C73" i="2"/>
  <c r="C90" i="2" s="1"/>
  <c r="G58" i="2"/>
  <c r="C77" i="2"/>
  <c r="C94" i="2" s="1"/>
  <c r="G51" i="2"/>
  <c r="C70" i="2"/>
  <c r="C87" i="2" s="1"/>
  <c r="G53" i="2"/>
  <c r="C72" i="2"/>
  <c r="C89" i="2" s="1"/>
  <c r="D9" i="2"/>
  <c r="C49" i="2" s="1"/>
  <c r="D49" i="2" s="1"/>
  <c r="D15" i="2"/>
  <c r="C55" i="2" s="1"/>
  <c r="D55" i="2" s="1"/>
  <c r="D20" i="2"/>
  <c r="G19" i="2"/>
  <c r="G14" i="2"/>
  <c r="G12" i="2"/>
  <c r="G17" i="2"/>
  <c r="G10" i="2"/>
  <c r="I67" i="2"/>
  <c r="D49" i="1"/>
  <c r="C65" i="1" s="1"/>
  <c r="C79" i="1" s="1"/>
  <c r="I64" i="1"/>
  <c r="I65" i="1"/>
  <c r="I66" i="1"/>
  <c r="D63" i="1"/>
  <c r="D77" i="1" s="1"/>
  <c r="D51" i="1"/>
  <c r="C67" i="1" s="1"/>
  <c r="C81" i="1" s="1"/>
  <c r="D50" i="1"/>
  <c r="C66" i="1" s="1"/>
  <c r="C80" i="1" s="1"/>
  <c r="D56" i="1"/>
  <c r="D54" i="1"/>
  <c r="G10" i="1"/>
  <c r="D52" i="1"/>
  <c r="C68" i="1" s="1"/>
  <c r="D53" i="1"/>
  <c r="D47" i="1"/>
  <c r="C63" i="1" s="1"/>
  <c r="G15" i="1"/>
  <c r="G13" i="1"/>
  <c r="I63" i="1"/>
  <c r="D84" i="2"/>
  <c r="G48" i="2"/>
  <c r="C67" i="2"/>
  <c r="F67" i="2" s="1"/>
  <c r="G11" i="2"/>
  <c r="G13" i="2"/>
  <c r="G16" i="2"/>
  <c r="G8" i="2"/>
  <c r="G11" i="1"/>
  <c r="G17" i="1"/>
  <c r="G8" i="1"/>
  <c r="G9" i="1"/>
  <c r="G14" i="1"/>
  <c r="G12" i="1"/>
  <c r="G16" i="1"/>
  <c r="G55" i="1" l="1"/>
  <c r="F71" i="1"/>
  <c r="F65" i="1"/>
  <c r="E68" i="1"/>
  <c r="C82" i="1"/>
  <c r="E71" i="1"/>
  <c r="C85" i="1"/>
  <c r="G49" i="2"/>
  <c r="C68" i="2"/>
  <c r="C85" i="2" s="1"/>
  <c r="E70" i="2"/>
  <c r="F70" i="2"/>
  <c r="E77" i="2"/>
  <c r="F77" i="2"/>
  <c r="F69" i="2"/>
  <c r="E69" i="2"/>
  <c r="E75" i="2"/>
  <c r="F75" i="2"/>
  <c r="G55" i="2"/>
  <c r="C74" i="2"/>
  <c r="C91" i="2" s="1"/>
  <c r="F72" i="2"/>
  <c r="E72" i="2"/>
  <c r="F73" i="2"/>
  <c r="E73" i="2"/>
  <c r="G9" i="2"/>
  <c r="F71" i="2"/>
  <c r="E71" i="2"/>
  <c r="F76" i="2"/>
  <c r="E76" i="2"/>
  <c r="E78" i="2"/>
  <c r="F78" i="2"/>
  <c r="G20" i="2"/>
  <c r="C60" i="2"/>
  <c r="D60" i="2" s="1"/>
  <c r="G15" i="2"/>
  <c r="G54" i="1"/>
  <c r="C70" i="1"/>
  <c r="C84" i="1" s="1"/>
  <c r="G56" i="1"/>
  <c r="C72" i="1"/>
  <c r="C86" i="1" s="1"/>
  <c r="G53" i="1"/>
  <c r="C69" i="1"/>
  <c r="C83" i="1" s="1"/>
  <c r="G50" i="1"/>
  <c r="F68" i="1"/>
  <c r="G49" i="1"/>
  <c r="E67" i="2"/>
  <c r="C84" i="2"/>
  <c r="E65" i="1"/>
  <c r="E79" i="1" s="1"/>
  <c r="G48" i="1"/>
  <c r="G51" i="1"/>
  <c r="G52" i="1"/>
  <c r="G47" i="1"/>
  <c r="G71" i="1" l="1"/>
  <c r="J71" i="1" s="1"/>
  <c r="E85" i="1"/>
  <c r="J85" i="1" s="1"/>
  <c r="G68" i="1"/>
  <c r="J68" i="1" s="1"/>
  <c r="E82" i="1"/>
  <c r="J82" i="1" s="1"/>
  <c r="G73" i="2"/>
  <c r="J73" i="2" s="1"/>
  <c r="E90" i="2"/>
  <c r="J90" i="2" s="1"/>
  <c r="J69" i="2"/>
  <c r="E86" i="2"/>
  <c r="J86" i="2" s="1"/>
  <c r="G70" i="2"/>
  <c r="J70" i="2" s="1"/>
  <c r="E87" i="2"/>
  <c r="J87" i="2" s="1"/>
  <c r="G78" i="2"/>
  <c r="J78" i="2" s="1"/>
  <c r="E95" i="2"/>
  <c r="J95" i="2" s="1"/>
  <c r="G71" i="2"/>
  <c r="J71" i="2" s="1"/>
  <c r="E88" i="2"/>
  <c r="J88" i="2" s="1"/>
  <c r="G76" i="2"/>
  <c r="J76" i="2" s="1"/>
  <c r="E93" i="2"/>
  <c r="J93" i="2" s="1"/>
  <c r="G72" i="2"/>
  <c r="J72" i="2" s="1"/>
  <c r="E89" i="2"/>
  <c r="J89" i="2" s="1"/>
  <c r="G75" i="2"/>
  <c r="J75" i="2" s="1"/>
  <c r="E92" i="2"/>
  <c r="J92" i="2" s="1"/>
  <c r="G77" i="2"/>
  <c r="J77" i="2" s="1"/>
  <c r="E94" i="2"/>
  <c r="J94" i="2" s="1"/>
  <c r="G60" i="2"/>
  <c r="C79" i="2"/>
  <c r="C96" i="2" s="1"/>
  <c r="F68" i="2"/>
  <c r="E68" i="2"/>
  <c r="F74" i="2"/>
  <c r="E74" i="2"/>
  <c r="E69" i="1"/>
  <c r="F69" i="1"/>
  <c r="E72" i="1"/>
  <c r="F72" i="1"/>
  <c r="E70" i="1"/>
  <c r="F70" i="1"/>
  <c r="E84" i="2"/>
  <c r="J84" i="2" s="1"/>
  <c r="G67" i="2"/>
  <c r="J67" i="2" s="1"/>
  <c r="C77" i="1"/>
  <c r="F63" i="1"/>
  <c r="E63" i="1"/>
  <c r="E67" i="1"/>
  <c r="E81" i="1" s="1"/>
  <c r="F67" i="1"/>
  <c r="E66" i="1"/>
  <c r="E80" i="1" s="1"/>
  <c r="F66" i="1"/>
  <c r="E64" i="1"/>
  <c r="E78" i="1" s="1"/>
  <c r="G65" i="1"/>
  <c r="J65" i="1" s="1"/>
  <c r="J79" i="1"/>
  <c r="F64" i="1"/>
  <c r="G70" i="1" l="1"/>
  <c r="J70" i="1" s="1"/>
  <c r="E84" i="1"/>
  <c r="J84" i="1" s="1"/>
  <c r="G72" i="1"/>
  <c r="J72" i="1" s="1"/>
  <c r="E86" i="1"/>
  <c r="J86" i="1" s="1"/>
  <c r="G69" i="1"/>
  <c r="J69" i="1" s="1"/>
  <c r="E83" i="1"/>
  <c r="J83" i="1" s="1"/>
  <c r="G68" i="2"/>
  <c r="J68" i="2" s="1"/>
  <c r="E85" i="2"/>
  <c r="J85" i="2" s="1"/>
  <c r="G74" i="2"/>
  <c r="J74" i="2" s="1"/>
  <c r="E91" i="2"/>
  <c r="J91" i="2" s="1"/>
  <c r="E79" i="2"/>
  <c r="F79" i="2"/>
  <c r="G66" i="1"/>
  <c r="J66" i="1" s="1"/>
  <c r="J80" i="1"/>
  <c r="J77" i="1"/>
  <c r="G63" i="1"/>
  <c r="J63" i="1" s="1"/>
  <c r="G64" i="1"/>
  <c r="J64" i="1" s="1"/>
  <c r="J78" i="1"/>
  <c r="G67" i="1"/>
  <c r="J67" i="1" s="1"/>
  <c r="J81" i="1"/>
  <c r="G79" i="2" l="1"/>
  <c r="J79" i="2" s="1"/>
  <c r="E96" i="2"/>
  <c r="J96" i="2" s="1"/>
</calcChain>
</file>

<file path=xl/sharedStrings.xml><?xml version="1.0" encoding="utf-8"?>
<sst xmlns="http://schemas.openxmlformats.org/spreadsheetml/2006/main" count="387" uniqueCount="77">
  <si>
    <t xml:space="preserve">H1 Assessment </t>
  </si>
  <si>
    <t>Guidance doc:</t>
  </si>
  <si>
    <t>https://www.gov.uk/guidance/surface-water-pollution-risk-assessment-for-your-environmental-permit</t>
  </si>
  <si>
    <t>STEP 1 - is RC &gt; 10% EQS</t>
  </si>
  <si>
    <t>RC- Effluent concentration ug/l</t>
  </si>
  <si>
    <t>Discharge Consent Parameters</t>
  </si>
  <si>
    <t>Units</t>
  </si>
  <si>
    <t>RC</t>
  </si>
  <si>
    <t>EQS - AA</t>
  </si>
  <si>
    <t>10%EQS</t>
  </si>
  <si>
    <t>RC&gt;10%EQS</t>
  </si>
  <si>
    <t>Compliance Target Source</t>
  </si>
  <si>
    <t>WFD (Standards and Classification) 2015</t>
  </si>
  <si>
    <t>Parameter</t>
  </si>
  <si>
    <t>Percentage removal rate of substance by activated sludge plant (STRF)</t>
  </si>
  <si>
    <t>Proportion remaining in activated sludge plant</t>
  </si>
  <si>
    <t>STEP 2 - is PC&lt;4% EQS</t>
  </si>
  <si>
    <t>where PC = EFR*RC/(EFR+RFR)</t>
  </si>
  <si>
    <t>intermittent discharge - hours per day</t>
  </si>
  <si>
    <t>number of days per week discharge</t>
  </si>
  <si>
    <t>m3/day</t>
  </si>
  <si>
    <t>PC</t>
  </si>
  <si>
    <t xml:space="preserve">EQS </t>
  </si>
  <si>
    <t>4%EQS</t>
  </si>
  <si>
    <t>PC &gt; 4%EQS</t>
  </si>
  <si>
    <t>STEP 3 - is (PEC -BC) &gt; 10%EQS</t>
  </si>
  <si>
    <t>PEC = PC +BC</t>
  </si>
  <si>
    <t xml:space="preserve">BC - background concentration - half EQS concentration </t>
  </si>
  <si>
    <t>BC</t>
  </si>
  <si>
    <t>PEC</t>
  </si>
  <si>
    <t>PEC*</t>
  </si>
  <si>
    <t>PEC-BC</t>
  </si>
  <si>
    <t>PEC-BC &gt; 10%EQS</t>
  </si>
  <si>
    <t>STEP 4 - is PEC &gt; EQS</t>
  </si>
  <si>
    <t>PEC&gt;EQS</t>
  </si>
  <si>
    <t>Screening test: ‘priority hazardous pollutants’</t>
  </si>
  <si>
    <t xml:space="preserve">Average flow - litres per day </t>
  </si>
  <si>
    <t>Pollutant</t>
  </si>
  <si>
    <t>Annual significant load limit in kg</t>
  </si>
  <si>
    <t>Average concentration (mg/l)</t>
  </si>
  <si>
    <t>Loading per year (kg)</t>
  </si>
  <si>
    <t>Cadmium</t>
  </si>
  <si>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g/l</t>
    </r>
  </si>
  <si>
    <t>Ammoniacal Nitrogen [based on correction for ammonia]</t>
  </si>
  <si>
    <r>
      <t>RC value (</t>
    </r>
    <r>
      <rPr>
        <b/>
        <sz val="11"/>
        <color theme="0"/>
        <rFont val="Aptos Narrow"/>
        <family val="2"/>
      </rPr>
      <t>µ</t>
    </r>
    <r>
      <rPr>
        <b/>
        <sz val="11"/>
        <color theme="0"/>
        <rFont val="Calibri"/>
        <family val="2"/>
      </rPr>
      <t>g/l)</t>
    </r>
  </si>
  <si>
    <t>Chloride</t>
  </si>
  <si>
    <t xml:space="preserve">Arsenic </t>
  </si>
  <si>
    <t>Chromium</t>
  </si>
  <si>
    <t>Copper</t>
  </si>
  <si>
    <t>Iron</t>
  </si>
  <si>
    <t>Zinc</t>
  </si>
  <si>
    <t>Phosphate</t>
  </si>
  <si>
    <t>Sulphate</t>
  </si>
  <si>
    <t>Ammoniacal Nitrogen</t>
  </si>
  <si>
    <t>N/A</t>
  </si>
  <si>
    <t>RC- Effluent concentration ug/l (discharge form the RO)</t>
  </si>
  <si>
    <t>µg/l</t>
  </si>
  <si>
    <t>Ammoniacal Nitrogen [EQS based on correction for ammonia]</t>
  </si>
  <si>
    <t>Lead</t>
  </si>
  <si>
    <t>Nickel</t>
  </si>
  <si>
    <t>Mecoprop</t>
  </si>
  <si>
    <t>Phosphorous</t>
  </si>
  <si>
    <t>Average concentration (µg/l)</t>
  </si>
  <si>
    <t>Sulphate (no STRF - assumed 0)</t>
  </si>
  <si>
    <t xml:space="preserve">Sulphate </t>
  </si>
  <si>
    <t xml:space="preserve">Direct discharge to the River Aire from the RO plant </t>
  </si>
  <si>
    <t>Average Concentration µg/l</t>
  </si>
  <si>
    <t>Average concentration µg/l</t>
  </si>
  <si>
    <t xml:space="preserve">Discharge to the sewer from the Biological Treatment Plant </t>
  </si>
  <si>
    <t>Sewerage Treatment Reduction Factor</t>
  </si>
  <si>
    <r>
      <t>EFR - effluent flow rate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/sec) - average - for intermittent discharge </t>
    </r>
  </si>
  <si>
    <r>
      <t>EFR - effluent flow rate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/sec) - average over 24 opertaion</t>
    </r>
  </si>
  <si>
    <r>
      <t xml:space="preserve">where PEC*=((EFR*RC)+(RFR*BC))/(EFR+RFR)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this is only necessary where RFR&lt;10*EFR</t>
    </r>
  </si>
  <si>
    <r>
      <t xml:space="preserve">where PEC*=((EFR*RC)+(RFR*BC))/(EFR+RFR) </t>
    </r>
    <r>
      <rPr>
        <b/>
        <sz val="11"/>
        <color rgb="FFFF0000"/>
        <rFont val="Aptos Narrow"/>
        <family val="2"/>
        <scheme val="minor"/>
      </rPr>
      <t>- this is only necessary where RFR&lt;10*EFR</t>
    </r>
  </si>
  <si>
    <r>
      <t>RFR - river flow rate (Q95)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/sec)</t>
    </r>
  </si>
  <si>
    <r>
      <t>RFR - river flow rate (Q70)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/sec)</t>
    </r>
  </si>
  <si>
    <r>
      <t>EFR - effluent flow rate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/sec)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</si>
</sst>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0.00000"/>
    <numFmt numFmtId="166" formatCode="0.000"/>
    <numFmt numFmtId="167" formatCode="0.0000000"/>
    <numFmt numFmtId="168" formatCode="0.0"/>
    <numFmt numFmtId="169" formatCode="0.0000"/>
  </numFmts>
  <fonts count="2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sz val="11"/>
      <color rgb="FF000000"/>
      <name val="Aptos Narrow"/>
      <family val="2"/>
    </font>
    <font>
      <sz val="9"/>
      <color rgb="FF000000"/>
      <name val="Calibri"/>
      <family val="2"/>
    </font>
    <font>
      <sz val="11"/>
      <color rgb="FF000000"/>
      <name val="Aptos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9"/>
      <name val="Calibri"/>
      <family val="2"/>
    </font>
    <font>
      <sz val="11"/>
      <color theme="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8"/>
      <color theme="1"/>
      <name val="Arial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A345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6345B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0" xfId="1" applyFill="1" applyBorder="1"/>
    <xf numFmtId="0" fontId="5" fillId="0" borderId="0" xfId="0" applyFont="1"/>
    <xf numFmtId="0" fontId="0" fillId="0" borderId="5" xfId="0" applyBorder="1"/>
    <xf numFmtId="0" fontId="6" fillId="2" borderId="4" xfId="0" applyFont="1" applyFill="1" applyBorder="1"/>
    <xf numFmtId="0" fontId="7" fillId="2" borderId="4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9" fillId="0" borderId="10" xfId="0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4" fillId="0" borderId="10" xfId="1" applyBorder="1"/>
    <xf numFmtId="0" fontId="0" fillId="0" borderId="10" xfId="0" applyBorder="1"/>
    <xf numFmtId="165" fontId="5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0" xfId="1" applyFill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 wrapText="1"/>
    </xf>
    <xf numFmtId="1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0" fillId="0" borderId="9" xfId="0" applyBorder="1"/>
    <xf numFmtId="166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8" fillId="0" borderId="9" xfId="0" applyFont="1" applyBorder="1" applyAlignment="1">
      <alignment vertical="center" wrapText="1"/>
    </xf>
    <xf numFmtId="167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4" xfId="0" applyFill="1" applyBorder="1"/>
    <xf numFmtId="2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1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left"/>
    </xf>
    <xf numFmtId="164" fontId="0" fillId="0" borderId="5" xfId="0" applyNumberFormat="1" applyBorder="1"/>
    <xf numFmtId="0" fontId="8" fillId="0" borderId="4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2" borderId="4" xfId="0" applyFont="1" applyFill="1" applyBorder="1"/>
    <xf numFmtId="0" fontId="18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" fillId="2" borderId="0" xfId="0" applyFont="1" applyFill="1"/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20" fillId="0" borderId="9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5" fillId="0" borderId="13" xfId="0" applyFont="1" applyBorder="1"/>
    <xf numFmtId="0" fontId="0" fillId="0" borderId="14" xfId="0" applyBorder="1"/>
    <xf numFmtId="1" fontId="5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168" fontId="5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168" fontId="0" fillId="0" borderId="10" xfId="0" applyNumberFormat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5" fillId="0" borderId="0" xfId="0" applyFont="1"/>
    <xf numFmtId="2" fontId="5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6" fillId="0" borderId="4" xfId="0" applyFont="1" applyBorder="1"/>
    <xf numFmtId="0" fontId="1" fillId="2" borderId="8" xfId="0" applyFont="1" applyFill="1" applyBorder="1" applyAlignment="1">
      <alignment horizont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4" fillId="0" borderId="11" xfId="1" applyBorder="1" applyAlignment="1"/>
    <xf numFmtId="0" fontId="0" fillId="0" borderId="15" xfId="0" applyBorder="1"/>
    <xf numFmtId="0" fontId="0" fillId="0" borderId="16" xfId="0" applyBorder="1"/>
    <xf numFmtId="16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right" vertical="center"/>
    </xf>
    <xf numFmtId="0" fontId="1" fillId="2" borderId="7" xfId="0" applyFont="1" applyFill="1" applyBorder="1"/>
    <xf numFmtId="0" fontId="0" fillId="0" borderId="7" xfId="0" applyBorder="1" applyAlignment="1">
      <alignment horizontal="center"/>
    </xf>
    <xf numFmtId="166" fontId="0" fillId="0" borderId="17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left" vertical="center"/>
    </xf>
    <xf numFmtId="169" fontId="0" fillId="3" borderId="10" xfId="0" applyNumberFormat="1" applyFill="1" applyBorder="1" applyAlignment="1">
      <alignment horizontal="center"/>
    </xf>
    <xf numFmtId="168" fontId="0" fillId="3" borderId="10" xfId="0" applyNumberFormat="1" applyFill="1" applyBorder="1" applyAlignment="1">
      <alignment horizontal="center"/>
    </xf>
    <xf numFmtId="169" fontId="0" fillId="0" borderId="10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A3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slation.gov.uk/uksi/2015/1623/pdfs/uksiod_20151623_en_auto.pdf" TargetMode="External"/><Relationship Id="rId2" Type="http://schemas.openxmlformats.org/officeDocument/2006/relationships/hyperlink" Target="https://www.legislation.gov.uk/uksi/2015/1623/pdfs/uksiod_20151623_en_auto.pdf" TargetMode="External"/><Relationship Id="rId1" Type="http://schemas.openxmlformats.org/officeDocument/2006/relationships/hyperlink" Target="https://www.gov.uk/guidance/surface-water-pollution-risk-assessment-for-your-environmental-permi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slation.gov.uk/uksi/2015/1623/pdfs/uksiod_20151623_en_auto.pdf" TargetMode="External"/><Relationship Id="rId2" Type="http://schemas.openxmlformats.org/officeDocument/2006/relationships/hyperlink" Target="https://www.legislation.gov.uk/uksi/2015/1623/pdfs/uksiod_20151623_en_auto.pdf" TargetMode="External"/><Relationship Id="rId1" Type="http://schemas.openxmlformats.org/officeDocument/2006/relationships/hyperlink" Target="https://www.gov.uk/guidance/surface-water-pollution-risk-assessment-for-your-environmental-permit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61BC-4D7C-42D6-86D0-24B327670290}">
  <sheetPr>
    <pageSetUpPr fitToPage="1"/>
  </sheetPr>
  <dimension ref="A1:P93"/>
  <sheetViews>
    <sheetView tabSelected="1" zoomScale="60" zoomScaleNormal="60" workbookViewId="0">
      <selection activeCell="I24" sqref="I24"/>
    </sheetView>
  </sheetViews>
  <sheetFormatPr defaultColWidth="8.88671875" defaultRowHeight="14.4" x14ac:dyDescent="0.3"/>
  <cols>
    <col min="1" max="1" width="47.88671875" customWidth="1"/>
    <col min="2" max="2" width="15.77734375" customWidth="1"/>
    <col min="3" max="3" width="24" customWidth="1"/>
    <col min="4" max="4" width="12.6640625" style="7" customWidth="1"/>
    <col min="5" max="5" width="11.21875" customWidth="1"/>
    <col min="6" max="6" width="13.109375" customWidth="1"/>
    <col min="7" max="7" width="11.44140625" customWidth="1"/>
    <col min="8" max="8" width="14.44140625" customWidth="1"/>
    <col min="9" max="9" width="10.77734375" customWidth="1"/>
    <col min="10" max="10" width="24.6640625" customWidth="1"/>
    <col min="11" max="11" width="3.44140625" customWidth="1"/>
    <col min="12" max="12" width="58.21875" customWidth="1"/>
    <col min="13" max="13" width="24.109375" bestFit="1" customWidth="1"/>
    <col min="14" max="14" width="9.33203125" bestFit="1" customWidth="1"/>
    <col min="15" max="15" width="24.21875" bestFit="1" customWidth="1"/>
    <col min="16" max="16" width="23.77734375" bestFit="1" customWidth="1"/>
  </cols>
  <sheetData>
    <row r="1" spans="1:13" x14ac:dyDescent="0.3">
      <c r="A1" s="1"/>
      <c r="B1" s="2"/>
      <c r="C1" s="2"/>
      <c r="D1" s="3"/>
      <c r="E1" s="2"/>
      <c r="F1" s="2"/>
      <c r="G1" s="2"/>
      <c r="H1" s="2"/>
      <c r="I1" s="2"/>
      <c r="J1" s="2"/>
      <c r="K1" s="4"/>
    </row>
    <row r="2" spans="1:13" x14ac:dyDescent="0.3">
      <c r="A2" s="5"/>
      <c r="C2" s="6"/>
      <c r="K2" s="8"/>
    </row>
    <row r="3" spans="1:13" ht="22.8" x14ac:dyDescent="0.4">
      <c r="A3" s="9" t="s">
        <v>0</v>
      </c>
      <c r="B3" s="98" t="s">
        <v>65</v>
      </c>
      <c r="K3" s="8"/>
    </row>
    <row r="4" spans="1:13" x14ac:dyDescent="0.3">
      <c r="A4" s="5" t="s">
        <v>1</v>
      </c>
      <c r="B4" s="6" t="s">
        <v>2</v>
      </c>
      <c r="K4" s="8"/>
    </row>
    <row r="5" spans="1:13" x14ac:dyDescent="0.3">
      <c r="A5" s="10" t="s">
        <v>3</v>
      </c>
      <c r="B5" s="11"/>
      <c r="C5" s="11"/>
      <c r="D5" s="12"/>
      <c r="E5" s="11"/>
      <c r="F5" s="11"/>
      <c r="G5" s="11"/>
      <c r="H5" s="11"/>
      <c r="I5" s="11"/>
      <c r="J5" s="11"/>
      <c r="K5" s="13"/>
      <c r="L5" s="11"/>
    </row>
    <row r="6" spans="1:13" x14ac:dyDescent="0.3">
      <c r="A6" s="5" t="s">
        <v>55</v>
      </c>
      <c r="B6" s="11"/>
      <c r="C6" s="11"/>
      <c r="D6" s="12"/>
      <c r="G6" s="11"/>
      <c r="H6" s="11"/>
      <c r="I6" s="11"/>
      <c r="J6" s="11"/>
      <c r="K6" s="13"/>
      <c r="L6" s="11"/>
    </row>
    <row r="7" spans="1:13" ht="28.8" customHeight="1" x14ac:dyDescent="0.3">
      <c r="A7" s="14" t="s">
        <v>5</v>
      </c>
      <c r="B7" s="15" t="s">
        <v>6</v>
      </c>
      <c r="C7" s="16" t="s">
        <v>66</v>
      </c>
      <c r="D7" s="17" t="s">
        <v>7</v>
      </c>
      <c r="E7" s="15" t="s">
        <v>8</v>
      </c>
      <c r="F7" s="15" t="s">
        <v>9</v>
      </c>
      <c r="G7" s="15" t="s">
        <v>10</v>
      </c>
      <c r="H7" s="104" t="s">
        <v>11</v>
      </c>
      <c r="I7" s="105"/>
      <c r="J7" s="105"/>
      <c r="K7" s="8"/>
      <c r="M7" s="11"/>
    </row>
    <row r="8" spans="1:13" ht="28.8" x14ac:dyDescent="0.3">
      <c r="A8" s="29" t="s">
        <v>57</v>
      </c>
      <c r="B8" s="19" t="s">
        <v>42</v>
      </c>
      <c r="C8" s="92">
        <v>1270</v>
      </c>
      <c r="D8" s="83">
        <f>C8</f>
        <v>1270</v>
      </c>
      <c r="E8" s="93">
        <v>620</v>
      </c>
      <c r="F8" s="19">
        <f t="shared" ref="F8:F17" si="0">E8*0.1</f>
        <v>62</v>
      </c>
      <c r="G8" s="23" t="str">
        <f t="shared" ref="G8:G17" si="1">IF(D8&gt;F8,"FAIL","PASS")</f>
        <v>FAIL</v>
      </c>
      <c r="H8" s="24" t="s">
        <v>12</v>
      </c>
      <c r="I8" s="19"/>
      <c r="J8" s="25"/>
      <c r="K8" s="8"/>
      <c r="M8" s="11"/>
    </row>
    <row r="9" spans="1:13" x14ac:dyDescent="0.3">
      <c r="A9" s="18" t="s">
        <v>45</v>
      </c>
      <c r="B9" s="19" t="s">
        <v>42</v>
      </c>
      <c r="C9" s="20">
        <v>2600</v>
      </c>
      <c r="D9" s="83">
        <f t="shared" ref="D9:D17" si="2">C9</f>
        <v>2600</v>
      </c>
      <c r="E9" s="22">
        <v>250000</v>
      </c>
      <c r="F9" s="19">
        <f t="shared" si="0"/>
        <v>25000</v>
      </c>
      <c r="G9" s="84" t="str">
        <f t="shared" si="1"/>
        <v>PASS</v>
      </c>
      <c r="H9" s="24" t="s">
        <v>12</v>
      </c>
      <c r="I9" s="19"/>
      <c r="J9" s="25"/>
      <c r="K9" s="8"/>
      <c r="M9" s="11"/>
    </row>
    <row r="10" spans="1:13" x14ac:dyDescent="0.3">
      <c r="A10" s="18" t="s">
        <v>52</v>
      </c>
      <c r="B10" s="19" t="s">
        <v>56</v>
      </c>
      <c r="C10" s="20">
        <v>5300</v>
      </c>
      <c r="D10" s="83">
        <f t="shared" ref="D10" si="3">C10</f>
        <v>5300</v>
      </c>
      <c r="E10" s="22">
        <v>400000</v>
      </c>
      <c r="F10" s="19">
        <f t="shared" ref="F10" si="4">E10*0.1</f>
        <v>40000</v>
      </c>
      <c r="G10" s="84" t="str">
        <f t="shared" ref="G10" si="5">IF(D10&gt;F10,"FAIL","PASS")</f>
        <v>PASS</v>
      </c>
      <c r="H10" s="107" t="s">
        <v>12</v>
      </c>
      <c r="I10" s="108"/>
      <c r="J10" s="109"/>
      <c r="K10" s="8"/>
      <c r="M10" s="11"/>
    </row>
    <row r="11" spans="1:13" x14ac:dyDescent="0.3">
      <c r="A11" s="18" t="s">
        <v>46</v>
      </c>
      <c r="B11" s="19" t="s">
        <v>42</v>
      </c>
      <c r="C11" s="20">
        <v>4</v>
      </c>
      <c r="D11" s="83">
        <f t="shared" si="2"/>
        <v>4</v>
      </c>
      <c r="E11" s="22">
        <v>50</v>
      </c>
      <c r="F11" s="19">
        <f t="shared" si="0"/>
        <v>5</v>
      </c>
      <c r="G11" s="84" t="str">
        <f t="shared" si="1"/>
        <v>PASS</v>
      </c>
      <c r="H11" s="24" t="s">
        <v>12</v>
      </c>
      <c r="I11" s="19"/>
      <c r="J11" s="25"/>
      <c r="K11" s="8"/>
      <c r="M11" s="11"/>
    </row>
    <row r="12" spans="1:13" x14ac:dyDescent="0.3">
      <c r="A12" s="18" t="s">
        <v>41</v>
      </c>
      <c r="B12" s="19" t="s">
        <v>42</v>
      </c>
      <c r="C12" s="20">
        <v>0.08</v>
      </c>
      <c r="D12" s="83">
        <f t="shared" si="2"/>
        <v>0.08</v>
      </c>
      <c r="E12" s="22">
        <v>0.09</v>
      </c>
      <c r="F12" s="19">
        <f t="shared" si="0"/>
        <v>8.9999999999999993E-3</v>
      </c>
      <c r="G12" s="23" t="str">
        <f t="shared" si="1"/>
        <v>FAIL</v>
      </c>
      <c r="H12" s="24" t="s">
        <v>12</v>
      </c>
      <c r="I12" s="19"/>
      <c r="J12" s="25"/>
      <c r="K12" s="8"/>
      <c r="M12" s="11"/>
    </row>
    <row r="13" spans="1:13" x14ac:dyDescent="0.3">
      <c r="A13" s="18" t="s">
        <v>47</v>
      </c>
      <c r="B13" s="19" t="s">
        <v>42</v>
      </c>
      <c r="C13" s="20">
        <v>2.5</v>
      </c>
      <c r="D13" s="83">
        <f t="shared" si="2"/>
        <v>2.5</v>
      </c>
      <c r="E13" s="22">
        <v>4.7</v>
      </c>
      <c r="F13" s="19">
        <f t="shared" si="0"/>
        <v>0.47000000000000003</v>
      </c>
      <c r="G13" s="23" t="str">
        <f t="shared" si="1"/>
        <v>FAIL</v>
      </c>
      <c r="H13" s="24" t="s">
        <v>12</v>
      </c>
      <c r="I13" s="19"/>
      <c r="J13" s="25"/>
      <c r="K13" s="8"/>
      <c r="M13" s="11"/>
    </row>
    <row r="14" spans="1:13" x14ac:dyDescent="0.3">
      <c r="A14" s="18" t="s">
        <v>48</v>
      </c>
      <c r="B14" s="19" t="s">
        <v>42</v>
      </c>
      <c r="C14" s="20">
        <v>7</v>
      </c>
      <c r="D14" s="83">
        <f t="shared" si="2"/>
        <v>7</v>
      </c>
      <c r="E14" s="28">
        <v>1</v>
      </c>
      <c r="F14" s="19">
        <f t="shared" si="0"/>
        <v>0.1</v>
      </c>
      <c r="G14" s="23" t="str">
        <f t="shared" si="1"/>
        <v>FAIL</v>
      </c>
      <c r="H14" s="24" t="s">
        <v>12</v>
      </c>
      <c r="I14" s="19"/>
      <c r="J14" s="25"/>
      <c r="K14" s="8"/>
      <c r="M14" s="11"/>
    </row>
    <row r="15" spans="1:13" x14ac:dyDescent="0.3">
      <c r="A15" s="18" t="s">
        <v>49</v>
      </c>
      <c r="B15" s="19" t="s">
        <v>42</v>
      </c>
      <c r="C15" s="20">
        <v>17</v>
      </c>
      <c r="D15" s="83">
        <f t="shared" si="2"/>
        <v>17</v>
      </c>
      <c r="E15" s="28">
        <v>1000</v>
      </c>
      <c r="F15" s="19">
        <f t="shared" si="0"/>
        <v>100</v>
      </c>
      <c r="G15" s="84" t="str">
        <f t="shared" si="1"/>
        <v>PASS</v>
      </c>
      <c r="H15" s="24" t="s">
        <v>12</v>
      </c>
      <c r="I15" s="19"/>
      <c r="J15" s="25"/>
      <c r="K15" s="8"/>
      <c r="M15" s="11"/>
    </row>
    <row r="16" spans="1:13" x14ac:dyDescent="0.3">
      <c r="A16" s="29" t="s">
        <v>50</v>
      </c>
      <c r="B16" s="19" t="s">
        <v>42</v>
      </c>
      <c r="C16" s="20">
        <v>22.4</v>
      </c>
      <c r="D16" s="83">
        <f t="shared" si="2"/>
        <v>22.4</v>
      </c>
      <c r="E16" s="28">
        <v>13.8</v>
      </c>
      <c r="F16" s="19">
        <f t="shared" si="0"/>
        <v>1.3800000000000001</v>
      </c>
      <c r="G16" s="23" t="str">
        <f t="shared" si="1"/>
        <v>FAIL</v>
      </c>
      <c r="H16" s="24" t="s">
        <v>12</v>
      </c>
      <c r="I16" s="19"/>
      <c r="J16" s="25"/>
      <c r="K16" s="8"/>
      <c r="M16" s="11"/>
    </row>
    <row r="17" spans="1:13" x14ac:dyDescent="0.3">
      <c r="A17" s="18" t="s">
        <v>51</v>
      </c>
      <c r="B17" s="19" t="s">
        <v>42</v>
      </c>
      <c r="C17" s="20">
        <v>34.6</v>
      </c>
      <c r="D17" s="83">
        <f t="shared" si="2"/>
        <v>34.6</v>
      </c>
      <c r="E17" s="30">
        <v>113</v>
      </c>
      <c r="F17" s="19">
        <f t="shared" si="0"/>
        <v>11.3</v>
      </c>
      <c r="G17" s="23" t="str">
        <f t="shared" si="1"/>
        <v>FAIL</v>
      </c>
      <c r="H17" s="24" t="s">
        <v>12</v>
      </c>
      <c r="I17" s="19"/>
      <c r="J17" s="25"/>
      <c r="K17" s="8"/>
      <c r="M17" s="11"/>
    </row>
    <row r="18" spans="1:13" x14ac:dyDescent="0.3">
      <c r="A18" s="18"/>
      <c r="B18" s="19"/>
      <c r="C18" s="20"/>
      <c r="D18" s="83"/>
      <c r="E18" s="28"/>
      <c r="F18" s="19"/>
      <c r="G18" s="84"/>
      <c r="H18" s="24" t="s">
        <v>12</v>
      </c>
      <c r="I18" s="19"/>
      <c r="J18" s="25"/>
      <c r="K18" s="8"/>
      <c r="M18" s="11"/>
    </row>
    <row r="19" spans="1:13" x14ac:dyDescent="0.3">
      <c r="A19" s="18"/>
      <c r="B19" s="19"/>
      <c r="C19" s="20"/>
      <c r="D19" s="26"/>
      <c r="E19" s="28"/>
      <c r="F19" s="19"/>
      <c r="G19" s="27"/>
      <c r="H19" s="24" t="s">
        <v>12</v>
      </c>
      <c r="I19" s="19"/>
      <c r="J19" s="25"/>
      <c r="K19" s="8"/>
      <c r="M19" s="11"/>
    </row>
    <row r="20" spans="1:13" x14ac:dyDescent="0.3">
      <c r="A20" s="18"/>
      <c r="B20" s="19"/>
      <c r="C20" s="20"/>
      <c r="D20" s="26"/>
      <c r="E20" s="28"/>
      <c r="F20" s="19"/>
      <c r="G20" s="27"/>
      <c r="H20" s="24" t="s">
        <v>12</v>
      </c>
      <c r="I20" s="19"/>
      <c r="J20" s="25"/>
      <c r="K20" s="8"/>
      <c r="M20" s="11"/>
    </row>
    <row r="21" spans="1:13" x14ac:dyDescent="0.3">
      <c r="A21" s="5"/>
      <c r="B21" s="11"/>
      <c r="C21" s="11"/>
      <c r="D21" s="31"/>
      <c r="E21" s="12"/>
      <c r="F21" s="12"/>
      <c r="G21" s="12"/>
      <c r="H21" s="12"/>
      <c r="I21" s="11"/>
      <c r="J21" s="11"/>
      <c r="K21" s="32"/>
      <c r="L21" s="33"/>
      <c r="M21" s="11"/>
    </row>
    <row r="22" spans="1:13" ht="18" x14ac:dyDescent="0.35">
      <c r="A22" s="103" t="s">
        <v>69</v>
      </c>
      <c r="B22" s="11"/>
      <c r="C22" s="11"/>
      <c r="D22" s="31"/>
      <c r="E22" s="12"/>
      <c r="F22" s="12"/>
      <c r="G22" s="12"/>
      <c r="H22" s="12"/>
      <c r="I22" s="11"/>
      <c r="J22" s="11"/>
      <c r="K22" s="32"/>
      <c r="L22" s="33"/>
      <c r="M22" s="11"/>
    </row>
    <row r="23" spans="1:13" ht="58.8" customHeight="1" x14ac:dyDescent="0.3">
      <c r="A23" s="34" t="s">
        <v>13</v>
      </c>
      <c r="B23" s="97" t="s">
        <v>66</v>
      </c>
      <c r="C23" s="35" t="s">
        <v>14</v>
      </c>
      <c r="D23" s="36" t="s">
        <v>15</v>
      </c>
      <c r="E23" s="37" t="s">
        <v>44</v>
      </c>
      <c r="F23" s="12"/>
      <c r="G23" s="12"/>
      <c r="H23" s="12"/>
      <c r="I23" s="11"/>
      <c r="J23" s="11"/>
      <c r="K23" s="32"/>
      <c r="L23" s="33"/>
      <c r="M23" s="11"/>
    </row>
    <row r="24" spans="1:13" x14ac:dyDescent="0.3">
      <c r="A24" s="85" t="s">
        <v>53</v>
      </c>
      <c r="B24" s="19">
        <f>C8</f>
        <v>1270</v>
      </c>
      <c r="C24" s="19" t="s">
        <v>54</v>
      </c>
      <c r="D24" s="19" t="s">
        <v>54</v>
      </c>
      <c r="E24" s="40" t="e">
        <f>B24*D24</f>
        <v>#VALUE!</v>
      </c>
      <c r="F24" s="12"/>
      <c r="G24" s="12"/>
      <c r="H24" s="12"/>
      <c r="I24" s="11"/>
      <c r="J24" s="11"/>
      <c r="K24" s="32"/>
      <c r="L24" s="33"/>
      <c r="M24" s="11"/>
    </row>
    <row r="25" spans="1:13" x14ac:dyDescent="0.3">
      <c r="A25" s="50" t="s">
        <v>45</v>
      </c>
      <c r="B25" s="19">
        <f t="shared" ref="B25:B33" si="6">C9</f>
        <v>2600</v>
      </c>
      <c r="C25" s="19" t="s">
        <v>54</v>
      </c>
      <c r="D25" s="19" t="s">
        <v>54</v>
      </c>
      <c r="E25" s="40" t="e">
        <f t="shared" ref="E25:E35" si="7">B25*D25</f>
        <v>#VALUE!</v>
      </c>
      <c r="F25" s="12"/>
      <c r="G25" s="12"/>
      <c r="H25" s="12"/>
      <c r="I25" s="11"/>
      <c r="J25" s="11"/>
      <c r="K25" s="32"/>
      <c r="L25" s="33"/>
      <c r="M25" s="11"/>
    </row>
    <row r="26" spans="1:13" x14ac:dyDescent="0.3">
      <c r="A26" s="50" t="s">
        <v>52</v>
      </c>
      <c r="B26" s="19">
        <f t="shared" si="6"/>
        <v>5300</v>
      </c>
      <c r="C26" s="19" t="s">
        <v>54</v>
      </c>
      <c r="D26" s="19" t="s">
        <v>54</v>
      </c>
      <c r="E26" s="40" t="e">
        <f t="shared" si="7"/>
        <v>#VALUE!</v>
      </c>
      <c r="F26" s="12"/>
      <c r="G26" s="12"/>
      <c r="H26" s="12"/>
      <c r="I26" s="11"/>
      <c r="J26" s="11"/>
      <c r="K26" s="32"/>
      <c r="L26" s="33"/>
      <c r="M26" s="11"/>
    </row>
    <row r="27" spans="1:13" x14ac:dyDescent="0.3">
      <c r="A27" s="50" t="s">
        <v>46</v>
      </c>
      <c r="B27" s="19">
        <f t="shared" si="6"/>
        <v>4</v>
      </c>
      <c r="C27" s="19" t="s">
        <v>54</v>
      </c>
      <c r="D27" s="19" t="s">
        <v>54</v>
      </c>
      <c r="E27" s="40" t="e">
        <f t="shared" si="7"/>
        <v>#VALUE!</v>
      </c>
      <c r="F27" s="12"/>
      <c r="G27" s="12"/>
      <c r="H27" s="12"/>
      <c r="I27" s="11"/>
      <c r="J27" s="11"/>
      <c r="K27" s="32"/>
      <c r="L27" s="33"/>
      <c r="M27" s="11"/>
    </row>
    <row r="28" spans="1:13" x14ac:dyDescent="0.3">
      <c r="A28" s="86" t="s">
        <v>41</v>
      </c>
      <c r="B28" s="19">
        <f t="shared" si="6"/>
        <v>0.08</v>
      </c>
      <c r="C28" s="19" t="s">
        <v>54</v>
      </c>
      <c r="D28" s="19" t="s">
        <v>54</v>
      </c>
      <c r="E28" s="40" t="e">
        <f t="shared" si="7"/>
        <v>#VALUE!</v>
      </c>
      <c r="F28" s="12"/>
      <c r="G28" s="12"/>
      <c r="H28" s="12"/>
      <c r="I28" s="11"/>
      <c r="J28" s="11"/>
      <c r="K28" s="32"/>
      <c r="L28" s="33"/>
      <c r="M28" s="11"/>
    </row>
    <row r="29" spans="1:13" x14ac:dyDescent="0.3">
      <c r="A29" s="85" t="s">
        <v>47</v>
      </c>
      <c r="B29" s="19">
        <f t="shared" si="6"/>
        <v>2.5</v>
      </c>
      <c r="C29" s="19" t="s">
        <v>54</v>
      </c>
      <c r="D29" s="19" t="s">
        <v>54</v>
      </c>
      <c r="E29" s="40" t="e">
        <f t="shared" si="7"/>
        <v>#VALUE!</v>
      </c>
      <c r="F29" s="12"/>
      <c r="G29" s="12"/>
      <c r="H29" s="12"/>
      <c r="I29" s="11"/>
      <c r="J29" s="11"/>
      <c r="K29" s="32"/>
      <c r="L29" s="33"/>
      <c r="M29" s="11"/>
    </row>
    <row r="30" spans="1:13" x14ac:dyDescent="0.3">
      <c r="A30" s="85" t="s">
        <v>48</v>
      </c>
      <c r="B30" s="19">
        <f t="shared" si="6"/>
        <v>7</v>
      </c>
      <c r="C30" s="19" t="s">
        <v>54</v>
      </c>
      <c r="D30" s="19" t="s">
        <v>54</v>
      </c>
      <c r="E30" s="40" t="e">
        <f t="shared" si="7"/>
        <v>#VALUE!</v>
      </c>
      <c r="F30" s="12"/>
      <c r="G30" s="12"/>
      <c r="H30" s="12"/>
      <c r="I30" s="11"/>
      <c r="J30" s="11"/>
      <c r="K30" s="32"/>
      <c r="L30" s="33"/>
      <c r="M30" s="11"/>
    </row>
    <row r="31" spans="1:13" x14ac:dyDescent="0.3">
      <c r="A31" s="50" t="s">
        <v>49</v>
      </c>
      <c r="B31" s="19">
        <f t="shared" si="6"/>
        <v>17</v>
      </c>
      <c r="C31" s="19" t="s">
        <v>54</v>
      </c>
      <c r="D31" s="19" t="s">
        <v>54</v>
      </c>
      <c r="E31" s="40" t="e">
        <f t="shared" si="7"/>
        <v>#VALUE!</v>
      </c>
      <c r="F31" s="12"/>
      <c r="G31" s="12"/>
      <c r="H31" s="12"/>
      <c r="I31" s="11"/>
      <c r="J31" s="11"/>
      <c r="K31" s="32"/>
      <c r="L31" s="33"/>
      <c r="M31" s="11"/>
    </row>
    <row r="32" spans="1:13" x14ac:dyDescent="0.3">
      <c r="A32" s="50" t="s">
        <v>50</v>
      </c>
      <c r="B32" s="19">
        <f t="shared" si="6"/>
        <v>22.4</v>
      </c>
      <c r="C32" s="19" t="s">
        <v>54</v>
      </c>
      <c r="D32" s="19" t="s">
        <v>54</v>
      </c>
      <c r="E32" s="40" t="e">
        <f>B32*D32</f>
        <v>#VALUE!</v>
      </c>
      <c r="F32" s="12"/>
      <c r="G32" s="12"/>
      <c r="H32" s="12"/>
      <c r="I32" s="11"/>
      <c r="J32" s="11"/>
      <c r="K32" s="32"/>
      <c r="L32" s="33"/>
      <c r="M32" s="11"/>
    </row>
    <row r="33" spans="1:13" x14ac:dyDescent="0.3">
      <c r="A33" s="25" t="s">
        <v>51</v>
      </c>
      <c r="B33" s="19">
        <f t="shared" si="6"/>
        <v>34.6</v>
      </c>
      <c r="C33" s="19" t="s">
        <v>54</v>
      </c>
      <c r="D33" s="19" t="s">
        <v>54</v>
      </c>
      <c r="E33" s="40" t="e">
        <f t="shared" si="7"/>
        <v>#VALUE!</v>
      </c>
      <c r="F33" s="12"/>
      <c r="G33" s="12"/>
      <c r="H33" s="12"/>
      <c r="I33" s="11"/>
      <c r="J33" s="11"/>
      <c r="K33" s="32"/>
      <c r="L33" s="33"/>
      <c r="M33" s="11"/>
    </row>
    <row r="34" spans="1:13" x14ac:dyDescent="0.3">
      <c r="A34" s="38"/>
      <c r="B34" s="19"/>
      <c r="C34" s="19"/>
      <c r="D34" s="39"/>
      <c r="E34" s="40">
        <f t="shared" si="7"/>
        <v>0</v>
      </c>
      <c r="F34" s="12"/>
      <c r="G34" s="12"/>
      <c r="H34" s="12"/>
      <c r="I34" s="11"/>
      <c r="J34" s="11"/>
      <c r="K34" s="32"/>
      <c r="L34" s="33"/>
      <c r="M34" s="11"/>
    </row>
    <row r="35" spans="1:13" x14ac:dyDescent="0.3">
      <c r="A35" s="38"/>
      <c r="B35" s="19"/>
      <c r="C35" s="19"/>
      <c r="D35" s="39"/>
      <c r="E35" s="40">
        <f t="shared" si="7"/>
        <v>0</v>
      </c>
      <c r="F35" s="12"/>
      <c r="G35" s="12"/>
      <c r="H35" s="12"/>
      <c r="I35" s="11"/>
      <c r="J35" s="11"/>
      <c r="K35" s="32"/>
      <c r="L35" s="33"/>
      <c r="M35" s="11"/>
    </row>
    <row r="36" spans="1:13" x14ac:dyDescent="0.3">
      <c r="A36" s="5"/>
      <c r="B36" s="11"/>
      <c r="C36" s="11"/>
      <c r="D36" s="31"/>
      <c r="E36" s="12"/>
      <c r="F36" s="12"/>
      <c r="G36" s="12"/>
      <c r="H36" s="12"/>
      <c r="I36" s="11"/>
      <c r="J36" s="11"/>
      <c r="K36" s="32"/>
      <c r="L36" s="33"/>
      <c r="M36" s="11"/>
    </row>
    <row r="37" spans="1:13" x14ac:dyDescent="0.3">
      <c r="A37" s="10" t="s">
        <v>16</v>
      </c>
      <c r="B37" s="11"/>
      <c r="C37" s="11"/>
      <c r="D37" s="12"/>
      <c r="E37" s="11"/>
      <c r="F37" s="11"/>
      <c r="G37" s="11"/>
      <c r="H37" s="11"/>
      <c r="I37" s="11"/>
      <c r="J37" s="11"/>
      <c r="K37" s="13"/>
      <c r="L37" s="41"/>
    </row>
    <row r="38" spans="1:13" x14ac:dyDescent="0.3">
      <c r="A38" s="25" t="s">
        <v>17</v>
      </c>
      <c r="B38" s="19"/>
      <c r="C38" s="11"/>
      <c r="D38" s="12"/>
      <c r="E38" s="11"/>
      <c r="F38" s="11"/>
      <c r="G38" s="11"/>
      <c r="H38" s="11"/>
      <c r="I38" s="11"/>
      <c r="J38" s="11"/>
      <c r="K38" s="13"/>
      <c r="L38" s="41"/>
    </row>
    <row r="39" spans="1:13" ht="16.2" x14ac:dyDescent="0.3">
      <c r="A39" s="25" t="s">
        <v>71</v>
      </c>
      <c r="B39" s="110">
        <f>C39/(60*60*24)</f>
        <v>1.1574074074074073E-2</v>
      </c>
      <c r="C39" s="115">
        <v>1000</v>
      </c>
      <c r="D39" s="40" t="s">
        <v>20</v>
      </c>
      <c r="G39" s="11"/>
      <c r="H39" s="11"/>
      <c r="I39" s="11"/>
      <c r="J39" s="11"/>
      <c r="K39" s="13"/>
      <c r="L39" s="41"/>
    </row>
    <row r="40" spans="1:13" x14ac:dyDescent="0.3">
      <c r="A40" s="25" t="s">
        <v>18</v>
      </c>
      <c r="B40" s="110" t="s">
        <v>54</v>
      </c>
      <c r="C40" s="43"/>
      <c r="D40" s="44"/>
      <c r="G40" s="11"/>
      <c r="H40" s="11"/>
      <c r="I40" s="11"/>
      <c r="J40" s="11"/>
      <c r="K40" s="13"/>
      <c r="L40" s="41"/>
    </row>
    <row r="41" spans="1:13" x14ac:dyDescent="0.3">
      <c r="A41" s="25" t="s">
        <v>19</v>
      </c>
      <c r="B41" s="110">
        <v>7</v>
      </c>
      <c r="C41" s="42"/>
      <c r="D41" s="12"/>
      <c r="G41" s="11"/>
      <c r="H41" s="11"/>
      <c r="I41" s="11"/>
      <c r="J41" s="11"/>
      <c r="K41" s="13"/>
      <c r="L41" s="41"/>
    </row>
    <row r="42" spans="1:13" ht="30.6" x14ac:dyDescent="0.3">
      <c r="A42" s="111" t="s">
        <v>70</v>
      </c>
      <c r="B42" s="112" t="s">
        <v>54</v>
      </c>
      <c r="C42" s="42"/>
      <c r="D42" s="12"/>
      <c r="G42" s="11"/>
      <c r="H42" s="11"/>
      <c r="I42" s="11"/>
      <c r="J42" s="11"/>
      <c r="K42" s="13"/>
      <c r="L42" s="41"/>
    </row>
    <row r="43" spans="1:13" ht="16.2" x14ac:dyDescent="0.3">
      <c r="A43" s="25" t="s">
        <v>74</v>
      </c>
      <c r="B43" s="113">
        <v>9.6560000000000006</v>
      </c>
      <c r="C43" s="45"/>
      <c r="D43" s="12"/>
      <c r="E43" s="106"/>
      <c r="F43" s="106"/>
      <c r="G43" s="45"/>
      <c r="H43" s="45"/>
      <c r="I43" s="11"/>
      <c r="J43" s="11"/>
      <c r="K43" s="13"/>
      <c r="L43" s="41"/>
    </row>
    <row r="44" spans="1:13" ht="16.2" x14ac:dyDescent="0.3">
      <c r="A44" s="25" t="s">
        <v>75</v>
      </c>
      <c r="B44" s="114">
        <v>16.8</v>
      </c>
      <c r="C44" s="11"/>
      <c r="D44" s="12"/>
      <c r="E44" s="11"/>
      <c r="F44" s="11"/>
      <c r="G44" s="11"/>
      <c r="H44" s="11"/>
      <c r="I44" s="11"/>
      <c r="J44" s="11"/>
      <c r="K44" s="13"/>
      <c r="L44" s="41"/>
    </row>
    <row r="45" spans="1:13" x14ac:dyDescent="0.3">
      <c r="A45" s="5"/>
      <c r="B45" s="11"/>
      <c r="C45" s="11"/>
      <c r="D45" s="12"/>
      <c r="E45" s="11"/>
      <c r="F45" s="11"/>
      <c r="G45" s="11"/>
      <c r="H45" s="11"/>
      <c r="I45" s="11"/>
      <c r="J45" s="11"/>
      <c r="K45" s="13"/>
      <c r="L45" s="41"/>
    </row>
    <row r="46" spans="1:13" x14ac:dyDescent="0.3">
      <c r="A46" s="46" t="s">
        <v>13</v>
      </c>
      <c r="B46" s="47" t="s">
        <v>6</v>
      </c>
      <c r="C46" s="48" t="s">
        <v>7</v>
      </c>
      <c r="D46" s="47" t="s">
        <v>21</v>
      </c>
      <c r="E46" s="47" t="s">
        <v>22</v>
      </c>
      <c r="F46" s="47" t="s">
        <v>23</v>
      </c>
      <c r="G46" s="47" t="s">
        <v>24</v>
      </c>
      <c r="I46" s="49"/>
      <c r="J46" s="49"/>
      <c r="K46" s="13"/>
      <c r="L46" s="41"/>
    </row>
    <row r="47" spans="1:13" x14ac:dyDescent="0.3">
      <c r="A47" s="85" t="s">
        <v>53</v>
      </c>
      <c r="B47" s="19" t="s">
        <v>42</v>
      </c>
      <c r="C47" s="83">
        <f>C8</f>
        <v>1270</v>
      </c>
      <c r="D47" s="88">
        <f>(C47*B$39)/(B$39+B$43)</f>
        <v>1.5204511453905665</v>
      </c>
      <c r="E47" s="88">
        <f>E8</f>
        <v>620</v>
      </c>
      <c r="F47" s="88">
        <f t="shared" ref="F47:F56" si="8">E47*0.04</f>
        <v>24.8</v>
      </c>
      <c r="G47" s="84" t="str">
        <f t="shared" ref="G47:G56" si="9">IF(D47&gt;F47,"FAIL","PASS")</f>
        <v>PASS</v>
      </c>
      <c r="I47" s="54"/>
      <c r="K47" s="13"/>
      <c r="L47" s="41"/>
    </row>
    <row r="48" spans="1:13" x14ac:dyDescent="0.3">
      <c r="A48" s="50" t="s">
        <v>45</v>
      </c>
      <c r="B48" s="19" t="s">
        <v>42</v>
      </c>
      <c r="C48" s="83">
        <f t="shared" ref="C48:C56" si="10">C9</f>
        <v>2600</v>
      </c>
      <c r="D48" s="90">
        <f t="shared" ref="D48:D56" si="11">(C48*B$39)/(B$39+B$43)</f>
        <v>3.1127346283586403</v>
      </c>
      <c r="E48" s="88">
        <f t="shared" ref="E48:E56" si="12">E9</f>
        <v>250000</v>
      </c>
      <c r="F48" s="88">
        <f t="shared" si="8"/>
        <v>10000</v>
      </c>
      <c r="G48" s="84" t="str">
        <f t="shared" si="9"/>
        <v>PASS</v>
      </c>
      <c r="K48" s="8"/>
      <c r="L48" s="11"/>
    </row>
    <row r="49" spans="1:16" x14ac:dyDescent="0.3">
      <c r="A49" s="50" t="s">
        <v>52</v>
      </c>
      <c r="B49" s="19" t="s">
        <v>42</v>
      </c>
      <c r="C49" s="83">
        <f t="shared" si="10"/>
        <v>5300</v>
      </c>
      <c r="D49" s="90">
        <f t="shared" si="11"/>
        <v>6.3451898193464586</v>
      </c>
      <c r="E49" s="88">
        <f t="shared" si="12"/>
        <v>400000</v>
      </c>
      <c r="F49" s="88">
        <f t="shared" si="8"/>
        <v>16000</v>
      </c>
      <c r="G49" s="84" t="str">
        <f t="shared" si="9"/>
        <v>PASS</v>
      </c>
      <c r="K49" s="13"/>
      <c r="L49" s="41"/>
    </row>
    <row r="50" spans="1:16" x14ac:dyDescent="0.3">
      <c r="A50" s="50" t="s">
        <v>46</v>
      </c>
      <c r="B50" s="19" t="s">
        <v>42</v>
      </c>
      <c r="C50" s="87">
        <f t="shared" si="10"/>
        <v>4</v>
      </c>
      <c r="D50" s="52">
        <f t="shared" si="11"/>
        <v>4.7888225051671389E-3</v>
      </c>
      <c r="E50" s="88">
        <f t="shared" si="12"/>
        <v>50</v>
      </c>
      <c r="F50" s="88">
        <f t="shared" si="8"/>
        <v>2</v>
      </c>
      <c r="G50" s="84" t="str">
        <f t="shared" si="9"/>
        <v>PASS</v>
      </c>
      <c r="K50" s="13"/>
      <c r="L50" s="41"/>
    </row>
    <row r="51" spans="1:16" x14ac:dyDescent="0.3">
      <c r="A51" s="86" t="s">
        <v>41</v>
      </c>
      <c r="B51" s="19" t="s">
        <v>42</v>
      </c>
      <c r="C51" s="87">
        <f t="shared" si="10"/>
        <v>0.08</v>
      </c>
      <c r="D51" s="52">
        <f t="shared" si="11"/>
        <v>9.5776450103342766E-5</v>
      </c>
      <c r="E51" s="89">
        <f t="shared" si="12"/>
        <v>0.09</v>
      </c>
      <c r="F51" s="89">
        <f t="shared" si="8"/>
        <v>3.5999999999999999E-3</v>
      </c>
      <c r="G51" s="84" t="str">
        <f t="shared" si="9"/>
        <v>PASS</v>
      </c>
      <c r="K51" s="13"/>
      <c r="L51" s="41"/>
    </row>
    <row r="52" spans="1:16" x14ac:dyDescent="0.3">
      <c r="A52" s="85" t="s">
        <v>47</v>
      </c>
      <c r="B52" s="19" t="s">
        <v>42</v>
      </c>
      <c r="C52" s="87">
        <f t="shared" si="10"/>
        <v>2.5</v>
      </c>
      <c r="D52" s="52">
        <f t="shared" si="11"/>
        <v>2.9930140657294614E-3</v>
      </c>
      <c r="E52" s="88">
        <f t="shared" si="12"/>
        <v>4.7</v>
      </c>
      <c r="F52" s="89">
        <f t="shared" si="8"/>
        <v>0.188</v>
      </c>
      <c r="G52" s="84" t="str">
        <f t="shared" si="9"/>
        <v>PASS</v>
      </c>
      <c r="K52" s="13"/>
      <c r="L52" s="41"/>
    </row>
    <row r="53" spans="1:16" x14ac:dyDescent="0.3">
      <c r="A53" s="85" t="s">
        <v>48</v>
      </c>
      <c r="B53" s="19" t="s">
        <v>42</v>
      </c>
      <c r="C53" s="87">
        <f t="shared" si="10"/>
        <v>7</v>
      </c>
      <c r="D53" s="52">
        <f t="shared" si="11"/>
        <v>8.3804393840424939E-3</v>
      </c>
      <c r="E53" s="88">
        <f t="shared" si="12"/>
        <v>1</v>
      </c>
      <c r="F53" s="89">
        <f t="shared" si="8"/>
        <v>0.04</v>
      </c>
      <c r="G53" s="84" t="str">
        <f t="shared" si="9"/>
        <v>PASS</v>
      </c>
      <c r="K53" s="13"/>
      <c r="L53" s="41"/>
    </row>
    <row r="54" spans="1:16" x14ac:dyDescent="0.3">
      <c r="A54" s="50" t="s">
        <v>49</v>
      </c>
      <c r="B54" s="19" t="s">
        <v>42</v>
      </c>
      <c r="C54" s="87">
        <f t="shared" si="10"/>
        <v>17</v>
      </c>
      <c r="D54" s="52">
        <f t="shared" si="11"/>
        <v>2.0352495646960338E-2</v>
      </c>
      <c r="E54" s="88">
        <f t="shared" si="12"/>
        <v>1000</v>
      </c>
      <c r="F54" s="88">
        <f t="shared" si="8"/>
        <v>40</v>
      </c>
      <c r="G54" s="84" t="str">
        <f t="shared" si="9"/>
        <v>PASS</v>
      </c>
      <c r="K54" s="13"/>
      <c r="L54" s="41"/>
    </row>
    <row r="55" spans="1:16" x14ac:dyDescent="0.3">
      <c r="A55" s="50" t="s">
        <v>50</v>
      </c>
      <c r="B55" s="19" t="s">
        <v>42</v>
      </c>
      <c r="C55" s="87">
        <f t="shared" si="10"/>
        <v>22.4</v>
      </c>
      <c r="D55" s="52">
        <f t="shared" si="11"/>
        <v>2.6817406028935977E-2</v>
      </c>
      <c r="E55" s="88">
        <f t="shared" si="12"/>
        <v>13.8</v>
      </c>
      <c r="F55" s="88">
        <f t="shared" si="8"/>
        <v>0.55200000000000005</v>
      </c>
      <c r="G55" s="84" t="str">
        <f t="shared" si="9"/>
        <v>PASS</v>
      </c>
      <c r="K55" s="13"/>
      <c r="L55" s="41"/>
    </row>
    <row r="56" spans="1:16" x14ac:dyDescent="0.3">
      <c r="A56" s="25" t="s">
        <v>51</v>
      </c>
      <c r="B56" s="19" t="s">
        <v>42</v>
      </c>
      <c r="C56" s="19">
        <f t="shared" si="10"/>
        <v>34.6</v>
      </c>
      <c r="D56" s="26">
        <f t="shared" si="11"/>
        <v>4.1423314669695753E-2</v>
      </c>
      <c r="E56" s="19">
        <f t="shared" si="12"/>
        <v>113</v>
      </c>
      <c r="F56" s="19">
        <f t="shared" si="8"/>
        <v>4.5200000000000005</v>
      </c>
      <c r="G56" s="91" t="str">
        <f t="shared" si="9"/>
        <v>PASS</v>
      </c>
      <c r="H56" s="11"/>
      <c r="I56" s="11"/>
      <c r="J56" s="11"/>
      <c r="K56" s="13"/>
      <c r="L56" s="41"/>
    </row>
    <row r="57" spans="1:16" x14ac:dyDescent="0.3">
      <c r="A57" s="5"/>
      <c r="B57" s="11"/>
      <c r="C57" s="11"/>
      <c r="D57" s="12"/>
      <c r="E57" s="11"/>
      <c r="F57" s="11"/>
      <c r="G57" s="11"/>
      <c r="H57" s="11"/>
      <c r="I57" s="11"/>
      <c r="J57" s="11"/>
      <c r="K57" s="13"/>
      <c r="L57" s="41"/>
    </row>
    <row r="58" spans="1:16" x14ac:dyDescent="0.3">
      <c r="A58" s="10" t="s">
        <v>25</v>
      </c>
      <c r="B58" s="11"/>
      <c r="C58" s="11"/>
      <c r="D58" s="12"/>
      <c r="E58" s="11"/>
      <c r="F58" s="11"/>
      <c r="G58" s="11"/>
      <c r="H58" s="11"/>
      <c r="I58" s="11"/>
      <c r="J58" s="11"/>
      <c r="K58" s="13"/>
      <c r="L58" s="41"/>
    </row>
    <row r="59" spans="1:16" x14ac:dyDescent="0.3">
      <c r="A59" s="55" t="s">
        <v>72</v>
      </c>
      <c r="B59" s="56"/>
      <c r="C59" s="11"/>
      <c r="D59" s="12"/>
      <c r="E59" s="11"/>
      <c r="F59" s="11"/>
      <c r="G59" s="11"/>
      <c r="H59" s="11"/>
      <c r="I59" s="11"/>
      <c r="J59" s="11"/>
      <c r="K59" s="13"/>
      <c r="L59" s="41"/>
    </row>
    <row r="60" spans="1:16" x14ac:dyDescent="0.3">
      <c r="A60" s="5" t="s">
        <v>26</v>
      </c>
      <c r="B60" s="56"/>
      <c r="C60" s="11"/>
      <c r="D60" s="12"/>
      <c r="E60" s="11"/>
      <c r="F60" s="11"/>
      <c r="G60" s="11"/>
      <c r="H60" s="11"/>
      <c r="I60" s="11"/>
      <c r="J60" s="11"/>
      <c r="K60" s="13"/>
      <c r="L60" s="41"/>
    </row>
    <row r="61" spans="1:16" x14ac:dyDescent="0.3">
      <c r="A61" s="5" t="s">
        <v>27</v>
      </c>
      <c r="B61" s="57"/>
      <c r="C61" s="11"/>
      <c r="D61" s="12"/>
      <c r="E61" s="11"/>
      <c r="F61" s="11"/>
      <c r="G61" s="11"/>
      <c r="H61" s="11"/>
      <c r="I61" s="11"/>
      <c r="J61" s="11"/>
      <c r="K61" s="13"/>
      <c r="L61" s="41"/>
    </row>
    <row r="62" spans="1:16" x14ac:dyDescent="0.3">
      <c r="A62" s="34" t="s">
        <v>13</v>
      </c>
      <c r="B62" s="58" t="s">
        <v>6</v>
      </c>
      <c r="C62" s="59" t="s">
        <v>21</v>
      </c>
      <c r="D62" s="58" t="s">
        <v>28</v>
      </c>
      <c r="E62" s="58" t="s">
        <v>29</v>
      </c>
      <c r="F62" s="58" t="s">
        <v>30</v>
      </c>
      <c r="G62" s="58" t="s">
        <v>31</v>
      </c>
      <c r="H62" s="58" t="s">
        <v>22</v>
      </c>
      <c r="I62" s="58" t="s">
        <v>9</v>
      </c>
      <c r="J62" s="60" t="s">
        <v>32</v>
      </c>
      <c r="K62" s="61"/>
      <c r="L62" s="49"/>
      <c r="M62" s="11"/>
      <c r="N62" s="11"/>
      <c r="O62" s="11"/>
      <c r="P62" s="11"/>
    </row>
    <row r="63" spans="1:16" x14ac:dyDescent="0.3">
      <c r="A63" s="85" t="s">
        <v>53</v>
      </c>
      <c r="B63" s="19" t="s">
        <v>42</v>
      </c>
      <c r="C63" s="21">
        <f>D47</f>
        <v>1.5204511453905665</v>
      </c>
      <c r="D63" s="19">
        <f t="shared" ref="D63:D72" si="13">H63/2</f>
        <v>310</v>
      </c>
      <c r="E63" s="88">
        <f>C63+D63</f>
        <v>311.52045114539055</v>
      </c>
      <c r="F63" s="96">
        <f>((D63*B$43)+(C63*B$39))/(B$39+B$43)</f>
        <v>309.63068654851531</v>
      </c>
      <c r="G63" s="53">
        <f>E63-D63</f>
        <v>1.5204511453905525</v>
      </c>
      <c r="H63" s="88">
        <f>E8</f>
        <v>620</v>
      </c>
      <c r="I63" s="19">
        <f t="shared" ref="I63:I72" si="14">H63*0.1</f>
        <v>62</v>
      </c>
      <c r="J63" s="84" t="str">
        <f t="shared" ref="J63:J72" si="15">IF(G63&gt;I63,"FAIL","PASS")</f>
        <v>PASS</v>
      </c>
      <c r="K63" s="62"/>
    </row>
    <row r="64" spans="1:16" x14ac:dyDescent="0.3">
      <c r="A64" s="50" t="s">
        <v>45</v>
      </c>
      <c r="B64" s="19" t="s">
        <v>42</v>
      </c>
      <c r="C64" s="26">
        <f t="shared" ref="C64:C72" si="16">D48</f>
        <v>3.1127346283586403</v>
      </c>
      <c r="D64" s="19">
        <f t="shared" si="13"/>
        <v>125000</v>
      </c>
      <c r="E64" s="88">
        <f t="shared" ref="E64:E72" si="17">C64+D64</f>
        <v>125003.11273462836</v>
      </c>
      <c r="F64" s="96">
        <f t="shared" ref="F64:F72" si="18">((D64*B$43)+(C64*B$39))/(B$39+B$43)</f>
        <v>124850.35302329694</v>
      </c>
      <c r="G64" s="53">
        <f t="shared" ref="G64:G72" si="19">E64-D64</f>
        <v>3.1127346283610677</v>
      </c>
      <c r="H64" s="88">
        <f t="shared" ref="H64:H72" si="20">E9</f>
        <v>250000</v>
      </c>
      <c r="I64" s="19">
        <f t="shared" si="14"/>
        <v>25000</v>
      </c>
      <c r="J64" s="84" t="str">
        <f t="shared" si="15"/>
        <v>PASS</v>
      </c>
      <c r="K64" s="62"/>
    </row>
    <row r="65" spans="1:11" x14ac:dyDescent="0.3">
      <c r="A65" s="50" t="s">
        <v>52</v>
      </c>
      <c r="B65" s="19" t="s">
        <v>42</v>
      </c>
      <c r="C65" s="26">
        <f t="shared" si="16"/>
        <v>6.3451898193464586</v>
      </c>
      <c r="D65" s="19">
        <f t="shared" si="13"/>
        <v>200000</v>
      </c>
      <c r="E65" s="88">
        <f t="shared" si="17"/>
        <v>200006.34518981935</v>
      </c>
      <c r="F65" s="96">
        <f t="shared" si="18"/>
        <v>199760.56647123859</v>
      </c>
      <c r="G65" s="53">
        <f t="shared" si="19"/>
        <v>6.3451898193452507</v>
      </c>
      <c r="H65" s="88">
        <f t="shared" si="20"/>
        <v>400000</v>
      </c>
      <c r="I65" s="19">
        <f t="shared" si="14"/>
        <v>40000</v>
      </c>
      <c r="J65" s="84" t="str">
        <f t="shared" si="15"/>
        <v>PASS</v>
      </c>
      <c r="K65" s="63"/>
    </row>
    <row r="66" spans="1:11" x14ac:dyDescent="0.3">
      <c r="A66" s="50" t="s">
        <v>46</v>
      </c>
      <c r="B66" s="19" t="s">
        <v>42</v>
      </c>
      <c r="C66" s="26">
        <f t="shared" si="16"/>
        <v>4.7888225051671389E-3</v>
      </c>
      <c r="D66" s="19">
        <f t="shared" si="13"/>
        <v>25</v>
      </c>
      <c r="E66" s="89">
        <f t="shared" si="17"/>
        <v>25.004788822505166</v>
      </c>
      <c r="F66" s="95">
        <f t="shared" si="18"/>
        <v>24.97007559254795</v>
      </c>
      <c r="G66" s="53">
        <f t="shared" si="19"/>
        <v>4.7888225051657685E-3</v>
      </c>
      <c r="H66" s="89">
        <f t="shared" si="20"/>
        <v>50</v>
      </c>
      <c r="I66" s="19">
        <f t="shared" si="14"/>
        <v>5</v>
      </c>
      <c r="J66" s="84" t="str">
        <f t="shared" si="15"/>
        <v>PASS</v>
      </c>
      <c r="K66" s="62"/>
    </row>
    <row r="67" spans="1:11" x14ac:dyDescent="0.3">
      <c r="A67" s="86" t="s">
        <v>41</v>
      </c>
      <c r="B67" s="19" t="s">
        <v>42</v>
      </c>
      <c r="C67" s="26">
        <f t="shared" si="16"/>
        <v>9.5776450103342766E-5</v>
      </c>
      <c r="D67" s="19">
        <f t="shared" si="13"/>
        <v>4.4999999999999998E-2</v>
      </c>
      <c r="E67" s="122">
        <f t="shared" si="17"/>
        <v>4.5095776450103341E-2</v>
      </c>
      <c r="F67" s="120">
        <f t="shared" si="18"/>
        <v>4.4946240410921795E-2</v>
      </c>
      <c r="G67" s="53">
        <f t="shared" si="19"/>
        <v>9.5776450103342292E-5</v>
      </c>
      <c r="H67" s="89">
        <f t="shared" si="20"/>
        <v>0.09</v>
      </c>
      <c r="I67" s="19">
        <f t="shared" si="14"/>
        <v>8.9999999999999993E-3</v>
      </c>
      <c r="J67" s="84" t="str">
        <f t="shared" si="15"/>
        <v>PASS</v>
      </c>
      <c r="K67" s="63"/>
    </row>
    <row r="68" spans="1:11" x14ac:dyDescent="0.3">
      <c r="A68" s="85" t="s">
        <v>47</v>
      </c>
      <c r="B68" s="19" t="s">
        <v>42</v>
      </c>
      <c r="C68" s="26">
        <f t="shared" si="16"/>
        <v>2.9930140657294614E-3</v>
      </c>
      <c r="D68" s="19">
        <f t="shared" si="13"/>
        <v>2.35</v>
      </c>
      <c r="E68" s="89">
        <f t="shared" si="17"/>
        <v>2.3529930140657296</v>
      </c>
      <c r="F68" s="95">
        <f t="shared" si="18"/>
        <v>2.3471901500314933</v>
      </c>
      <c r="G68" s="53">
        <f t="shared" si="19"/>
        <v>2.9930140657294935E-3</v>
      </c>
      <c r="H68" s="89">
        <f t="shared" si="20"/>
        <v>4.7</v>
      </c>
      <c r="I68" s="19">
        <f t="shared" si="14"/>
        <v>0.47000000000000003</v>
      </c>
      <c r="J68" s="84" t="str">
        <f t="shared" si="15"/>
        <v>PASS</v>
      </c>
      <c r="K68" s="63"/>
    </row>
    <row r="69" spans="1:11" x14ac:dyDescent="0.3">
      <c r="A69" s="85" t="s">
        <v>48</v>
      </c>
      <c r="B69" s="19" t="s">
        <v>42</v>
      </c>
      <c r="C69" s="26">
        <f t="shared" si="16"/>
        <v>8.3804393840424939E-3</v>
      </c>
      <c r="D69" s="19">
        <f t="shared" si="13"/>
        <v>0.5</v>
      </c>
      <c r="E69" s="122">
        <f t="shared" si="17"/>
        <v>0.50838043938404254</v>
      </c>
      <c r="F69" s="120">
        <f t="shared" si="18"/>
        <v>0.49941143029603541</v>
      </c>
      <c r="G69" s="53">
        <f t="shared" si="19"/>
        <v>8.3804393840425373E-3</v>
      </c>
      <c r="H69" s="89">
        <f t="shared" si="20"/>
        <v>1</v>
      </c>
      <c r="I69" s="19">
        <f t="shared" si="14"/>
        <v>0.1</v>
      </c>
      <c r="J69" s="84" t="str">
        <f t="shared" si="15"/>
        <v>PASS</v>
      </c>
      <c r="K69" s="63"/>
    </row>
    <row r="70" spans="1:11" x14ac:dyDescent="0.3">
      <c r="A70" s="50" t="s">
        <v>49</v>
      </c>
      <c r="B70" s="19" t="s">
        <v>42</v>
      </c>
      <c r="C70" s="26">
        <f t="shared" si="16"/>
        <v>2.0352495646960338E-2</v>
      </c>
      <c r="D70" s="19">
        <f t="shared" si="13"/>
        <v>500</v>
      </c>
      <c r="E70" s="88">
        <f t="shared" si="17"/>
        <v>500.02035249564693</v>
      </c>
      <c r="F70" s="121">
        <f t="shared" si="18"/>
        <v>499.40142155297639</v>
      </c>
      <c r="G70" s="53">
        <f t="shared" si="19"/>
        <v>2.0352495646932312E-2</v>
      </c>
      <c r="H70" s="94">
        <f t="shared" si="20"/>
        <v>1000</v>
      </c>
      <c r="I70" s="19">
        <f t="shared" si="14"/>
        <v>100</v>
      </c>
      <c r="J70" s="84" t="str">
        <f t="shared" si="15"/>
        <v>PASS</v>
      </c>
      <c r="K70" s="63"/>
    </row>
    <row r="71" spans="1:11" x14ac:dyDescent="0.3">
      <c r="A71" s="50" t="s">
        <v>50</v>
      </c>
      <c r="B71" s="19" t="s">
        <v>42</v>
      </c>
      <c r="C71" s="26">
        <f t="shared" si="16"/>
        <v>2.6817406028935977E-2</v>
      </c>
      <c r="D71" s="19">
        <f t="shared" si="13"/>
        <v>6.9</v>
      </c>
      <c r="E71" s="89">
        <f t="shared" si="17"/>
        <v>6.9268174060289365</v>
      </c>
      <c r="F71" s="95">
        <f t="shared" si="18"/>
        <v>6.8917713871279664</v>
      </c>
      <c r="G71" s="53">
        <f t="shared" si="19"/>
        <v>2.6817406028936119E-2</v>
      </c>
      <c r="H71" s="89">
        <f t="shared" si="20"/>
        <v>13.8</v>
      </c>
      <c r="I71" s="19">
        <f t="shared" si="14"/>
        <v>1.3800000000000001</v>
      </c>
      <c r="J71" s="84" t="str">
        <f t="shared" si="15"/>
        <v>PASS</v>
      </c>
      <c r="K71" s="63"/>
    </row>
    <row r="72" spans="1:11" x14ac:dyDescent="0.3">
      <c r="A72" s="25" t="s">
        <v>51</v>
      </c>
      <c r="B72" s="19" t="s">
        <v>42</v>
      </c>
      <c r="C72" s="26">
        <f t="shared" si="16"/>
        <v>4.1423314669695753E-2</v>
      </c>
      <c r="D72" s="19">
        <f t="shared" si="13"/>
        <v>56.5</v>
      </c>
      <c r="E72" s="89">
        <f t="shared" si="17"/>
        <v>56.541423314669693</v>
      </c>
      <c r="F72" s="121">
        <f t="shared" si="18"/>
        <v>56.432407474339897</v>
      </c>
      <c r="G72" s="53">
        <f t="shared" si="19"/>
        <v>4.1423314669692957E-2</v>
      </c>
      <c r="H72" s="88">
        <f t="shared" si="20"/>
        <v>113</v>
      </c>
      <c r="I72" s="19">
        <f t="shared" si="14"/>
        <v>11.3</v>
      </c>
      <c r="J72" s="84" t="str">
        <f t="shared" si="15"/>
        <v>PASS</v>
      </c>
      <c r="K72" s="63"/>
    </row>
    <row r="73" spans="1:11" x14ac:dyDescent="0.3">
      <c r="A73" s="64"/>
      <c r="B73" s="11"/>
      <c r="D73" s="12"/>
      <c r="E73" s="11"/>
      <c r="F73" s="65"/>
      <c r="G73" s="65"/>
      <c r="H73" s="12"/>
      <c r="I73" s="11"/>
      <c r="J73" s="11"/>
      <c r="K73" s="66"/>
    </row>
    <row r="74" spans="1:11" x14ac:dyDescent="0.3">
      <c r="A74" s="10" t="s">
        <v>33</v>
      </c>
      <c r="B74" s="11"/>
      <c r="C74" s="12"/>
      <c r="D74" s="11"/>
      <c r="E74" s="11"/>
      <c r="F74" s="11"/>
      <c r="G74" s="11"/>
      <c r="K74" s="8"/>
    </row>
    <row r="75" spans="1:11" x14ac:dyDescent="0.3">
      <c r="A75" s="67"/>
      <c r="B75" s="11"/>
      <c r="C75" s="12"/>
      <c r="D75" s="11"/>
      <c r="E75" s="11"/>
      <c r="F75" s="11"/>
      <c r="G75" s="11"/>
      <c r="K75" s="8"/>
    </row>
    <row r="76" spans="1:11" x14ac:dyDescent="0.3">
      <c r="A76" s="68" t="s">
        <v>13</v>
      </c>
      <c r="B76" s="69" t="s">
        <v>6</v>
      </c>
      <c r="C76" s="70" t="s">
        <v>21</v>
      </c>
      <c r="D76" s="69" t="s">
        <v>28</v>
      </c>
      <c r="E76" s="69" t="s">
        <v>29</v>
      </c>
      <c r="F76" s="71"/>
      <c r="G76" s="71"/>
      <c r="H76" s="69" t="s">
        <v>22</v>
      </c>
      <c r="I76" s="71"/>
      <c r="J76" s="69" t="s">
        <v>34</v>
      </c>
      <c r="K76" s="8"/>
    </row>
    <row r="77" spans="1:11" x14ac:dyDescent="0.3">
      <c r="A77" s="85" t="s">
        <v>53</v>
      </c>
      <c r="B77" s="19" t="s">
        <v>42</v>
      </c>
      <c r="C77" s="21">
        <f>C63</f>
        <v>1.5204511453905665</v>
      </c>
      <c r="D77" s="19">
        <f>D63</f>
        <v>310</v>
      </c>
      <c r="E77" s="88">
        <f>E63</f>
        <v>311.52045114539055</v>
      </c>
      <c r="F77" s="25"/>
      <c r="G77" s="25"/>
      <c r="H77" s="19">
        <f>H63</f>
        <v>620</v>
      </c>
      <c r="I77" s="25"/>
      <c r="J77" s="84" t="str">
        <f>IF(E77&gt;H77,"FAIL","PASS")</f>
        <v>PASS</v>
      </c>
      <c r="K77" s="8"/>
    </row>
    <row r="78" spans="1:11" x14ac:dyDescent="0.3">
      <c r="A78" s="50" t="s">
        <v>45</v>
      </c>
      <c r="B78" s="19" t="s">
        <v>42</v>
      </c>
      <c r="C78" s="26">
        <f t="shared" ref="C78:E78" si="21">C64</f>
        <v>3.1127346283586403</v>
      </c>
      <c r="D78" s="19">
        <f t="shared" si="21"/>
        <v>125000</v>
      </c>
      <c r="E78" s="88">
        <f t="shared" si="21"/>
        <v>125003.11273462836</v>
      </c>
      <c r="F78" s="25"/>
      <c r="G78" s="25"/>
      <c r="H78" s="19">
        <f t="shared" ref="H78:H86" si="22">H64</f>
        <v>250000</v>
      </c>
      <c r="I78" s="25"/>
      <c r="J78" s="91" t="str">
        <f t="shared" ref="J78:J86" si="23">IF(E78&gt;H78,"FAIL","PASS")</f>
        <v>PASS</v>
      </c>
      <c r="K78" s="8"/>
    </row>
    <row r="79" spans="1:11" x14ac:dyDescent="0.3">
      <c r="A79" s="50" t="s">
        <v>52</v>
      </c>
      <c r="B79" s="19" t="s">
        <v>42</v>
      </c>
      <c r="C79" s="26">
        <f t="shared" ref="C79:E79" si="24">C65</f>
        <v>6.3451898193464586</v>
      </c>
      <c r="D79" s="40">
        <f t="shared" si="24"/>
        <v>200000</v>
      </c>
      <c r="E79" s="88">
        <f t="shared" si="24"/>
        <v>200006.34518981935</v>
      </c>
      <c r="F79" s="25"/>
      <c r="G79" s="25"/>
      <c r="H79" s="19">
        <f t="shared" si="22"/>
        <v>400000</v>
      </c>
      <c r="I79" s="25"/>
      <c r="J79" s="91" t="str">
        <f t="shared" si="23"/>
        <v>PASS</v>
      </c>
      <c r="K79" s="8"/>
    </row>
    <row r="80" spans="1:11" x14ac:dyDescent="0.3">
      <c r="A80" s="50" t="s">
        <v>46</v>
      </c>
      <c r="B80" s="19" t="s">
        <v>42</v>
      </c>
      <c r="C80" s="26">
        <f t="shared" ref="C80:E80" si="25">C66</f>
        <v>4.7888225051671389E-3</v>
      </c>
      <c r="D80" s="40">
        <f t="shared" si="25"/>
        <v>25</v>
      </c>
      <c r="E80" s="89">
        <f t="shared" si="25"/>
        <v>25.004788822505166</v>
      </c>
      <c r="F80" s="25"/>
      <c r="G80" s="25"/>
      <c r="H80" s="19">
        <f t="shared" si="22"/>
        <v>50</v>
      </c>
      <c r="I80" s="25"/>
      <c r="J80" s="91" t="str">
        <f t="shared" si="23"/>
        <v>PASS</v>
      </c>
      <c r="K80" s="8"/>
    </row>
    <row r="81" spans="1:11" x14ac:dyDescent="0.3">
      <c r="A81" s="86" t="s">
        <v>41</v>
      </c>
      <c r="B81" s="19" t="s">
        <v>42</v>
      </c>
      <c r="C81" s="26">
        <f t="shared" ref="C81:E81" si="26">C67</f>
        <v>9.5776450103342766E-5</v>
      </c>
      <c r="D81" s="40">
        <f t="shared" si="26"/>
        <v>4.4999999999999998E-2</v>
      </c>
      <c r="E81" s="122">
        <f t="shared" si="26"/>
        <v>4.5095776450103341E-2</v>
      </c>
      <c r="F81" s="25"/>
      <c r="G81" s="25"/>
      <c r="H81" s="19">
        <f t="shared" si="22"/>
        <v>0.09</v>
      </c>
      <c r="I81" s="25"/>
      <c r="J81" s="91" t="str">
        <f t="shared" si="23"/>
        <v>PASS</v>
      </c>
      <c r="K81" s="8"/>
    </row>
    <row r="82" spans="1:11" x14ac:dyDescent="0.3">
      <c r="A82" s="85" t="s">
        <v>47</v>
      </c>
      <c r="B82" s="19" t="s">
        <v>42</v>
      </c>
      <c r="C82" s="26">
        <f t="shared" ref="C82:E82" si="27">C68</f>
        <v>2.9930140657294614E-3</v>
      </c>
      <c r="D82" s="40">
        <f t="shared" si="27"/>
        <v>2.35</v>
      </c>
      <c r="E82" s="89">
        <f t="shared" si="27"/>
        <v>2.3529930140657296</v>
      </c>
      <c r="F82" s="25"/>
      <c r="G82" s="25"/>
      <c r="H82" s="19">
        <f t="shared" si="22"/>
        <v>4.7</v>
      </c>
      <c r="I82" s="25"/>
      <c r="J82" s="91" t="str">
        <f t="shared" si="23"/>
        <v>PASS</v>
      </c>
      <c r="K82" s="8"/>
    </row>
    <row r="83" spans="1:11" x14ac:dyDescent="0.3">
      <c r="A83" s="85" t="s">
        <v>48</v>
      </c>
      <c r="B83" s="19" t="s">
        <v>42</v>
      </c>
      <c r="C83" s="26">
        <f t="shared" ref="C83:E83" si="28">C69</f>
        <v>8.3804393840424939E-3</v>
      </c>
      <c r="D83" s="40">
        <f t="shared" si="28"/>
        <v>0.5</v>
      </c>
      <c r="E83" s="122">
        <f t="shared" si="28"/>
        <v>0.50838043938404254</v>
      </c>
      <c r="F83" s="25"/>
      <c r="G83" s="25"/>
      <c r="H83" s="19">
        <f t="shared" si="22"/>
        <v>1</v>
      </c>
      <c r="I83" s="25"/>
      <c r="J83" s="91" t="str">
        <f t="shared" si="23"/>
        <v>PASS</v>
      </c>
      <c r="K83" s="8"/>
    </row>
    <row r="84" spans="1:11" x14ac:dyDescent="0.3">
      <c r="A84" s="50" t="s">
        <v>49</v>
      </c>
      <c r="B84" s="19" t="s">
        <v>42</v>
      </c>
      <c r="C84" s="26">
        <f t="shared" ref="C84:E84" si="29">C70</f>
        <v>2.0352495646960338E-2</v>
      </c>
      <c r="D84" s="40">
        <f t="shared" si="29"/>
        <v>500</v>
      </c>
      <c r="E84" s="88">
        <f t="shared" si="29"/>
        <v>500.02035249564693</v>
      </c>
      <c r="F84" s="25"/>
      <c r="G84" s="25"/>
      <c r="H84" s="19">
        <f t="shared" si="22"/>
        <v>1000</v>
      </c>
      <c r="I84" s="25"/>
      <c r="J84" s="91" t="str">
        <f t="shared" si="23"/>
        <v>PASS</v>
      </c>
      <c r="K84" s="8"/>
    </row>
    <row r="85" spans="1:11" x14ac:dyDescent="0.3">
      <c r="A85" s="50" t="s">
        <v>50</v>
      </c>
      <c r="B85" s="19" t="s">
        <v>42</v>
      </c>
      <c r="C85" s="26">
        <f t="shared" ref="C85:E85" si="30">C71</f>
        <v>2.6817406028935977E-2</v>
      </c>
      <c r="D85" s="40">
        <f t="shared" si="30"/>
        <v>6.9</v>
      </c>
      <c r="E85" s="89">
        <f t="shared" si="30"/>
        <v>6.9268174060289365</v>
      </c>
      <c r="F85" s="25"/>
      <c r="G85" s="25"/>
      <c r="H85" s="19">
        <f t="shared" si="22"/>
        <v>13.8</v>
      </c>
      <c r="I85" s="25"/>
      <c r="J85" s="91" t="str">
        <f t="shared" si="23"/>
        <v>PASS</v>
      </c>
      <c r="K85" s="8"/>
    </row>
    <row r="86" spans="1:11" x14ac:dyDescent="0.3">
      <c r="A86" s="25" t="s">
        <v>51</v>
      </c>
      <c r="B86" s="19" t="s">
        <v>42</v>
      </c>
      <c r="C86" s="19">
        <f t="shared" ref="C86:E86" si="31">C72</f>
        <v>4.1423314669695753E-2</v>
      </c>
      <c r="D86" s="40">
        <f t="shared" si="31"/>
        <v>56.5</v>
      </c>
      <c r="E86" s="89">
        <f t="shared" si="31"/>
        <v>56.541423314669693</v>
      </c>
      <c r="F86" s="25"/>
      <c r="G86" s="25"/>
      <c r="H86" s="19">
        <f t="shared" si="22"/>
        <v>113</v>
      </c>
      <c r="I86" s="25"/>
      <c r="J86" s="91" t="str">
        <f t="shared" si="23"/>
        <v>PASS</v>
      </c>
      <c r="K86" s="8"/>
    </row>
    <row r="87" spans="1:11" x14ac:dyDescent="0.3">
      <c r="B87" s="11"/>
      <c r="C87" s="11"/>
      <c r="D87" s="12"/>
      <c r="E87" s="11"/>
      <c r="H87" s="11"/>
      <c r="J87" s="100"/>
      <c r="K87" s="8"/>
    </row>
    <row r="88" spans="1:11" x14ac:dyDescent="0.3">
      <c r="A88" s="116" t="s">
        <v>35</v>
      </c>
      <c r="E88" s="11"/>
      <c r="H88" s="11"/>
      <c r="J88" s="100"/>
      <c r="K88" s="8"/>
    </row>
    <row r="89" spans="1:11" x14ac:dyDescent="0.3">
      <c r="A89" s="25" t="s">
        <v>36</v>
      </c>
      <c r="B89" s="25">
        <f>(B39*1000)*60*60*24</f>
        <v>999999.99999999977</v>
      </c>
      <c r="E89" s="11"/>
      <c r="H89" s="11"/>
      <c r="J89" s="100"/>
      <c r="K89" s="8"/>
    </row>
    <row r="90" spans="1:11" x14ac:dyDescent="0.3">
      <c r="A90" s="5"/>
      <c r="E90" s="11"/>
      <c r="H90" s="11"/>
      <c r="J90" s="100"/>
      <c r="K90" s="8"/>
    </row>
    <row r="91" spans="1:11" ht="28.8" x14ac:dyDescent="0.3">
      <c r="A91" s="72" t="s">
        <v>37</v>
      </c>
      <c r="B91" s="73" t="s">
        <v>38</v>
      </c>
      <c r="C91" s="74" t="s">
        <v>39</v>
      </c>
      <c r="D91" s="75" t="s">
        <v>40</v>
      </c>
      <c r="E91" s="11"/>
      <c r="H91" s="11"/>
      <c r="J91" s="100"/>
      <c r="K91" s="8"/>
    </row>
    <row r="92" spans="1:11" x14ac:dyDescent="0.3">
      <c r="A92" s="76" t="s">
        <v>41</v>
      </c>
      <c r="B92" s="77">
        <v>5</v>
      </c>
      <c r="C92" s="25">
        <f>C12/1000</f>
        <v>8.0000000000000007E-5</v>
      </c>
      <c r="D92" s="78">
        <f>((B89*C92)/1000000000)*365</f>
        <v>2.9199999999999995E-5</v>
      </c>
      <c r="E92" s="11"/>
      <c r="H92" s="11"/>
      <c r="J92" s="100"/>
      <c r="K92" s="8"/>
    </row>
    <row r="93" spans="1:11" ht="15" thickBot="1" x14ac:dyDescent="0.35">
      <c r="A93" s="79"/>
      <c r="B93" s="80"/>
      <c r="C93" s="80"/>
      <c r="D93" s="81"/>
      <c r="E93" s="80"/>
      <c r="F93" s="80"/>
      <c r="G93" s="80"/>
      <c r="H93" s="80"/>
      <c r="I93" s="80"/>
      <c r="J93" s="80"/>
      <c r="K93" s="82"/>
    </row>
  </sheetData>
  <mergeCells count="3">
    <mergeCell ref="H7:J7"/>
    <mergeCell ref="E43:F43"/>
    <mergeCell ref="H10:J10"/>
  </mergeCells>
  <hyperlinks>
    <hyperlink ref="B4" r:id="rId1" xr:uid="{7FDED106-3AA4-4E7C-9828-5871D4D4D06F}"/>
    <hyperlink ref="H8" r:id="rId2" display="https://www.legislation.gov.uk/uksi/2015/1623/pdfs/uksiod_20151623_en_auto.pdf" xr:uid="{846B1B86-3691-4318-B48B-B8755092D544}"/>
    <hyperlink ref="H9:H20" r:id="rId3" display="https://www.legislation.gov.uk/uksi/2015/1623/pdfs/uksiod_20151623_en_auto.pdf" xr:uid="{481BFF71-A37A-4DBA-AAF7-43B1A1835C28}"/>
  </hyperlinks>
  <pageMargins left="0.7" right="0.7" top="0.75" bottom="0.75" header="0.3" footer="0.3"/>
  <pageSetup paperSize="8" scale="69" fitToHeight="0" orientation="portrait" r:id="rId4"/>
  <ignoredErrors>
    <ignoredError sqref="D47:D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116D-E400-4F98-A26A-691F48A42DE7}">
  <sheetPr>
    <pageSetUpPr fitToPage="1"/>
  </sheetPr>
  <dimension ref="A1:P103"/>
  <sheetViews>
    <sheetView zoomScale="60" zoomScaleNormal="60" workbookViewId="0">
      <selection activeCell="G70" sqref="G70"/>
    </sheetView>
  </sheetViews>
  <sheetFormatPr defaultColWidth="8.88671875" defaultRowHeight="14.4" x14ac:dyDescent="0.3"/>
  <cols>
    <col min="1" max="1" width="47.88671875" customWidth="1"/>
    <col min="2" max="2" width="15.77734375" customWidth="1"/>
    <col min="3" max="3" width="24" customWidth="1"/>
    <col min="4" max="4" width="12.6640625" style="7" customWidth="1"/>
    <col min="5" max="5" width="11.44140625" customWidth="1"/>
    <col min="6" max="6" width="13.109375" customWidth="1"/>
    <col min="7" max="7" width="11.44140625" customWidth="1"/>
    <col min="8" max="8" width="14.44140625" customWidth="1"/>
    <col min="9" max="9" width="10.77734375" customWidth="1"/>
    <col min="10" max="10" width="24.6640625" customWidth="1"/>
    <col min="11" max="11" width="3.44140625" customWidth="1"/>
    <col min="12" max="12" width="58.21875" customWidth="1"/>
    <col min="13" max="13" width="24.109375" bestFit="1" customWidth="1"/>
    <col min="14" max="14" width="9.33203125" bestFit="1" customWidth="1"/>
    <col min="15" max="15" width="24.21875" bestFit="1" customWidth="1"/>
    <col min="16" max="16" width="23.77734375" bestFit="1" customWidth="1"/>
  </cols>
  <sheetData>
    <row r="1" spans="1:13" x14ac:dyDescent="0.3">
      <c r="A1" s="1"/>
      <c r="B1" s="2"/>
      <c r="C1" s="2"/>
      <c r="D1" s="3"/>
      <c r="E1" s="2"/>
      <c r="F1" s="2"/>
      <c r="G1" s="2"/>
      <c r="H1" s="2"/>
      <c r="I1" s="2"/>
      <c r="J1" s="2"/>
      <c r="K1" s="4"/>
    </row>
    <row r="2" spans="1:13" x14ac:dyDescent="0.3">
      <c r="A2" s="5"/>
      <c r="C2" s="6"/>
      <c r="K2" s="8"/>
    </row>
    <row r="3" spans="1:13" ht="22.8" x14ac:dyDescent="0.4">
      <c r="A3" s="9" t="s">
        <v>0</v>
      </c>
      <c r="B3" s="98" t="s">
        <v>68</v>
      </c>
      <c r="K3" s="8"/>
    </row>
    <row r="4" spans="1:13" x14ac:dyDescent="0.3">
      <c r="A4" s="5" t="s">
        <v>1</v>
      </c>
      <c r="B4" s="6" t="s">
        <v>2</v>
      </c>
      <c r="K4" s="8"/>
    </row>
    <row r="5" spans="1:13" x14ac:dyDescent="0.3">
      <c r="A5" s="10" t="s">
        <v>3</v>
      </c>
      <c r="B5" s="11"/>
      <c r="C5" s="11"/>
      <c r="D5" s="12"/>
      <c r="E5" s="11"/>
      <c r="F5" s="11"/>
      <c r="G5" s="11"/>
      <c r="H5" s="11"/>
      <c r="I5" s="11"/>
      <c r="J5" s="11"/>
      <c r="K5" s="13"/>
      <c r="L5" s="11"/>
    </row>
    <row r="6" spans="1:13" x14ac:dyDescent="0.3">
      <c r="A6" s="5" t="s">
        <v>4</v>
      </c>
      <c r="B6" s="11"/>
      <c r="C6" s="11"/>
      <c r="D6" s="12"/>
      <c r="G6" s="11"/>
      <c r="H6" s="11"/>
      <c r="I6" s="11"/>
      <c r="J6" s="11"/>
      <c r="K6" s="13"/>
      <c r="L6" s="11"/>
    </row>
    <row r="7" spans="1:13" ht="28.8" customHeight="1" x14ac:dyDescent="0.3">
      <c r="A7" s="14" t="s">
        <v>5</v>
      </c>
      <c r="B7" s="15" t="s">
        <v>6</v>
      </c>
      <c r="C7" s="16" t="s">
        <v>67</v>
      </c>
      <c r="D7" s="17" t="s">
        <v>7</v>
      </c>
      <c r="E7" s="15" t="s">
        <v>8</v>
      </c>
      <c r="F7" s="15" t="s">
        <v>9</v>
      </c>
      <c r="G7" s="15" t="s">
        <v>10</v>
      </c>
      <c r="H7" s="104" t="s">
        <v>11</v>
      </c>
      <c r="I7" s="105"/>
      <c r="J7" s="105"/>
      <c r="K7" s="8"/>
      <c r="M7" s="11"/>
    </row>
    <row r="8" spans="1:13" x14ac:dyDescent="0.3">
      <c r="A8" s="18" t="s">
        <v>43</v>
      </c>
      <c r="B8" s="19" t="s">
        <v>42</v>
      </c>
      <c r="C8" s="20">
        <v>440</v>
      </c>
      <c r="D8" s="99">
        <f>E24</f>
        <v>35.200000000000003</v>
      </c>
      <c r="E8" s="22">
        <v>620</v>
      </c>
      <c r="F8" s="19">
        <f t="shared" ref="F8:F20" si="0">E8*0.1</f>
        <v>62</v>
      </c>
      <c r="G8" s="84" t="str">
        <f t="shared" ref="G8:G20" si="1">IF(D8&gt;F8,"FAIL","PASS")</f>
        <v>PASS</v>
      </c>
      <c r="H8" s="24" t="s">
        <v>12</v>
      </c>
      <c r="I8" s="19"/>
      <c r="J8" s="25"/>
      <c r="K8" s="8"/>
      <c r="M8" s="11"/>
    </row>
    <row r="9" spans="1:13" x14ac:dyDescent="0.3">
      <c r="A9" s="18" t="s">
        <v>45</v>
      </c>
      <c r="B9" s="19" t="s">
        <v>42</v>
      </c>
      <c r="C9" s="20">
        <v>2164</v>
      </c>
      <c r="D9" s="99">
        <f t="shared" ref="D9:D20" si="2">E25</f>
        <v>2164</v>
      </c>
      <c r="E9" s="22">
        <v>250000</v>
      </c>
      <c r="F9" s="19">
        <f t="shared" si="0"/>
        <v>25000</v>
      </c>
      <c r="G9" s="84" t="str">
        <f t="shared" si="1"/>
        <v>PASS</v>
      </c>
      <c r="H9" s="24" t="s">
        <v>12</v>
      </c>
      <c r="I9" s="19"/>
      <c r="J9" s="25"/>
      <c r="K9" s="8"/>
      <c r="M9" s="11"/>
    </row>
    <row r="10" spans="1:13" x14ac:dyDescent="0.3">
      <c r="A10" s="18" t="s">
        <v>52</v>
      </c>
      <c r="B10" s="19" t="s">
        <v>42</v>
      </c>
      <c r="C10" s="20">
        <v>323250</v>
      </c>
      <c r="D10" s="99">
        <f t="shared" si="2"/>
        <v>323250</v>
      </c>
      <c r="E10" s="22">
        <v>400000</v>
      </c>
      <c r="F10" s="19">
        <f t="shared" si="0"/>
        <v>40000</v>
      </c>
      <c r="G10" s="23" t="str">
        <f t="shared" si="1"/>
        <v>FAIL</v>
      </c>
      <c r="H10" s="24" t="s">
        <v>12</v>
      </c>
      <c r="I10" s="19"/>
      <c r="J10" s="25"/>
      <c r="K10" s="8"/>
      <c r="M10" s="11"/>
    </row>
    <row r="11" spans="1:13" x14ac:dyDescent="0.3">
      <c r="A11" s="18" t="s">
        <v>46</v>
      </c>
      <c r="B11" s="19" t="s">
        <v>42</v>
      </c>
      <c r="C11" s="20">
        <v>57</v>
      </c>
      <c r="D11" s="99">
        <f t="shared" si="2"/>
        <v>50.730000000000004</v>
      </c>
      <c r="E11" s="22">
        <v>50</v>
      </c>
      <c r="F11" s="19">
        <f t="shared" si="0"/>
        <v>5</v>
      </c>
      <c r="G11" s="23" t="str">
        <f t="shared" si="1"/>
        <v>FAIL</v>
      </c>
      <c r="H11" s="24" t="s">
        <v>12</v>
      </c>
      <c r="I11" s="19"/>
      <c r="J11" s="25"/>
      <c r="K11" s="8"/>
      <c r="M11" s="11"/>
    </row>
    <row r="12" spans="1:13" x14ac:dyDescent="0.3">
      <c r="A12" s="18" t="s">
        <v>41</v>
      </c>
      <c r="B12" s="19" t="s">
        <v>42</v>
      </c>
      <c r="C12" s="20">
        <v>0.45</v>
      </c>
      <c r="D12" s="99">
        <f t="shared" si="2"/>
        <v>0.40050000000000002</v>
      </c>
      <c r="E12" s="22">
        <v>0.09</v>
      </c>
      <c r="F12" s="19">
        <f t="shared" si="0"/>
        <v>8.9999999999999993E-3</v>
      </c>
      <c r="G12" s="23" t="str">
        <f t="shared" si="1"/>
        <v>FAIL</v>
      </c>
      <c r="H12" s="24" t="s">
        <v>12</v>
      </c>
      <c r="I12" s="19"/>
      <c r="J12" s="25"/>
      <c r="K12" s="8"/>
      <c r="M12" s="11"/>
    </row>
    <row r="13" spans="1:13" x14ac:dyDescent="0.3">
      <c r="A13" s="18" t="s">
        <v>47</v>
      </c>
      <c r="B13" s="19" t="s">
        <v>42</v>
      </c>
      <c r="C13" s="20">
        <v>106</v>
      </c>
      <c r="D13" s="99">
        <f t="shared" si="2"/>
        <v>16.96</v>
      </c>
      <c r="E13" s="28">
        <v>4.7</v>
      </c>
      <c r="F13" s="19">
        <f t="shared" si="0"/>
        <v>0.47000000000000003</v>
      </c>
      <c r="G13" s="23" t="str">
        <f t="shared" si="1"/>
        <v>FAIL</v>
      </c>
      <c r="H13" s="24" t="s">
        <v>12</v>
      </c>
      <c r="I13" s="19"/>
      <c r="J13" s="25"/>
      <c r="K13" s="8"/>
      <c r="M13" s="11"/>
    </row>
    <row r="14" spans="1:13" x14ac:dyDescent="0.3">
      <c r="A14" s="18" t="s">
        <v>48</v>
      </c>
      <c r="B14" s="19" t="s">
        <v>42</v>
      </c>
      <c r="C14" s="20">
        <v>14.2</v>
      </c>
      <c r="D14" s="99">
        <f t="shared" si="2"/>
        <v>2.9819999999999998</v>
      </c>
      <c r="E14" s="28">
        <v>1</v>
      </c>
      <c r="F14" s="19">
        <f t="shared" si="0"/>
        <v>0.1</v>
      </c>
      <c r="G14" s="23" t="str">
        <f t="shared" si="1"/>
        <v>FAIL</v>
      </c>
      <c r="H14" s="24" t="s">
        <v>12</v>
      </c>
      <c r="I14" s="19"/>
      <c r="J14" s="25"/>
      <c r="K14" s="8"/>
      <c r="M14" s="11"/>
    </row>
    <row r="15" spans="1:13" x14ac:dyDescent="0.3">
      <c r="A15" s="29" t="s">
        <v>49</v>
      </c>
      <c r="B15" s="19" t="s">
        <v>42</v>
      </c>
      <c r="C15" s="20">
        <v>997</v>
      </c>
      <c r="D15" s="99">
        <f t="shared" si="2"/>
        <v>767.69</v>
      </c>
      <c r="E15" s="28">
        <v>1000</v>
      </c>
      <c r="F15" s="19">
        <f t="shared" si="0"/>
        <v>100</v>
      </c>
      <c r="G15" s="23" t="str">
        <f t="shared" si="1"/>
        <v>FAIL</v>
      </c>
      <c r="H15" s="24" t="s">
        <v>12</v>
      </c>
      <c r="I15" s="19"/>
      <c r="J15" s="25"/>
      <c r="K15" s="8"/>
      <c r="M15" s="11"/>
    </row>
    <row r="16" spans="1:13" x14ac:dyDescent="0.3">
      <c r="A16" s="18" t="s">
        <v>58</v>
      </c>
      <c r="B16" s="19" t="s">
        <v>42</v>
      </c>
      <c r="C16" s="20">
        <v>7.6</v>
      </c>
      <c r="D16" s="99">
        <f t="shared" si="2"/>
        <v>1.292</v>
      </c>
      <c r="E16" s="30">
        <v>1.2</v>
      </c>
      <c r="F16" s="19">
        <f t="shared" si="0"/>
        <v>0.12</v>
      </c>
      <c r="G16" s="23" t="str">
        <f t="shared" si="1"/>
        <v>FAIL</v>
      </c>
      <c r="H16" s="24" t="s">
        <v>12</v>
      </c>
      <c r="I16" s="19"/>
      <c r="J16" s="25"/>
      <c r="K16" s="8"/>
      <c r="M16" s="11"/>
    </row>
    <row r="17" spans="1:13" x14ac:dyDescent="0.3">
      <c r="A17" s="18" t="s">
        <v>59</v>
      </c>
      <c r="B17" s="19" t="s">
        <v>42</v>
      </c>
      <c r="C17" s="20">
        <v>152</v>
      </c>
      <c r="D17" s="99">
        <f t="shared" si="2"/>
        <v>115.52</v>
      </c>
      <c r="E17" s="28">
        <v>4</v>
      </c>
      <c r="F17" s="19">
        <f t="shared" si="0"/>
        <v>0.4</v>
      </c>
      <c r="G17" s="23" t="str">
        <f t="shared" si="1"/>
        <v>FAIL</v>
      </c>
      <c r="H17" s="24" t="s">
        <v>12</v>
      </c>
      <c r="I17" s="19"/>
      <c r="J17" s="25"/>
      <c r="K17" s="8"/>
      <c r="M17" s="11"/>
    </row>
    <row r="18" spans="1:13" x14ac:dyDescent="0.3">
      <c r="A18" s="18" t="s">
        <v>50</v>
      </c>
      <c r="B18" s="19" t="s">
        <v>42</v>
      </c>
      <c r="C18" s="20">
        <v>22.4</v>
      </c>
      <c r="D18" s="99">
        <f t="shared" si="2"/>
        <v>7.3919999999999995</v>
      </c>
      <c r="E18" s="28">
        <v>13.8</v>
      </c>
      <c r="F18" s="19">
        <f t="shared" si="0"/>
        <v>1.3800000000000001</v>
      </c>
      <c r="G18" s="23" t="str">
        <f t="shared" si="1"/>
        <v>FAIL</v>
      </c>
      <c r="H18" s="107" t="s">
        <v>12</v>
      </c>
      <c r="I18" s="108"/>
      <c r="J18" s="109"/>
      <c r="K18" s="8"/>
      <c r="M18" s="11"/>
    </row>
    <row r="19" spans="1:13" x14ac:dyDescent="0.3">
      <c r="A19" s="18" t="s">
        <v>61</v>
      </c>
      <c r="B19" s="19" t="s">
        <v>42</v>
      </c>
      <c r="C19" s="20">
        <v>7750</v>
      </c>
      <c r="D19" s="99">
        <f t="shared" si="2"/>
        <v>6200</v>
      </c>
      <c r="E19" s="28">
        <v>148</v>
      </c>
      <c r="F19" s="19">
        <f t="shared" si="0"/>
        <v>14.8</v>
      </c>
      <c r="G19" s="23" t="str">
        <f t="shared" si="1"/>
        <v>FAIL</v>
      </c>
      <c r="H19" s="24" t="s">
        <v>12</v>
      </c>
      <c r="I19" s="19"/>
      <c r="J19" s="25"/>
      <c r="K19" s="8"/>
      <c r="M19" s="11"/>
    </row>
    <row r="20" spans="1:13" x14ac:dyDescent="0.3">
      <c r="A20" s="18" t="s">
        <v>60</v>
      </c>
      <c r="B20" s="19" t="s">
        <v>42</v>
      </c>
      <c r="C20" s="20">
        <v>50.3</v>
      </c>
      <c r="D20" s="99">
        <f t="shared" si="2"/>
        <v>50.3</v>
      </c>
      <c r="E20" s="28">
        <v>18</v>
      </c>
      <c r="F20" s="19">
        <f t="shared" si="0"/>
        <v>1.8</v>
      </c>
      <c r="G20" s="23" t="str">
        <f t="shared" si="1"/>
        <v>FAIL</v>
      </c>
      <c r="H20" s="24" t="s">
        <v>12</v>
      </c>
      <c r="I20" s="19"/>
      <c r="J20" s="25"/>
      <c r="K20" s="8"/>
      <c r="M20" s="11"/>
    </row>
    <row r="21" spans="1:13" x14ac:dyDescent="0.3">
      <c r="A21" s="5"/>
      <c r="B21" s="11"/>
      <c r="C21" s="11"/>
      <c r="D21" s="31"/>
      <c r="E21" s="12"/>
      <c r="F21" s="12"/>
      <c r="G21" s="12"/>
      <c r="H21" s="12"/>
      <c r="I21" s="11"/>
      <c r="J21" s="11"/>
      <c r="K21" s="32"/>
      <c r="L21" s="33"/>
      <c r="M21" s="11"/>
    </row>
    <row r="22" spans="1:13" ht="18" x14ac:dyDescent="0.35">
      <c r="A22" s="103" t="s">
        <v>69</v>
      </c>
      <c r="B22" s="11"/>
      <c r="C22" s="11"/>
      <c r="D22" s="31"/>
      <c r="E22" s="12"/>
      <c r="F22" s="12"/>
      <c r="G22" s="12"/>
      <c r="H22" s="12"/>
      <c r="I22" s="11"/>
      <c r="J22" s="11"/>
      <c r="K22" s="32"/>
      <c r="L22" s="33"/>
      <c r="M22" s="11"/>
    </row>
    <row r="23" spans="1:13" ht="58.8" customHeight="1" x14ac:dyDescent="0.3">
      <c r="A23" s="34" t="s">
        <v>13</v>
      </c>
      <c r="B23" s="35" t="s">
        <v>62</v>
      </c>
      <c r="C23" s="35" t="s">
        <v>14</v>
      </c>
      <c r="D23" s="36" t="s">
        <v>15</v>
      </c>
      <c r="E23" s="37" t="s">
        <v>44</v>
      </c>
      <c r="F23" s="12"/>
      <c r="G23" s="12"/>
      <c r="H23" s="12"/>
      <c r="I23" s="11"/>
      <c r="J23" s="11"/>
      <c r="K23" s="32"/>
      <c r="L23" s="33"/>
      <c r="M23" s="11"/>
    </row>
    <row r="24" spans="1:13" x14ac:dyDescent="0.3">
      <c r="A24" s="18" t="s">
        <v>53</v>
      </c>
      <c r="B24" s="19">
        <f>C8</f>
        <v>440</v>
      </c>
      <c r="C24" s="19">
        <v>92</v>
      </c>
      <c r="D24" s="19">
        <f>((100-C24)/100)</f>
        <v>0.08</v>
      </c>
      <c r="E24" s="40">
        <f>B24*D24</f>
        <v>35.200000000000003</v>
      </c>
      <c r="F24" s="12"/>
      <c r="G24" s="12"/>
      <c r="H24" s="12"/>
      <c r="I24" s="11"/>
      <c r="J24" s="11"/>
      <c r="K24" s="32"/>
      <c r="L24" s="33"/>
      <c r="M24" s="11"/>
    </row>
    <row r="25" spans="1:13" x14ac:dyDescent="0.3">
      <c r="A25" s="18" t="s">
        <v>45</v>
      </c>
      <c r="B25" s="19">
        <f t="shared" ref="B25:B36" si="3">C9</f>
        <v>2164</v>
      </c>
      <c r="C25" s="19">
        <v>0</v>
      </c>
      <c r="D25" s="19">
        <f t="shared" ref="D25:D36" si="4">((100-C25)/100)</f>
        <v>1</v>
      </c>
      <c r="E25" s="40">
        <f t="shared" ref="E25:E36" si="5">B25*D25</f>
        <v>2164</v>
      </c>
      <c r="F25" s="12"/>
      <c r="G25" s="12"/>
      <c r="H25" s="12"/>
      <c r="I25" s="11"/>
      <c r="J25" s="11"/>
      <c r="K25" s="32"/>
      <c r="L25" s="33"/>
      <c r="M25" s="11"/>
    </row>
    <row r="26" spans="1:13" x14ac:dyDescent="0.3">
      <c r="A26" s="18" t="s">
        <v>63</v>
      </c>
      <c r="B26" s="19">
        <f t="shared" si="3"/>
        <v>323250</v>
      </c>
      <c r="C26" s="19">
        <v>0</v>
      </c>
      <c r="D26" s="19">
        <f t="shared" si="4"/>
        <v>1</v>
      </c>
      <c r="E26" s="40">
        <f t="shared" si="5"/>
        <v>323250</v>
      </c>
      <c r="F26" s="12"/>
      <c r="G26" s="12"/>
      <c r="H26" s="12"/>
      <c r="I26" s="11"/>
      <c r="J26" s="11"/>
      <c r="K26" s="32"/>
      <c r="L26" s="33"/>
      <c r="M26" s="11"/>
    </row>
    <row r="27" spans="1:13" x14ac:dyDescent="0.3">
      <c r="A27" s="18" t="s">
        <v>46</v>
      </c>
      <c r="B27" s="19">
        <f t="shared" si="3"/>
        <v>57</v>
      </c>
      <c r="C27" s="19">
        <v>11</v>
      </c>
      <c r="D27" s="19">
        <f t="shared" si="4"/>
        <v>0.89</v>
      </c>
      <c r="E27" s="40">
        <f t="shared" si="5"/>
        <v>50.730000000000004</v>
      </c>
      <c r="F27" s="12"/>
      <c r="G27" s="12"/>
      <c r="H27" s="12"/>
      <c r="I27" s="11"/>
      <c r="J27" s="11"/>
      <c r="K27" s="32"/>
      <c r="L27" s="33"/>
      <c r="M27" s="11"/>
    </row>
    <row r="28" spans="1:13" x14ac:dyDescent="0.3">
      <c r="A28" s="18" t="s">
        <v>41</v>
      </c>
      <c r="B28" s="19">
        <f t="shared" si="3"/>
        <v>0.45</v>
      </c>
      <c r="C28" s="19">
        <v>11</v>
      </c>
      <c r="D28" s="19">
        <f t="shared" si="4"/>
        <v>0.89</v>
      </c>
      <c r="E28" s="40">
        <f t="shared" si="5"/>
        <v>0.40050000000000002</v>
      </c>
      <c r="F28" s="12"/>
      <c r="G28" s="12"/>
      <c r="H28" s="12"/>
      <c r="I28" s="11"/>
      <c r="J28" s="11"/>
      <c r="K28" s="32"/>
      <c r="L28" s="33"/>
      <c r="M28" s="11"/>
    </row>
    <row r="29" spans="1:13" x14ac:dyDescent="0.3">
      <c r="A29" s="18" t="s">
        <v>47</v>
      </c>
      <c r="B29" s="19">
        <f t="shared" si="3"/>
        <v>106</v>
      </c>
      <c r="C29" s="19">
        <v>84</v>
      </c>
      <c r="D29" s="19">
        <f t="shared" si="4"/>
        <v>0.16</v>
      </c>
      <c r="E29" s="40">
        <f t="shared" si="5"/>
        <v>16.96</v>
      </c>
      <c r="F29" s="12"/>
      <c r="G29" s="12"/>
      <c r="H29" s="12"/>
      <c r="I29" s="11"/>
      <c r="J29" s="11"/>
      <c r="K29" s="32"/>
      <c r="L29" s="33"/>
      <c r="M29" s="11"/>
    </row>
    <row r="30" spans="1:13" x14ac:dyDescent="0.3">
      <c r="A30" s="18" t="s">
        <v>48</v>
      </c>
      <c r="B30" s="19">
        <f t="shared" si="3"/>
        <v>14.2</v>
      </c>
      <c r="C30" s="19">
        <v>79</v>
      </c>
      <c r="D30" s="19">
        <f t="shared" si="4"/>
        <v>0.21</v>
      </c>
      <c r="E30" s="40">
        <f t="shared" si="5"/>
        <v>2.9819999999999998</v>
      </c>
      <c r="F30" s="12"/>
      <c r="G30" s="12"/>
      <c r="H30" s="12"/>
      <c r="I30" s="11"/>
      <c r="J30" s="11"/>
      <c r="K30" s="32"/>
      <c r="L30" s="33"/>
      <c r="M30" s="11"/>
    </row>
    <row r="31" spans="1:13" x14ac:dyDescent="0.3">
      <c r="A31" s="29" t="s">
        <v>49</v>
      </c>
      <c r="B31" s="19">
        <f t="shared" si="3"/>
        <v>997</v>
      </c>
      <c r="C31" s="19">
        <v>23</v>
      </c>
      <c r="D31" s="19">
        <f t="shared" si="4"/>
        <v>0.77</v>
      </c>
      <c r="E31" s="40">
        <f t="shared" si="5"/>
        <v>767.69</v>
      </c>
      <c r="F31" s="12"/>
      <c r="G31" s="12"/>
      <c r="H31" s="12"/>
      <c r="I31" s="11"/>
      <c r="J31" s="11"/>
      <c r="K31" s="32"/>
      <c r="L31" s="33"/>
      <c r="M31" s="11"/>
    </row>
    <row r="32" spans="1:13" x14ac:dyDescent="0.3">
      <c r="A32" s="18" t="s">
        <v>58</v>
      </c>
      <c r="B32" s="19">
        <f t="shared" si="3"/>
        <v>7.6</v>
      </c>
      <c r="C32" s="19">
        <v>83</v>
      </c>
      <c r="D32" s="19">
        <f t="shared" si="4"/>
        <v>0.17</v>
      </c>
      <c r="E32" s="40">
        <f>B32*D32</f>
        <v>1.292</v>
      </c>
      <c r="F32" s="12"/>
      <c r="G32" s="12"/>
      <c r="H32" s="12"/>
      <c r="I32" s="11"/>
      <c r="J32" s="11"/>
      <c r="K32" s="32"/>
      <c r="L32" s="33"/>
      <c r="M32" s="11"/>
    </row>
    <row r="33" spans="1:13" x14ac:dyDescent="0.3">
      <c r="A33" s="18" t="s">
        <v>59</v>
      </c>
      <c r="B33" s="19">
        <f t="shared" si="3"/>
        <v>152</v>
      </c>
      <c r="C33" s="19">
        <v>24</v>
      </c>
      <c r="D33" s="19">
        <f t="shared" si="4"/>
        <v>0.76</v>
      </c>
      <c r="E33" s="40">
        <f t="shared" si="5"/>
        <v>115.52</v>
      </c>
      <c r="F33" s="12"/>
      <c r="G33" s="12"/>
      <c r="H33" s="12"/>
      <c r="I33" s="11"/>
      <c r="J33" s="11"/>
      <c r="K33" s="32"/>
      <c r="L33" s="33"/>
      <c r="M33" s="11"/>
    </row>
    <row r="34" spans="1:13" x14ac:dyDescent="0.3">
      <c r="A34" s="18" t="s">
        <v>50</v>
      </c>
      <c r="B34" s="19">
        <f t="shared" si="3"/>
        <v>22.4</v>
      </c>
      <c r="C34" s="19">
        <v>67</v>
      </c>
      <c r="D34" s="19">
        <f t="shared" si="4"/>
        <v>0.33</v>
      </c>
      <c r="E34" s="40">
        <f t="shared" si="5"/>
        <v>7.3919999999999995</v>
      </c>
      <c r="F34" s="12"/>
      <c r="G34" s="12"/>
      <c r="H34" s="12"/>
      <c r="I34" s="11"/>
      <c r="J34" s="11"/>
      <c r="K34" s="32"/>
      <c r="L34" s="33"/>
      <c r="M34" s="11"/>
    </row>
    <row r="35" spans="1:13" x14ac:dyDescent="0.3">
      <c r="A35" s="18" t="s">
        <v>61</v>
      </c>
      <c r="B35" s="19">
        <f t="shared" si="3"/>
        <v>7750</v>
      </c>
      <c r="C35" s="19">
        <v>20</v>
      </c>
      <c r="D35" s="39">
        <f t="shared" si="4"/>
        <v>0.8</v>
      </c>
      <c r="E35" s="40">
        <f t="shared" si="5"/>
        <v>6200</v>
      </c>
      <c r="F35" s="12"/>
      <c r="G35" s="12"/>
      <c r="H35" s="12"/>
      <c r="I35" s="11"/>
      <c r="J35" s="11"/>
      <c r="K35" s="32"/>
      <c r="L35" s="33"/>
      <c r="M35" s="11"/>
    </row>
    <row r="36" spans="1:13" x14ac:dyDescent="0.3">
      <c r="A36" s="18" t="s">
        <v>60</v>
      </c>
      <c r="B36" s="19">
        <f t="shared" si="3"/>
        <v>50.3</v>
      </c>
      <c r="C36" s="19">
        <v>0</v>
      </c>
      <c r="D36" s="39">
        <f t="shared" si="4"/>
        <v>1</v>
      </c>
      <c r="E36" s="40">
        <f t="shared" si="5"/>
        <v>50.3</v>
      </c>
      <c r="F36" s="12"/>
      <c r="G36" s="12"/>
      <c r="H36" s="12"/>
      <c r="I36" s="11"/>
      <c r="J36" s="11"/>
      <c r="K36" s="32"/>
      <c r="L36" s="33"/>
      <c r="M36" s="11"/>
    </row>
    <row r="37" spans="1:13" x14ac:dyDescent="0.3">
      <c r="A37" s="5"/>
      <c r="B37" s="11"/>
      <c r="C37" s="11"/>
      <c r="D37" s="31"/>
      <c r="E37" s="12"/>
      <c r="F37" s="12"/>
      <c r="G37" s="12"/>
      <c r="H37" s="12"/>
      <c r="I37" s="11"/>
      <c r="J37" s="11"/>
      <c r="K37" s="32"/>
      <c r="L37" s="33"/>
      <c r="M37" s="11"/>
    </row>
    <row r="38" spans="1:13" x14ac:dyDescent="0.3">
      <c r="A38" s="10" t="s">
        <v>16</v>
      </c>
      <c r="B38" s="11"/>
      <c r="C38" s="11"/>
      <c r="D38" s="12"/>
      <c r="E38" s="11"/>
      <c r="F38" s="11"/>
      <c r="G38" s="11"/>
      <c r="H38" s="11"/>
      <c r="I38" s="11"/>
      <c r="J38" s="11"/>
      <c r="K38" s="13"/>
      <c r="L38" s="41"/>
    </row>
    <row r="39" spans="1:13" x14ac:dyDescent="0.3">
      <c r="A39" s="25" t="s">
        <v>17</v>
      </c>
      <c r="B39" s="117"/>
      <c r="C39" s="11"/>
      <c r="D39" s="12"/>
      <c r="E39" s="11"/>
      <c r="F39" s="11"/>
      <c r="G39" s="11"/>
      <c r="H39" s="11"/>
      <c r="I39" s="11"/>
      <c r="J39" s="11"/>
      <c r="K39" s="13"/>
      <c r="L39" s="41"/>
    </row>
    <row r="40" spans="1:13" ht="16.2" x14ac:dyDescent="0.3">
      <c r="A40" s="25" t="s">
        <v>76</v>
      </c>
      <c r="B40" s="110">
        <v>1.1574074074074073E-2</v>
      </c>
      <c r="C40" s="119">
        <v>1000</v>
      </c>
      <c r="D40" s="40" t="s">
        <v>20</v>
      </c>
      <c r="G40" s="11"/>
      <c r="H40" s="11"/>
      <c r="I40" s="11"/>
      <c r="J40" s="11"/>
      <c r="K40" s="13"/>
      <c r="L40" s="41"/>
    </row>
    <row r="41" spans="1:13" x14ac:dyDescent="0.3">
      <c r="A41" s="25" t="s">
        <v>18</v>
      </c>
      <c r="B41" s="118" t="s">
        <v>54</v>
      </c>
      <c r="C41" s="43"/>
      <c r="D41" s="44"/>
      <c r="G41" s="11"/>
      <c r="H41" s="11"/>
      <c r="I41" s="11"/>
      <c r="J41" s="11"/>
      <c r="K41" s="13"/>
      <c r="L41" s="41"/>
    </row>
    <row r="42" spans="1:13" x14ac:dyDescent="0.3">
      <c r="A42" s="25" t="s">
        <v>19</v>
      </c>
      <c r="B42" s="110">
        <v>7</v>
      </c>
      <c r="C42" s="42"/>
      <c r="D42" s="12"/>
      <c r="G42" s="11"/>
      <c r="H42" s="11"/>
      <c r="I42" s="11"/>
      <c r="J42" s="11"/>
      <c r="K42" s="13"/>
      <c r="L42" s="41"/>
    </row>
    <row r="43" spans="1:13" ht="30.6" x14ac:dyDescent="0.3">
      <c r="A43" s="111" t="s">
        <v>70</v>
      </c>
      <c r="B43" s="112" t="s">
        <v>54</v>
      </c>
      <c r="C43" s="42"/>
      <c r="D43" s="12"/>
      <c r="G43" s="11"/>
      <c r="H43" s="11"/>
      <c r="I43" s="11"/>
      <c r="J43" s="11"/>
      <c r="K43" s="13"/>
      <c r="L43" s="41"/>
    </row>
    <row r="44" spans="1:13" ht="16.2" x14ac:dyDescent="0.3">
      <c r="A44" s="25" t="s">
        <v>74</v>
      </c>
      <c r="B44" s="113">
        <v>9.6560000000000006</v>
      </c>
      <c r="C44" s="45"/>
      <c r="D44" s="12"/>
      <c r="E44" s="106"/>
      <c r="F44" s="106"/>
      <c r="G44" s="45"/>
      <c r="H44" s="45"/>
      <c r="I44" s="11"/>
      <c r="J44" s="11"/>
      <c r="K44" s="13"/>
      <c r="L44" s="41"/>
    </row>
    <row r="45" spans="1:13" ht="16.2" x14ac:dyDescent="0.3">
      <c r="A45" s="25" t="s">
        <v>75</v>
      </c>
      <c r="B45" s="113">
        <v>16.8</v>
      </c>
      <c r="C45" s="11"/>
      <c r="D45" s="12"/>
      <c r="E45" s="11"/>
      <c r="F45" s="11"/>
      <c r="G45" s="11"/>
      <c r="H45" s="11"/>
      <c r="I45" s="11"/>
      <c r="J45" s="11"/>
      <c r="K45" s="13"/>
      <c r="L45" s="41"/>
    </row>
    <row r="46" spans="1:13" x14ac:dyDescent="0.3">
      <c r="A46" s="5"/>
      <c r="B46" s="11"/>
      <c r="C46" s="11"/>
      <c r="D46" s="12"/>
      <c r="E46" s="11"/>
      <c r="F46" s="11"/>
      <c r="G46" s="11"/>
      <c r="H46" s="11"/>
      <c r="I46" s="11"/>
      <c r="J46" s="11"/>
      <c r="K46" s="13"/>
      <c r="L46" s="41"/>
    </row>
    <row r="47" spans="1:13" x14ac:dyDescent="0.3">
      <c r="A47" s="46" t="s">
        <v>13</v>
      </c>
      <c r="B47" s="47" t="s">
        <v>6</v>
      </c>
      <c r="C47" s="48" t="s">
        <v>7</v>
      </c>
      <c r="D47" s="47" t="s">
        <v>21</v>
      </c>
      <c r="E47" s="47" t="s">
        <v>22</v>
      </c>
      <c r="F47" s="47" t="s">
        <v>23</v>
      </c>
      <c r="G47" s="47" t="s">
        <v>24</v>
      </c>
      <c r="I47" s="49"/>
      <c r="J47" s="49"/>
      <c r="K47" s="13"/>
      <c r="L47" s="41"/>
    </row>
    <row r="48" spans="1:13" x14ac:dyDescent="0.3">
      <c r="A48" s="18" t="s">
        <v>53</v>
      </c>
      <c r="B48" s="19" t="s">
        <v>42</v>
      </c>
      <c r="C48" s="99">
        <f>D8</f>
        <v>35.200000000000003</v>
      </c>
      <c r="D48" s="51">
        <f>(C48*B$40)/(B$40+B$44)</f>
        <v>4.2141638045470824E-2</v>
      </c>
      <c r="E48" s="89">
        <f>E8</f>
        <v>620</v>
      </c>
      <c r="F48" s="94">
        <f t="shared" ref="F48:F60" si="6">E48*0.04</f>
        <v>24.8</v>
      </c>
      <c r="G48" s="84" t="str">
        <f t="shared" ref="G48:G60" si="7">IF(D48&gt;F48,"FAIL","PASS")</f>
        <v>PASS</v>
      </c>
      <c r="I48" s="54"/>
      <c r="K48" s="13"/>
      <c r="L48" s="41"/>
    </row>
    <row r="49" spans="1:12" x14ac:dyDescent="0.3">
      <c r="A49" s="18" t="s">
        <v>45</v>
      </c>
      <c r="B49" s="19" t="s">
        <v>42</v>
      </c>
      <c r="C49" s="83">
        <f t="shared" ref="C49:C60" si="8">D9</f>
        <v>2164</v>
      </c>
      <c r="D49" s="52">
        <f t="shared" ref="D49:D60" si="9">(C49*B$40)/(B$40+B$44)</f>
        <v>2.5907529752954219</v>
      </c>
      <c r="E49" s="88">
        <f t="shared" ref="E49:E60" si="10">E9</f>
        <v>250000</v>
      </c>
      <c r="F49" s="88">
        <f t="shared" si="6"/>
        <v>10000</v>
      </c>
      <c r="G49" s="84" t="str">
        <f t="shared" si="7"/>
        <v>PASS</v>
      </c>
      <c r="K49" s="8"/>
      <c r="L49" s="11"/>
    </row>
    <row r="50" spans="1:12" x14ac:dyDescent="0.3">
      <c r="A50" s="18" t="s">
        <v>52</v>
      </c>
      <c r="B50" s="19" t="s">
        <v>42</v>
      </c>
      <c r="C50" s="83">
        <f t="shared" si="8"/>
        <v>323250</v>
      </c>
      <c r="D50" s="88">
        <f t="shared" si="9"/>
        <v>386.99671869881939</v>
      </c>
      <c r="E50" s="88">
        <f t="shared" si="10"/>
        <v>400000</v>
      </c>
      <c r="F50" s="88">
        <f t="shared" si="6"/>
        <v>16000</v>
      </c>
      <c r="G50" s="84" t="str">
        <f t="shared" si="7"/>
        <v>PASS</v>
      </c>
      <c r="K50" s="13"/>
      <c r="L50" s="41"/>
    </row>
    <row r="51" spans="1:12" x14ac:dyDescent="0.3">
      <c r="A51" s="18" t="s">
        <v>46</v>
      </c>
      <c r="B51" s="19" t="s">
        <v>42</v>
      </c>
      <c r="C51" s="99">
        <f t="shared" si="8"/>
        <v>50.730000000000004</v>
      </c>
      <c r="D51" s="52">
        <f t="shared" si="9"/>
        <v>6.0734241421782235E-2</v>
      </c>
      <c r="E51" s="94">
        <f t="shared" si="10"/>
        <v>50</v>
      </c>
      <c r="F51" s="94">
        <f t="shared" si="6"/>
        <v>2</v>
      </c>
      <c r="G51" s="84" t="str">
        <f t="shared" si="7"/>
        <v>PASS</v>
      </c>
      <c r="K51" s="13"/>
      <c r="L51" s="41"/>
    </row>
    <row r="52" spans="1:12" x14ac:dyDescent="0.3">
      <c r="A52" s="18" t="s">
        <v>41</v>
      </c>
      <c r="B52" s="19" t="s">
        <v>42</v>
      </c>
      <c r="C52" s="99">
        <f t="shared" si="8"/>
        <v>0.40050000000000002</v>
      </c>
      <c r="D52" s="52">
        <f t="shared" si="9"/>
        <v>4.7948085332985985E-4</v>
      </c>
      <c r="E52" s="89">
        <f t="shared" si="10"/>
        <v>0.09</v>
      </c>
      <c r="F52" s="90">
        <f t="shared" si="6"/>
        <v>3.5999999999999999E-3</v>
      </c>
      <c r="G52" s="84" t="str">
        <f t="shared" si="7"/>
        <v>PASS</v>
      </c>
      <c r="K52" s="13"/>
      <c r="L52" s="41"/>
    </row>
    <row r="53" spans="1:12" x14ac:dyDescent="0.3">
      <c r="A53" s="18" t="s">
        <v>47</v>
      </c>
      <c r="B53" s="19" t="s">
        <v>42</v>
      </c>
      <c r="C53" s="99">
        <f t="shared" si="8"/>
        <v>16.96</v>
      </c>
      <c r="D53" s="52">
        <f t="shared" si="9"/>
        <v>2.030460742190867E-2</v>
      </c>
      <c r="E53" s="89">
        <f t="shared" si="10"/>
        <v>4.7</v>
      </c>
      <c r="F53" s="90">
        <f t="shared" si="6"/>
        <v>0.188</v>
      </c>
      <c r="G53" s="84" t="str">
        <f t="shared" si="7"/>
        <v>PASS</v>
      </c>
      <c r="K53" s="13"/>
      <c r="L53" s="41"/>
    </row>
    <row r="54" spans="1:12" x14ac:dyDescent="0.3">
      <c r="A54" s="18" t="s">
        <v>48</v>
      </c>
      <c r="B54" s="19" t="s">
        <v>42</v>
      </c>
      <c r="C54" s="99">
        <f t="shared" si="8"/>
        <v>2.9819999999999998</v>
      </c>
      <c r="D54" s="52">
        <f t="shared" si="9"/>
        <v>3.570067177602102E-3</v>
      </c>
      <c r="E54" s="89">
        <f t="shared" si="10"/>
        <v>1</v>
      </c>
      <c r="F54" s="90">
        <f t="shared" si="6"/>
        <v>0.04</v>
      </c>
      <c r="G54" s="84" t="str">
        <f t="shared" si="7"/>
        <v>PASS</v>
      </c>
      <c r="K54" s="13"/>
      <c r="L54" s="41"/>
    </row>
    <row r="55" spans="1:12" x14ac:dyDescent="0.3">
      <c r="A55" s="29" t="s">
        <v>49</v>
      </c>
      <c r="B55" s="19" t="s">
        <v>42</v>
      </c>
      <c r="C55" s="99">
        <f t="shared" si="8"/>
        <v>767.69</v>
      </c>
      <c r="D55" s="52">
        <f t="shared" si="9"/>
        <v>0.91908278724794013</v>
      </c>
      <c r="E55" s="88">
        <f t="shared" si="10"/>
        <v>1000</v>
      </c>
      <c r="F55" s="88">
        <f t="shared" si="6"/>
        <v>40</v>
      </c>
      <c r="G55" s="84" t="str">
        <f t="shared" si="7"/>
        <v>PASS</v>
      </c>
      <c r="K55" s="13"/>
      <c r="L55" s="41"/>
    </row>
    <row r="56" spans="1:12" x14ac:dyDescent="0.3">
      <c r="A56" s="18" t="s">
        <v>58</v>
      </c>
      <c r="B56" s="19" t="s">
        <v>42</v>
      </c>
      <c r="C56" s="99">
        <f t="shared" si="8"/>
        <v>1.292</v>
      </c>
      <c r="D56" s="52">
        <f t="shared" si="9"/>
        <v>1.5467896691689859E-3</v>
      </c>
      <c r="E56" s="89">
        <f t="shared" si="10"/>
        <v>1.2</v>
      </c>
      <c r="F56" s="90">
        <f t="shared" si="6"/>
        <v>4.8000000000000001E-2</v>
      </c>
      <c r="G56" s="84" t="str">
        <f t="shared" si="7"/>
        <v>PASS</v>
      </c>
      <c r="K56" s="13"/>
      <c r="L56" s="41"/>
    </row>
    <row r="57" spans="1:12" x14ac:dyDescent="0.3">
      <c r="A57" s="18" t="s">
        <v>59</v>
      </c>
      <c r="B57" s="19" t="s">
        <v>42</v>
      </c>
      <c r="C57" s="99">
        <f t="shared" si="8"/>
        <v>115.52</v>
      </c>
      <c r="D57" s="52">
        <f t="shared" si="9"/>
        <v>0.13830119394922696</v>
      </c>
      <c r="E57" s="89">
        <f t="shared" si="10"/>
        <v>4</v>
      </c>
      <c r="F57" s="90">
        <f t="shared" si="6"/>
        <v>0.16</v>
      </c>
      <c r="G57" s="84" t="str">
        <f t="shared" si="7"/>
        <v>PASS</v>
      </c>
      <c r="K57" s="13"/>
      <c r="L57" s="41"/>
    </row>
    <row r="58" spans="1:12" x14ac:dyDescent="0.3">
      <c r="A58" s="18" t="s">
        <v>50</v>
      </c>
      <c r="B58" s="19" t="s">
        <v>42</v>
      </c>
      <c r="C58" s="99">
        <f t="shared" si="8"/>
        <v>7.3919999999999995</v>
      </c>
      <c r="D58" s="52">
        <f t="shared" si="9"/>
        <v>8.8497439895488719E-3</v>
      </c>
      <c r="E58" s="89">
        <f t="shared" si="10"/>
        <v>13.8</v>
      </c>
      <c r="F58" s="90">
        <f t="shared" si="6"/>
        <v>0.55200000000000005</v>
      </c>
      <c r="G58" s="84" t="str">
        <f t="shared" si="7"/>
        <v>PASS</v>
      </c>
      <c r="K58" s="13"/>
      <c r="L58" s="41"/>
    </row>
    <row r="59" spans="1:12" x14ac:dyDescent="0.3">
      <c r="A59" s="18" t="s">
        <v>61</v>
      </c>
      <c r="B59" s="19" t="s">
        <v>42</v>
      </c>
      <c r="C59" s="99">
        <f t="shared" si="8"/>
        <v>6200</v>
      </c>
      <c r="D59" s="52">
        <f t="shared" si="9"/>
        <v>7.4226748830090648</v>
      </c>
      <c r="E59" s="89">
        <f t="shared" si="10"/>
        <v>148</v>
      </c>
      <c r="F59" s="90">
        <f t="shared" si="6"/>
        <v>5.92</v>
      </c>
      <c r="G59" s="23" t="str">
        <f t="shared" si="7"/>
        <v>FAIL</v>
      </c>
      <c r="K59" s="13"/>
      <c r="L59" s="41"/>
    </row>
    <row r="60" spans="1:12" x14ac:dyDescent="0.3">
      <c r="A60" s="18" t="s">
        <v>60</v>
      </c>
      <c r="B60" s="19" t="s">
        <v>42</v>
      </c>
      <c r="C60" s="99">
        <f t="shared" si="8"/>
        <v>50.3</v>
      </c>
      <c r="D60" s="52">
        <f t="shared" si="9"/>
        <v>6.0219443002476759E-2</v>
      </c>
      <c r="E60" s="89">
        <f t="shared" si="10"/>
        <v>18</v>
      </c>
      <c r="F60" s="90">
        <f t="shared" si="6"/>
        <v>0.72</v>
      </c>
      <c r="G60" s="84" t="str">
        <f t="shared" si="7"/>
        <v>PASS</v>
      </c>
      <c r="K60" s="13"/>
      <c r="L60" s="41"/>
    </row>
    <row r="61" spans="1:12" x14ac:dyDescent="0.3">
      <c r="A61" s="5"/>
      <c r="B61" s="11"/>
      <c r="C61" s="11"/>
      <c r="D61" s="12"/>
      <c r="E61" s="11"/>
      <c r="F61" s="11"/>
      <c r="G61" s="11"/>
      <c r="H61" s="11"/>
      <c r="I61" s="11"/>
      <c r="J61" s="11"/>
      <c r="K61" s="13"/>
      <c r="L61" s="41"/>
    </row>
    <row r="62" spans="1:12" x14ac:dyDescent="0.3">
      <c r="A62" s="10" t="s">
        <v>25</v>
      </c>
      <c r="B62" s="11"/>
      <c r="C62" s="11"/>
      <c r="D62" s="12"/>
      <c r="E62" s="11"/>
      <c r="F62" s="11"/>
      <c r="G62" s="11"/>
      <c r="H62" s="11"/>
      <c r="I62" s="11"/>
      <c r="J62" s="11"/>
      <c r="K62" s="13"/>
      <c r="L62" s="41"/>
    </row>
    <row r="63" spans="1:12" x14ac:dyDescent="0.3">
      <c r="A63" s="55" t="s">
        <v>73</v>
      </c>
      <c r="B63" s="56"/>
      <c r="C63" s="11"/>
      <c r="D63" s="12"/>
      <c r="E63" s="11"/>
      <c r="F63" s="11"/>
      <c r="G63" s="11"/>
      <c r="H63" s="11"/>
      <c r="I63" s="11"/>
      <c r="J63" s="11"/>
      <c r="K63" s="13"/>
      <c r="L63" s="41"/>
    </row>
    <row r="64" spans="1:12" x14ac:dyDescent="0.3">
      <c r="A64" s="5" t="s">
        <v>26</v>
      </c>
      <c r="B64" s="56"/>
      <c r="C64" s="11"/>
      <c r="D64" s="12"/>
      <c r="E64" s="11"/>
      <c r="F64" s="11"/>
      <c r="G64" s="11"/>
      <c r="H64" s="11"/>
      <c r="I64" s="11"/>
      <c r="J64" s="11"/>
      <c r="K64" s="13"/>
      <c r="L64" s="41"/>
    </row>
    <row r="65" spans="1:16" x14ac:dyDescent="0.3">
      <c r="A65" s="5" t="s">
        <v>27</v>
      </c>
      <c r="B65" s="57"/>
      <c r="C65" s="11"/>
      <c r="D65" s="12"/>
      <c r="E65" s="11"/>
      <c r="F65" s="11"/>
      <c r="G65" s="11"/>
      <c r="H65" s="11"/>
      <c r="I65" s="11"/>
      <c r="J65" s="11"/>
      <c r="K65" s="13"/>
      <c r="L65" s="41"/>
    </row>
    <row r="66" spans="1:16" x14ac:dyDescent="0.3">
      <c r="A66" s="34" t="s">
        <v>13</v>
      </c>
      <c r="B66" s="58" t="s">
        <v>6</v>
      </c>
      <c r="C66" s="59" t="s">
        <v>21</v>
      </c>
      <c r="D66" s="58" t="s">
        <v>28</v>
      </c>
      <c r="E66" s="58" t="s">
        <v>29</v>
      </c>
      <c r="F66" s="58" t="s">
        <v>30</v>
      </c>
      <c r="G66" s="58" t="s">
        <v>31</v>
      </c>
      <c r="H66" s="58" t="s">
        <v>22</v>
      </c>
      <c r="I66" s="58" t="s">
        <v>9</v>
      </c>
      <c r="J66" s="60" t="s">
        <v>32</v>
      </c>
      <c r="K66" s="61"/>
      <c r="L66" s="49"/>
      <c r="M66" s="11"/>
      <c r="N66" s="11"/>
      <c r="O66" s="11"/>
      <c r="P66" s="11"/>
    </row>
    <row r="67" spans="1:16" x14ac:dyDescent="0.3">
      <c r="A67" s="50" t="s">
        <v>53</v>
      </c>
      <c r="B67" s="19" t="s">
        <v>56</v>
      </c>
      <c r="C67" s="21">
        <f>D48</f>
        <v>4.2141638045470824E-2</v>
      </c>
      <c r="D67" s="19">
        <f>E8/2</f>
        <v>310</v>
      </c>
      <c r="E67" s="88">
        <f>C67+D67</f>
        <v>310.04214163804545</v>
      </c>
      <c r="F67" s="96">
        <f>((D67*B$44)+(C67*B$40))/(B$40+B$44)</f>
        <v>309.62891670805567</v>
      </c>
      <c r="G67" s="53">
        <f>E67-D67</f>
        <v>4.2141638045450236E-2</v>
      </c>
      <c r="H67" s="19">
        <f>E8</f>
        <v>620</v>
      </c>
      <c r="I67" s="19">
        <f t="shared" ref="I67:I79" si="11">H67*0.1</f>
        <v>62</v>
      </c>
      <c r="J67" s="84" t="str">
        <f t="shared" ref="J67:J79" si="12">IF(G67&gt;I67,"FAIL","PASS")</f>
        <v>PASS</v>
      </c>
      <c r="K67" s="62"/>
    </row>
    <row r="68" spans="1:16" x14ac:dyDescent="0.3">
      <c r="A68" s="50" t="s">
        <v>45</v>
      </c>
      <c r="B68" s="19" t="s">
        <v>56</v>
      </c>
      <c r="C68" s="26">
        <f t="shared" ref="C68:C79" si="13">D49</f>
        <v>2.5907529752954219</v>
      </c>
      <c r="D68" s="19">
        <f t="shared" ref="D68:D79" si="14">E9/2</f>
        <v>125000</v>
      </c>
      <c r="E68" s="88">
        <f t="shared" ref="E68:E79" si="15">C68+D68</f>
        <v>125002.5907529753</v>
      </c>
      <c r="F68" s="96">
        <f t="shared" ref="F68:F79" si="16">((D68*B$44)+(C68*B$40))/(B$40+B$44)</f>
        <v>124850.35239837755</v>
      </c>
      <c r="G68" s="89">
        <f t="shared" ref="G68:G79" si="17">E68-D68</f>
        <v>2.5907529753021663</v>
      </c>
      <c r="H68" s="19">
        <f t="shared" ref="H68:H79" si="18">E9</f>
        <v>250000</v>
      </c>
      <c r="I68" s="19">
        <f t="shared" si="11"/>
        <v>25000</v>
      </c>
      <c r="J68" s="84" t="str">
        <f t="shared" si="12"/>
        <v>PASS</v>
      </c>
      <c r="K68" s="62"/>
    </row>
    <row r="69" spans="1:16" x14ac:dyDescent="0.3">
      <c r="A69" s="50" t="s">
        <v>64</v>
      </c>
      <c r="B69" s="19" t="s">
        <v>56</v>
      </c>
      <c r="C69" s="26">
        <f t="shared" si="13"/>
        <v>386.99671869881939</v>
      </c>
      <c r="D69" s="19">
        <f t="shared" si="14"/>
        <v>200000</v>
      </c>
      <c r="E69" s="88">
        <f t="shared" si="15"/>
        <v>200386.99671869882</v>
      </c>
      <c r="F69" s="96">
        <f t="shared" si="16"/>
        <v>199761.02218939061</v>
      </c>
      <c r="G69" s="89">
        <f>E69-D69</f>
        <v>386.9967186988215</v>
      </c>
      <c r="H69" s="19">
        <f t="shared" si="18"/>
        <v>400000</v>
      </c>
      <c r="I69" s="19">
        <f t="shared" si="11"/>
        <v>40000</v>
      </c>
      <c r="J69" s="84" t="str">
        <f t="shared" si="12"/>
        <v>PASS</v>
      </c>
      <c r="K69" s="63"/>
    </row>
    <row r="70" spans="1:16" x14ac:dyDescent="0.3">
      <c r="A70" s="50" t="s">
        <v>46</v>
      </c>
      <c r="B70" s="19" t="s">
        <v>56</v>
      </c>
      <c r="C70" s="26">
        <f t="shared" si="13"/>
        <v>6.0734241421782235E-2</v>
      </c>
      <c r="D70" s="19">
        <f t="shared" si="14"/>
        <v>25</v>
      </c>
      <c r="E70" s="89">
        <f t="shared" si="15"/>
        <v>25.060734241421784</v>
      </c>
      <c r="F70" s="95">
        <f t="shared" si="16"/>
        <v>24.970142570718242</v>
      </c>
      <c r="G70" s="53">
        <f t="shared" si="17"/>
        <v>6.0734241421783963E-2</v>
      </c>
      <c r="H70" s="19">
        <f t="shared" si="18"/>
        <v>50</v>
      </c>
      <c r="I70" s="19">
        <f t="shared" si="11"/>
        <v>5</v>
      </c>
      <c r="J70" s="84" t="str">
        <f t="shared" si="12"/>
        <v>PASS</v>
      </c>
      <c r="K70" s="62"/>
    </row>
    <row r="71" spans="1:16" x14ac:dyDescent="0.3">
      <c r="A71" s="50" t="s">
        <v>41</v>
      </c>
      <c r="B71" s="19" t="s">
        <v>56</v>
      </c>
      <c r="C71" s="26">
        <f t="shared" si="13"/>
        <v>4.7948085332985985E-4</v>
      </c>
      <c r="D71" s="19">
        <f t="shared" si="14"/>
        <v>4.4999999999999998E-2</v>
      </c>
      <c r="E71" s="122">
        <f t="shared" si="15"/>
        <v>4.5479480853329861E-2</v>
      </c>
      <c r="F71" s="120">
        <f t="shared" si="16"/>
        <v>4.4946699783992176E-2</v>
      </c>
      <c r="G71" s="53">
        <f t="shared" si="17"/>
        <v>4.7948085332986251E-4</v>
      </c>
      <c r="H71" s="19">
        <f t="shared" si="18"/>
        <v>0.09</v>
      </c>
      <c r="I71" s="19">
        <f t="shared" si="11"/>
        <v>8.9999999999999993E-3</v>
      </c>
      <c r="J71" s="84" t="str">
        <f t="shared" si="12"/>
        <v>PASS</v>
      </c>
      <c r="K71" s="62"/>
    </row>
    <row r="72" spans="1:16" x14ac:dyDescent="0.3">
      <c r="A72" s="50" t="s">
        <v>47</v>
      </c>
      <c r="B72" s="19" t="s">
        <v>56</v>
      </c>
      <c r="C72" s="26">
        <f t="shared" si="13"/>
        <v>2.030460742190867E-2</v>
      </c>
      <c r="D72" s="19">
        <f t="shared" si="14"/>
        <v>2.35</v>
      </c>
      <c r="E72" s="89">
        <f t="shared" si="15"/>
        <v>2.3703046074219087</v>
      </c>
      <c r="F72" s="95">
        <f t="shared" si="16"/>
        <v>2.3472108755684595</v>
      </c>
      <c r="G72" s="53">
        <f t="shared" si="17"/>
        <v>2.0304607421908649E-2</v>
      </c>
      <c r="H72" s="19">
        <f t="shared" si="18"/>
        <v>4.7</v>
      </c>
      <c r="I72" s="19">
        <f t="shared" si="11"/>
        <v>0.47000000000000003</v>
      </c>
      <c r="J72" s="84" t="str">
        <f t="shared" si="12"/>
        <v>PASS</v>
      </c>
      <c r="K72" s="62"/>
    </row>
    <row r="73" spans="1:16" x14ac:dyDescent="0.3">
      <c r="A73" s="50" t="s">
        <v>48</v>
      </c>
      <c r="B73" s="19" t="s">
        <v>56</v>
      </c>
      <c r="C73" s="26">
        <f t="shared" si="13"/>
        <v>3.570067177602102E-3</v>
      </c>
      <c r="D73" s="19">
        <f t="shared" si="14"/>
        <v>0.5</v>
      </c>
      <c r="E73" s="122">
        <f t="shared" si="15"/>
        <v>0.50357006717760211</v>
      </c>
      <c r="F73" s="120">
        <f t="shared" si="16"/>
        <v>0.49940567129136537</v>
      </c>
      <c r="G73" s="53">
        <f t="shared" si="17"/>
        <v>3.5700671776021098E-3</v>
      </c>
      <c r="H73" s="19">
        <f t="shared" si="18"/>
        <v>1</v>
      </c>
      <c r="I73" s="19">
        <f t="shared" si="11"/>
        <v>0.1</v>
      </c>
      <c r="J73" s="84" t="str">
        <f t="shared" si="12"/>
        <v>PASS</v>
      </c>
      <c r="K73" s="62"/>
    </row>
    <row r="74" spans="1:16" x14ac:dyDescent="0.3">
      <c r="A74" s="50" t="s">
        <v>49</v>
      </c>
      <c r="B74" s="19" t="s">
        <v>56</v>
      </c>
      <c r="C74" s="26">
        <f t="shared" si="13"/>
        <v>0.91908278724794013</v>
      </c>
      <c r="D74" s="19">
        <f t="shared" si="14"/>
        <v>500</v>
      </c>
      <c r="E74" s="88">
        <f t="shared" si="15"/>
        <v>500.91908278724793</v>
      </c>
      <c r="F74" s="96">
        <f t="shared" si="16"/>
        <v>499.402497517938</v>
      </c>
      <c r="G74" s="53">
        <f t="shared" si="17"/>
        <v>0.91908278724793036</v>
      </c>
      <c r="H74" s="19">
        <f t="shared" si="18"/>
        <v>1000</v>
      </c>
      <c r="I74" s="19">
        <f t="shared" si="11"/>
        <v>100</v>
      </c>
      <c r="J74" s="84" t="str">
        <f t="shared" si="12"/>
        <v>PASS</v>
      </c>
      <c r="K74" s="62"/>
    </row>
    <row r="75" spans="1:16" x14ac:dyDescent="0.3">
      <c r="A75" s="50" t="s">
        <v>58</v>
      </c>
      <c r="B75" s="19" t="s">
        <v>56</v>
      </c>
      <c r="C75" s="26">
        <f t="shared" si="13"/>
        <v>1.5467896691689859E-3</v>
      </c>
      <c r="D75" s="19">
        <f t="shared" si="14"/>
        <v>0.6</v>
      </c>
      <c r="E75" s="122">
        <f t="shared" si="15"/>
        <v>0.60154678966916897</v>
      </c>
      <c r="F75" s="120">
        <f t="shared" si="16"/>
        <v>0.5992835284495196</v>
      </c>
      <c r="G75" s="53">
        <f t="shared" si="17"/>
        <v>1.5467896691689909E-3</v>
      </c>
      <c r="H75" s="19">
        <f t="shared" si="18"/>
        <v>1.2</v>
      </c>
      <c r="I75" s="19">
        <f t="shared" si="11"/>
        <v>0.12</v>
      </c>
      <c r="J75" s="84" t="str">
        <f t="shared" si="12"/>
        <v>PASS</v>
      </c>
      <c r="K75" s="62"/>
    </row>
    <row r="76" spans="1:16" x14ac:dyDescent="0.3">
      <c r="A76" s="50" t="s">
        <v>59</v>
      </c>
      <c r="B76" s="19" t="s">
        <v>56</v>
      </c>
      <c r="C76" s="26">
        <f t="shared" si="13"/>
        <v>0.13830119394922696</v>
      </c>
      <c r="D76" s="19">
        <f t="shared" si="14"/>
        <v>2</v>
      </c>
      <c r="E76" s="89">
        <f t="shared" si="15"/>
        <v>2.1383011939492271</v>
      </c>
      <c r="F76" s="95">
        <f t="shared" si="16"/>
        <v>1.9977711637149351</v>
      </c>
      <c r="G76" s="53">
        <f t="shared" si="17"/>
        <v>0.13830119394922713</v>
      </c>
      <c r="H76" s="19">
        <f t="shared" si="18"/>
        <v>4</v>
      </c>
      <c r="I76" s="19">
        <f t="shared" si="11"/>
        <v>0.4</v>
      </c>
      <c r="J76" s="84" t="str">
        <f t="shared" si="12"/>
        <v>PASS</v>
      </c>
      <c r="K76" s="62"/>
    </row>
    <row r="77" spans="1:16" x14ac:dyDescent="0.3">
      <c r="A77" s="50" t="s">
        <v>50</v>
      </c>
      <c r="B77" s="19" t="s">
        <v>56</v>
      </c>
      <c r="C77" s="26">
        <f t="shared" si="13"/>
        <v>8.8497439895488719E-3</v>
      </c>
      <c r="D77" s="19">
        <f t="shared" si="14"/>
        <v>6.9</v>
      </c>
      <c r="E77" s="89">
        <f t="shared" si="15"/>
        <v>6.9088497439895491</v>
      </c>
      <c r="F77" s="95">
        <f t="shared" si="16"/>
        <v>6.8917498761418816</v>
      </c>
      <c r="G77" s="53">
        <f t="shared" si="17"/>
        <v>8.8497439895487418E-3</v>
      </c>
      <c r="H77" s="19">
        <f t="shared" si="18"/>
        <v>13.8</v>
      </c>
      <c r="I77" s="19">
        <f t="shared" si="11"/>
        <v>1.3800000000000001</v>
      </c>
      <c r="J77" s="84" t="str">
        <f t="shared" si="12"/>
        <v>PASS</v>
      </c>
      <c r="K77" s="62"/>
    </row>
    <row r="78" spans="1:16" x14ac:dyDescent="0.3">
      <c r="A78" s="50" t="s">
        <v>61</v>
      </c>
      <c r="B78" s="19" t="s">
        <v>56</v>
      </c>
      <c r="C78" s="26">
        <f t="shared" si="13"/>
        <v>7.4226748830090648</v>
      </c>
      <c r="D78" s="19">
        <f t="shared" si="14"/>
        <v>74</v>
      </c>
      <c r="E78" s="89">
        <f t="shared" si="15"/>
        <v>81.422674883009066</v>
      </c>
      <c r="F78" s="95">
        <f t="shared" si="16"/>
        <v>73.920293251786489</v>
      </c>
      <c r="G78" s="53">
        <f t="shared" si="17"/>
        <v>7.4226748830090656</v>
      </c>
      <c r="H78" s="19">
        <f t="shared" si="18"/>
        <v>148</v>
      </c>
      <c r="I78" s="19">
        <f t="shared" si="11"/>
        <v>14.8</v>
      </c>
      <c r="J78" s="84" t="str">
        <f t="shared" si="12"/>
        <v>PASS</v>
      </c>
      <c r="K78" s="63"/>
    </row>
    <row r="79" spans="1:16" x14ac:dyDescent="0.3">
      <c r="A79" s="50" t="s">
        <v>60</v>
      </c>
      <c r="B79" s="19" t="s">
        <v>56</v>
      </c>
      <c r="C79" s="26">
        <f t="shared" si="13"/>
        <v>6.0219443002476759E-2</v>
      </c>
      <c r="D79" s="19">
        <f t="shared" si="14"/>
        <v>9</v>
      </c>
      <c r="E79" s="89">
        <f t="shared" si="15"/>
        <v>9.0602194430024774</v>
      </c>
      <c r="F79" s="95">
        <f t="shared" si="16"/>
        <v>8.9892972444193493</v>
      </c>
      <c r="G79" s="53">
        <f t="shared" si="17"/>
        <v>6.0219443002477391E-2</v>
      </c>
      <c r="H79" s="40">
        <f t="shared" si="18"/>
        <v>18</v>
      </c>
      <c r="I79" s="19">
        <f t="shared" si="11"/>
        <v>1.8</v>
      </c>
      <c r="J79" s="84" t="str">
        <f t="shared" si="12"/>
        <v>PASS</v>
      </c>
      <c r="K79" s="63"/>
    </row>
    <row r="80" spans="1:16" x14ac:dyDescent="0.3">
      <c r="A80" s="64"/>
      <c r="B80" s="11"/>
      <c r="D80" s="12"/>
      <c r="E80" s="11"/>
      <c r="F80" s="65"/>
      <c r="G80" s="65"/>
      <c r="H80" s="12"/>
      <c r="I80" s="11"/>
      <c r="J80" s="11"/>
      <c r="K80" s="66"/>
    </row>
    <row r="81" spans="1:11" x14ac:dyDescent="0.3">
      <c r="A81" s="10" t="s">
        <v>33</v>
      </c>
      <c r="B81" s="11"/>
      <c r="C81" s="12"/>
      <c r="D81" s="11"/>
      <c r="E81" s="11"/>
      <c r="F81" s="11"/>
      <c r="G81" s="11"/>
      <c r="K81" s="8"/>
    </row>
    <row r="82" spans="1:11" x14ac:dyDescent="0.3">
      <c r="A82" s="67"/>
      <c r="B82" s="11"/>
      <c r="C82" s="12"/>
      <c r="D82" s="11"/>
      <c r="E82" s="11"/>
      <c r="F82" s="11"/>
      <c r="G82" s="11"/>
      <c r="K82" s="8"/>
    </row>
    <row r="83" spans="1:11" x14ac:dyDescent="0.3">
      <c r="A83" s="68" t="s">
        <v>13</v>
      </c>
      <c r="B83" s="69" t="s">
        <v>6</v>
      </c>
      <c r="C83" s="70" t="s">
        <v>21</v>
      </c>
      <c r="D83" s="69" t="s">
        <v>28</v>
      </c>
      <c r="E83" s="69" t="s">
        <v>29</v>
      </c>
      <c r="F83" s="71"/>
      <c r="G83" s="71"/>
      <c r="H83" s="69" t="s">
        <v>22</v>
      </c>
      <c r="I83" s="71"/>
      <c r="J83" s="69" t="s">
        <v>34</v>
      </c>
      <c r="K83" s="8"/>
    </row>
    <row r="84" spans="1:11" x14ac:dyDescent="0.3">
      <c r="A84" s="50" t="s">
        <v>53</v>
      </c>
      <c r="B84" s="19" t="s">
        <v>56</v>
      </c>
      <c r="C84" s="21">
        <f>C67</f>
        <v>4.2141638045470824E-2</v>
      </c>
      <c r="D84" s="19">
        <f>D67</f>
        <v>310</v>
      </c>
      <c r="E84" s="88">
        <f>E67</f>
        <v>310.04214163804545</v>
      </c>
      <c r="F84" s="25"/>
      <c r="G84" s="25"/>
      <c r="H84" s="19">
        <f>E8</f>
        <v>620</v>
      </c>
      <c r="I84" s="25"/>
      <c r="J84" s="84" t="str">
        <f>IF(E84&gt;H84,"FAIL","PASS")</f>
        <v>PASS</v>
      </c>
      <c r="K84" s="8"/>
    </row>
    <row r="85" spans="1:11" x14ac:dyDescent="0.3">
      <c r="A85" s="50" t="s">
        <v>45</v>
      </c>
      <c r="B85" s="19" t="s">
        <v>56</v>
      </c>
      <c r="C85" s="21">
        <f t="shared" ref="C85:E96" si="19">C68</f>
        <v>2.5907529752954219</v>
      </c>
      <c r="D85" s="19">
        <f t="shared" si="19"/>
        <v>125000</v>
      </c>
      <c r="E85" s="88">
        <f t="shared" si="19"/>
        <v>125002.5907529753</v>
      </c>
      <c r="F85" s="25"/>
      <c r="G85" s="25"/>
      <c r="H85" s="19">
        <f t="shared" ref="H85:H96" si="20">E9</f>
        <v>250000</v>
      </c>
      <c r="I85" s="25"/>
      <c r="J85" s="84" t="str">
        <f t="shared" ref="J85:J96" si="21">IF(E85&gt;H85,"FAIL","PASS")</f>
        <v>PASS</v>
      </c>
      <c r="K85" s="8"/>
    </row>
    <row r="86" spans="1:11" x14ac:dyDescent="0.3">
      <c r="A86" s="50" t="s">
        <v>64</v>
      </c>
      <c r="B86" s="19" t="s">
        <v>56</v>
      </c>
      <c r="C86" s="21">
        <f t="shared" si="19"/>
        <v>386.99671869881939</v>
      </c>
      <c r="D86" s="19">
        <f t="shared" si="19"/>
        <v>200000</v>
      </c>
      <c r="E86" s="88">
        <f t="shared" si="19"/>
        <v>200386.99671869882</v>
      </c>
      <c r="F86" s="25"/>
      <c r="G86" s="25"/>
      <c r="H86" s="19">
        <f t="shared" si="20"/>
        <v>400000</v>
      </c>
      <c r="I86" s="25"/>
      <c r="J86" s="84" t="str">
        <f t="shared" si="21"/>
        <v>PASS</v>
      </c>
      <c r="K86" s="8"/>
    </row>
    <row r="87" spans="1:11" x14ac:dyDescent="0.3">
      <c r="A87" s="50" t="s">
        <v>46</v>
      </c>
      <c r="B87" s="19" t="s">
        <v>56</v>
      </c>
      <c r="C87" s="21">
        <f t="shared" si="19"/>
        <v>6.0734241421782235E-2</v>
      </c>
      <c r="D87" s="19">
        <f t="shared" si="19"/>
        <v>25</v>
      </c>
      <c r="E87" s="89">
        <f t="shared" si="19"/>
        <v>25.060734241421784</v>
      </c>
      <c r="F87" s="25"/>
      <c r="G87" s="25"/>
      <c r="H87" s="19">
        <f t="shared" si="20"/>
        <v>50</v>
      </c>
      <c r="I87" s="25"/>
      <c r="J87" s="84" t="str">
        <f t="shared" si="21"/>
        <v>PASS</v>
      </c>
      <c r="K87" s="8"/>
    </row>
    <row r="88" spans="1:11" x14ac:dyDescent="0.3">
      <c r="A88" s="50" t="s">
        <v>41</v>
      </c>
      <c r="B88" s="19" t="s">
        <v>56</v>
      </c>
      <c r="C88" s="21">
        <f t="shared" si="19"/>
        <v>4.7948085332985985E-4</v>
      </c>
      <c r="D88" s="19">
        <f t="shared" si="19"/>
        <v>4.4999999999999998E-2</v>
      </c>
      <c r="E88" s="122">
        <f t="shared" si="19"/>
        <v>4.5479480853329861E-2</v>
      </c>
      <c r="F88" s="25"/>
      <c r="G88" s="25"/>
      <c r="H88" s="19">
        <f t="shared" si="20"/>
        <v>0.09</v>
      </c>
      <c r="I88" s="25"/>
      <c r="J88" s="84" t="str">
        <f t="shared" si="21"/>
        <v>PASS</v>
      </c>
      <c r="K88" s="8"/>
    </row>
    <row r="89" spans="1:11" x14ac:dyDescent="0.3">
      <c r="A89" s="50" t="s">
        <v>47</v>
      </c>
      <c r="B89" s="19" t="s">
        <v>56</v>
      </c>
      <c r="C89" s="21">
        <f t="shared" si="19"/>
        <v>2.030460742190867E-2</v>
      </c>
      <c r="D89" s="19">
        <f t="shared" si="19"/>
        <v>2.35</v>
      </c>
      <c r="E89" s="89">
        <f t="shared" si="19"/>
        <v>2.3703046074219087</v>
      </c>
      <c r="F89" s="25"/>
      <c r="G89" s="25"/>
      <c r="H89" s="19">
        <f t="shared" si="20"/>
        <v>4.7</v>
      </c>
      <c r="I89" s="25"/>
      <c r="J89" s="84" t="str">
        <f t="shared" si="21"/>
        <v>PASS</v>
      </c>
      <c r="K89" s="8"/>
    </row>
    <row r="90" spans="1:11" x14ac:dyDescent="0.3">
      <c r="A90" s="50" t="s">
        <v>48</v>
      </c>
      <c r="B90" s="19" t="s">
        <v>56</v>
      </c>
      <c r="C90" s="21">
        <f t="shared" si="19"/>
        <v>3.570067177602102E-3</v>
      </c>
      <c r="D90" s="19">
        <f t="shared" si="19"/>
        <v>0.5</v>
      </c>
      <c r="E90" s="122">
        <f t="shared" si="19"/>
        <v>0.50357006717760211</v>
      </c>
      <c r="F90" s="25"/>
      <c r="G90" s="25"/>
      <c r="H90" s="19">
        <f t="shared" si="20"/>
        <v>1</v>
      </c>
      <c r="I90" s="25"/>
      <c r="J90" s="84" t="str">
        <f t="shared" si="21"/>
        <v>PASS</v>
      </c>
      <c r="K90" s="8"/>
    </row>
    <row r="91" spans="1:11" x14ac:dyDescent="0.3">
      <c r="A91" s="50" t="s">
        <v>49</v>
      </c>
      <c r="B91" s="19" t="s">
        <v>56</v>
      </c>
      <c r="C91" s="21">
        <f t="shared" si="19"/>
        <v>0.91908278724794013</v>
      </c>
      <c r="D91" s="19">
        <f t="shared" si="19"/>
        <v>500</v>
      </c>
      <c r="E91" s="88">
        <f t="shared" si="19"/>
        <v>500.91908278724793</v>
      </c>
      <c r="F91" s="25"/>
      <c r="G91" s="25"/>
      <c r="H91" s="19">
        <f t="shared" si="20"/>
        <v>1000</v>
      </c>
      <c r="I91" s="25"/>
      <c r="J91" s="84" t="str">
        <f t="shared" si="21"/>
        <v>PASS</v>
      </c>
      <c r="K91" s="8"/>
    </row>
    <row r="92" spans="1:11" x14ac:dyDescent="0.3">
      <c r="A92" s="50" t="s">
        <v>58</v>
      </c>
      <c r="B92" s="19" t="s">
        <v>56</v>
      </c>
      <c r="C92" s="26">
        <f t="shared" si="19"/>
        <v>1.5467896691689859E-3</v>
      </c>
      <c r="D92" s="19">
        <f t="shared" si="19"/>
        <v>0.6</v>
      </c>
      <c r="E92" s="122">
        <f t="shared" si="19"/>
        <v>0.60154678966916897</v>
      </c>
      <c r="F92" s="25"/>
      <c r="G92" s="25"/>
      <c r="H92" s="19">
        <f t="shared" si="20"/>
        <v>1.2</v>
      </c>
      <c r="I92" s="25"/>
      <c r="J92" s="84" t="str">
        <f t="shared" si="21"/>
        <v>PASS</v>
      </c>
      <c r="K92" s="8"/>
    </row>
    <row r="93" spans="1:11" x14ac:dyDescent="0.3">
      <c r="A93" s="50" t="s">
        <v>59</v>
      </c>
      <c r="B93" s="19" t="s">
        <v>56</v>
      </c>
      <c r="C93" s="26">
        <f t="shared" si="19"/>
        <v>0.13830119394922696</v>
      </c>
      <c r="D93" s="40">
        <f t="shared" si="19"/>
        <v>2</v>
      </c>
      <c r="E93" s="89">
        <f t="shared" si="19"/>
        <v>2.1383011939492271</v>
      </c>
      <c r="F93" s="25"/>
      <c r="G93" s="25"/>
      <c r="H93" s="19">
        <f t="shared" si="20"/>
        <v>4</v>
      </c>
      <c r="I93" s="25"/>
      <c r="J93" s="84" t="str">
        <f t="shared" si="21"/>
        <v>PASS</v>
      </c>
      <c r="K93" s="8"/>
    </row>
    <row r="94" spans="1:11" x14ac:dyDescent="0.3">
      <c r="A94" s="50" t="s">
        <v>50</v>
      </c>
      <c r="B94" s="19" t="s">
        <v>56</v>
      </c>
      <c r="C94" s="26">
        <f t="shared" si="19"/>
        <v>8.8497439895488719E-3</v>
      </c>
      <c r="D94" s="40">
        <f t="shared" si="19"/>
        <v>6.9</v>
      </c>
      <c r="E94" s="89">
        <f t="shared" si="19"/>
        <v>6.9088497439895491</v>
      </c>
      <c r="F94" s="25"/>
      <c r="G94" s="25"/>
      <c r="H94" s="19">
        <f t="shared" si="20"/>
        <v>13.8</v>
      </c>
      <c r="I94" s="25"/>
      <c r="J94" s="84" t="str">
        <f t="shared" si="21"/>
        <v>PASS</v>
      </c>
      <c r="K94" s="8"/>
    </row>
    <row r="95" spans="1:11" x14ac:dyDescent="0.3">
      <c r="A95" s="50" t="s">
        <v>61</v>
      </c>
      <c r="B95" s="19" t="s">
        <v>56</v>
      </c>
      <c r="C95" s="26">
        <f t="shared" si="19"/>
        <v>7.4226748830090648</v>
      </c>
      <c r="D95" s="40">
        <f t="shared" si="19"/>
        <v>74</v>
      </c>
      <c r="E95" s="89">
        <f t="shared" si="19"/>
        <v>81.422674883009066</v>
      </c>
      <c r="F95" s="25"/>
      <c r="G95" s="25"/>
      <c r="H95" s="19">
        <f t="shared" si="20"/>
        <v>148</v>
      </c>
      <c r="I95" s="25"/>
      <c r="J95" s="84" t="str">
        <f t="shared" si="21"/>
        <v>PASS</v>
      </c>
      <c r="K95" s="8"/>
    </row>
    <row r="96" spans="1:11" x14ac:dyDescent="0.3">
      <c r="A96" s="50" t="s">
        <v>60</v>
      </c>
      <c r="B96" s="19" t="s">
        <v>56</v>
      </c>
      <c r="C96" s="26">
        <f t="shared" si="19"/>
        <v>6.0219443002476759E-2</v>
      </c>
      <c r="D96" s="40">
        <f t="shared" si="19"/>
        <v>9</v>
      </c>
      <c r="E96" s="89">
        <f t="shared" si="19"/>
        <v>9.0602194430024774</v>
      </c>
      <c r="F96" s="25"/>
      <c r="G96" s="25"/>
      <c r="H96" s="19">
        <f t="shared" si="20"/>
        <v>18</v>
      </c>
      <c r="I96" s="25"/>
      <c r="J96" s="84" t="str">
        <f t="shared" si="21"/>
        <v>PASS</v>
      </c>
      <c r="K96" s="8"/>
    </row>
    <row r="97" spans="1:11" x14ac:dyDescent="0.3">
      <c r="A97" s="64"/>
      <c r="B97" s="11"/>
      <c r="C97" s="101"/>
      <c r="D97" s="12"/>
      <c r="E97" s="54"/>
      <c r="H97" s="11"/>
      <c r="J97" s="102"/>
      <c r="K97" s="8"/>
    </row>
    <row r="98" spans="1:11" x14ac:dyDescent="0.3">
      <c r="A98" s="116" t="s">
        <v>35</v>
      </c>
      <c r="E98" s="54"/>
      <c r="H98" s="11"/>
      <c r="J98" s="102"/>
      <c r="K98" s="8"/>
    </row>
    <row r="99" spans="1:11" x14ac:dyDescent="0.3">
      <c r="A99" s="25" t="s">
        <v>36</v>
      </c>
      <c r="B99" s="25">
        <f>(B40*1000)*60*60*24</f>
        <v>999999.99999999977</v>
      </c>
      <c r="E99" s="54"/>
      <c r="H99" s="11"/>
      <c r="J99" s="102"/>
      <c r="K99" s="8"/>
    </row>
    <row r="100" spans="1:11" x14ac:dyDescent="0.3">
      <c r="A100" s="5"/>
      <c r="E100" s="54"/>
      <c r="H100" s="11"/>
      <c r="J100" s="102"/>
      <c r="K100" s="8"/>
    </row>
    <row r="101" spans="1:11" ht="28.8" x14ac:dyDescent="0.3">
      <c r="A101" s="72" t="s">
        <v>37</v>
      </c>
      <c r="B101" s="73" t="s">
        <v>38</v>
      </c>
      <c r="C101" s="74" t="s">
        <v>39</v>
      </c>
      <c r="D101" s="75" t="s">
        <v>40</v>
      </c>
      <c r="E101" s="54"/>
      <c r="H101" s="11"/>
      <c r="J101" s="102"/>
      <c r="K101" s="8"/>
    </row>
    <row r="102" spans="1:11" x14ac:dyDescent="0.3">
      <c r="A102" s="76" t="s">
        <v>41</v>
      </c>
      <c r="B102" s="77">
        <v>5</v>
      </c>
      <c r="C102" s="25">
        <f>C12/1000</f>
        <v>4.4999999999999999E-4</v>
      </c>
      <c r="D102" s="78">
        <f>((B99*C102)/1000000000)*365</f>
        <v>1.6424999999999995E-4</v>
      </c>
      <c r="E102" s="54"/>
      <c r="H102" s="11"/>
      <c r="J102" s="102"/>
      <c r="K102" s="8"/>
    </row>
    <row r="103" spans="1:11" ht="15" thickBot="1" x14ac:dyDescent="0.35">
      <c r="A103" s="79"/>
      <c r="B103" s="80"/>
      <c r="C103" s="80"/>
      <c r="D103" s="81"/>
      <c r="E103" s="80"/>
      <c r="F103" s="80"/>
      <c r="G103" s="80"/>
      <c r="H103" s="80"/>
      <c r="I103" s="80"/>
      <c r="J103" s="80"/>
      <c r="K103" s="82"/>
    </row>
  </sheetData>
  <mergeCells count="3">
    <mergeCell ref="H7:J7"/>
    <mergeCell ref="E44:F44"/>
    <mergeCell ref="H18:J18"/>
  </mergeCells>
  <hyperlinks>
    <hyperlink ref="B4" r:id="rId1" xr:uid="{EE31CB8B-B864-49F8-ABE4-A595506F179B}"/>
    <hyperlink ref="H8" r:id="rId2" display="https://www.legislation.gov.uk/uksi/2015/1623/pdfs/uksiod_20151623_en_auto.pdf" xr:uid="{B099E2F8-7D7E-45E9-AB79-5BFA4F2F9D79}"/>
    <hyperlink ref="H9:H20" r:id="rId3" display="https://www.legislation.gov.uk/uksi/2015/1623/pdfs/uksiod_20151623_en_auto.pdf" xr:uid="{42BA3394-E5D4-4DAA-87F6-F6008580FE86}"/>
  </hyperlinks>
  <pageMargins left="0.7" right="0.7" top="0.75" bottom="0.75" header="0.3" footer="0.3"/>
  <pageSetup paperSize="8" scale="64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4CCF2290A9227498CBA22780DE46CFA" ma:contentTypeVersion="44" ma:contentTypeDescription="Create a new document." ma:contentTypeScope="" ma:versionID="6cdceea6fafa87e7f9d25df561add1d4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9a785deb-a762-4798-bcdc-303564f53cb0" targetNamespace="http://schemas.microsoft.com/office/2006/metadata/properties" ma:root="true" ma:fieldsID="e680b168c5d4c1003ca6fb3ab40f53e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9a785deb-a762-4798-bcdc-303564f53cb0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dexed="tru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5deb-a762-4798-bcdc-303564f53c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5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5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6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2026-03-31T23:00:00+00:00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EPR-JP3547JL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EAWML 102645</OtherReference>
    <EventLink xmlns="5ffd8e36-f429-4edc-ab50-c5be84842779" xsi:nil="true"/>
    <Customer_x002f_OperatorName xmlns="eebef177-55b5-4448-a5fb-28ea454417ee">FCC Recycling (UK)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2026-03-31T23:00:00+00:00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9a785deb-a762-4798-bcdc-303564f53cb0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EPR/JP3547JL</EPRNumber>
    <FacilityAddressPostcode xmlns="eebef177-55b5-4448-a5fb-28ea454417ee">WF11 8DZ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Andy Stocks</ExternalAuthor>
    <SiteName xmlns="eebef177-55b5-4448-a5fb-28ea454417ee">Knottingley Process Plant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Weeland Road, Knottingley, West Yorkshire, WF11 8DZ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01B1332C-0732-464D-B04B-E5BE9C3A4F7B}"/>
</file>

<file path=customXml/itemProps2.xml><?xml version="1.0" encoding="utf-8"?>
<ds:datastoreItem xmlns:ds="http://schemas.openxmlformats.org/officeDocument/2006/customXml" ds:itemID="{915C9D8E-A585-44C3-BF18-9EABA8EC31FE}"/>
</file>

<file path=customXml/itemProps3.xml><?xml version="1.0" encoding="utf-8"?>
<ds:datastoreItem xmlns:ds="http://schemas.openxmlformats.org/officeDocument/2006/customXml" ds:itemID="{908243F6-5BE0-452B-87CA-1DDE30A3BB5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</vt:lpstr>
      <vt:lpstr>Sewer</vt:lpstr>
      <vt:lpstr>Direct!Print_Area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Eaton</dc:creator>
  <cp:lastModifiedBy>Kate Eaton</cp:lastModifiedBy>
  <cp:lastPrinted>2025-12-15T08:24:29Z</cp:lastPrinted>
  <dcterms:created xsi:type="dcterms:W3CDTF">2025-12-09T15:16:56Z</dcterms:created>
  <dcterms:modified xsi:type="dcterms:W3CDTF">2026-04-01T13:01:57Z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0x0101000E9AD557692E154F9D2697C8C6432F760064CCF2290A9227498CBA22780DE46CFA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