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wayne_clark_environment-agency_gov_uk/Documents/Documents/4. DMAC - Jonathan Stubberfield/consult files/"/>
    </mc:Choice>
  </mc:AlternateContent>
  <xr:revisionPtr revIDLastSave="0" documentId="8_{E1DEC5F9-5959-4074-B102-96BB190DAF1D}" xr6:coauthVersionLast="47" xr6:coauthVersionMax="47" xr10:uidLastSave="{00000000-0000-0000-0000-000000000000}"/>
  <bookViews>
    <workbookView xWindow="-120" yWindow="-120" windowWidth="20730" windowHeight="11160" tabRatio="855" firstSheet="1" activeTab="1" xr2:uid="{4DB19F39-2C83-4A7A-9D17-C3702F82347B}"/>
  </bookViews>
  <sheets>
    <sheet name="Modifications Record" sheetId="35" state="hidden" r:id="rId1"/>
    <sheet name="Document History" sheetId="40" r:id="rId2"/>
    <sheet name="A2" sheetId="7" r:id="rId3"/>
    <sheet name="A3 (stack 2)" sheetId="3" r:id="rId4"/>
    <sheet name="A4" sheetId="4" r:id="rId5"/>
    <sheet name="A5 (stack 3)" sheetId="13" r:id="rId6"/>
    <sheet name="A6" sheetId="14" r:id="rId7"/>
    <sheet name="A7" sheetId="19" r:id="rId8"/>
    <sheet name="A9" sheetId="21" r:id="rId9"/>
    <sheet name="Background Data" sheetId="31" state="hidden" r:id="rId10"/>
    <sheet name="A11 (stack 4)" sheetId="36" r:id="rId11"/>
    <sheet name="A12a" sheetId="38" r:id="rId12"/>
    <sheet name="A12b" sheetId="39" r:id="rId13"/>
    <sheet name="A13" sheetId="37" r:id="rId14"/>
    <sheet name="A14" sheetId="41" r:id="rId1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1" l="1"/>
  <c r="G3" i="41"/>
  <c r="K12" i="41"/>
  <c r="K11" i="41"/>
  <c r="H3" i="41" l="1"/>
  <c r="J3" i="41" s="1"/>
  <c r="K3" i="41"/>
  <c r="M6" i="14"/>
  <c r="AA22" i="36"/>
  <c r="AA26" i="36"/>
  <c r="M6" i="38"/>
  <c r="M6" i="39"/>
  <c r="K12" i="37"/>
  <c r="K3" i="37"/>
  <c r="D12" i="7"/>
  <c r="C12" i="7"/>
  <c r="C12" i="39"/>
  <c r="F5" i="39"/>
  <c r="F4" i="39"/>
  <c r="F3" i="39"/>
  <c r="J3" i="39" s="1"/>
  <c r="D12" i="39" s="1"/>
  <c r="E12" i="39" s="1"/>
  <c r="C12" i="38"/>
  <c r="F5" i="38"/>
  <c r="F4" i="38"/>
  <c r="F3" i="38"/>
  <c r="J3" i="38" s="1"/>
  <c r="D12" i="38" s="1"/>
  <c r="E12" i="38" s="1"/>
  <c r="K11" i="37"/>
  <c r="G4" i="37"/>
  <c r="G3" i="37"/>
  <c r="R24" i="36"/>
  <c r="R26" i="36"/>
  <c r="R21" i="36"/>
  <c r="R19" i="36"/>
  <c r="R17" i="36"/>
  <c r="AA16" i="36"/>
  <c r="R15" i="36"/>
  <c r="S15" i="36" s="1"/>
  <c r="U15" i="36" s="1"/>
  <c r="V15" i="36" s="1"/>
  <c r="W15" i="36" s="1"/>
  <c r="R14" i="36"/>
  <c r="R13" i="36"/>
  <c r="S13" i="36" s="1"/>
  <c r="U13" i="36" s="1"/>
  <c r="V13" i="36" s="1"/>
  <c r="W13" i="36" s="1"/>
  <c r="R12" i="36"/>
  <c r="R11" i="36"/>
  <c r="R10" i="36"/>
  <c r="R9" i="36"/>
  <c r="S9" i="36" s="1"/>
  <c r="U9" i="36" s="1"/>
  <c r="V9" i="36" s="1"/>
  <c r="W9" i="36" s="1"/>
  <c r="R8" i="36"/>
  <c r="R7" i="36"/>
  <c r="S6" i="36"/>
  <c r="U6" i="36" s="1"/>
  <c r="V6" i="36" s="1"/>
  <c r="W6" i="36" s="1"/>
  <c r="R6" i="36"/>
  <c r="S14" i="36" l="1"/>
  <c r="U14" i="36" s="1"/>
  <c r="V14" i="36" s="1"/>
  <c r="W14" i="36" s="1"/>
  <c r="B12" i="39"/>
  <c r="G3" i="39"/>
  <c r="I3" i="39" s="1"/>
  <c r="M5" i="39"/>
  <c r="B12" i="38"/>
  <c r="G3" i="38"/>
  <c r="I3" i="38" s="1"/>
  <c r="M5" i="38"/>
  <c r="H3" i="37"/>
  <c r="J3" i="37" s="1"/>
  <c r="S7" i="36"/>
  <c r="U7" i="36" s="1"/>
  <c r="V7" i="36" s="1"/>
  <c r="W7" i="36" s="1"/>
  <c r="S10" i="36"/>
  <c r="U10" i="36" s="1"/>
  <c r="V10" i="36" s="1"/>
  <c r="W10" i="36" s="1"/>
  <c r="S8" i="36"/>
  <c r="U8" i="36" s="1"/>
  <c r="V8" i="36" s="1"/>
  <c r="W8" i="36" s="1"/>
  <c r="S19" i="36"/>
  <c r="U19" i="36" s="1"/>
  <c r="V19" i="36" s="1"/>
  <c r="W19" i="36" s="1"/>
  <c r="S11" i="36"/>
  <c r="U11" i="36" s="1"/>
  <c r="V11" i="36" s="1"/>
  <c r="W11" i="36" s="1"/>
  <c r="S12" i="36"/>
  <c r="U12" i="36" s="1"/>
  <c r="V12" i="36" s="1"/>
  <c r="W12" i="36" s="1"/>
  <c r="X17" i="36"/>
  <c r="S21" i="36"/>
  <c r="U21" i="36" s="1"/>
  <c r="V21" i="36" s="1"/>
  <c r="W21" i="36" s="1"/>
  <c r="AA17" i="36"/>
  <c r="AA18" i="36" s="1"/>
  <c r="AA19" i="36" s="1"/>
  <c r="AA20" i="36" s="1"/>
  <c r="AA21" i="36" s="1"/>
  <c r="AA27" i="36"/>
  <c r="AA28" i="36" s="1"/>
  <c r="AA29" i="36" s="1"/>
  <c r="AA30" i="36" s="1"/>
  <c r="AA31" i="36" s="1"/>
  <c r="AA32" i="36" s="1"/>
  <c r="S17" i="36"/>
  <c r="U17" i="36" s="1"/>
  <c r="V17" i="36" s="1"/>
  <c r="W17" i="36" s="1"/>
  <c r="AA8" i="3"/>
  <c r="AA16" i="13"/>
  <c r="AA17" i="13" s="1"/>
  <c r="AA26" i="13"/>
  <c r="R24" i="13" l="1"/>
  <c r="R24" i="3"/>
  <c r="F4" i="7"/>
  <c r="M4" i="7" l="1"/>
  <c r="C12" i="14" l="1"/>
  <c r="C12" i="4" l="1"/>
  <c r="F3" i="14"/>
  <c r="F4" i="14"/>
  <c r="G5" i="19"/>
  <c r="F5" i="14"/>
  <c r="R26" i="13"/>
  <c r="F5" i="4"/>
  <c r="R26" i="3"/>
  <c r="F5" i="7"/>
  <c r="R16" i="3"/>
  <c r="R18" i="3"/>
  <c r="R20" i="3"/>
  <c r="AA18" i="3"/>
  <c r="AA19" i="3" s="1"/>
  <c r="K12" i="21"/>
  <c r="F3" i="7"/>
  <c r="R17" i="13"/>
  <c r="R17" i="3"/>
  <c r="K11" i="21"/>
  <c r="G3" i="19"/>
  <c r="G3" i="21"/>
  <c r="K3" i="21" s="1"/>
  <c r="G4" i="19"/>
  <c r="N11" i="19" s="1"/>
  <c r="T16" i="3"/>
  <c r="T18" i="3"/>
  <c r="T20" i="3"/>
  <c r="R21" i="13"/>
  <c r="R19" i="13"/>
  <c r="R15" i="13"/>
  <c r="R14" i="13"/>
  <c r="R13" i="13"/>
  <c r="R12" i="13"/>
  <c r="R11" i="13"/>
  <c r="R10" i="13"/>
  <c r="R9" i="13"/>
  <c r="R8" i="13"/>
  <c r="R7" i="13"/>
  <c r="R6" i="13"/>
  <c r="R7" i="3"/>
  <c r="S7" i="3" s="1"/>
  <c r="U7" i="3" s="1"/>
  <c r="R8" i="3"/>
  <c r="R9" i="3"/>
  <c r="S9" i="3" s="1"/>
  <c r="U9" i="3" s="1"/>
  <c r="R10" i="3"/>
  <c r="R11" i="3"/>
  <c r="S11" i="3" s="1"/>
  <c r="U11" i="3" s="1"/>
  <c r="R12" i="3"/>
  <c r="R13" i="3"/>
  <c r="R14" i="3"/>
  <c r="R15" i="3"/>
  <c r="S15" i="3" s="1"/>
  <c r="U15" i="3" s="1"/>
  <c r="R19" i="3"/>
  <c r="R21" i="3"/>
  <c r="R6" i="3"/>
  <c r="G4" i="21"/>
  <c r="F4" i="4"/>
  <c r="M5" i="4" s="1"/>
  <c r="F3" i="4"/>
  <c r="B12" i="4" s="1"/>
  <c r="M3" i="7"/>
  <c r="G3" i="4" l="1"/>
  <c r="I3" i="4" s="1"/>
  <c r="B12" i="7"/>
  <c r="J3" i="7"/>
  <c r="E12" i="7" s="1"/>
  <c r="K3" i="19"/>
  <c r="AA18" i="13"/>
  <c r="AA19" i="13" s="1"/>
  <c r="AA20" i="13" s="1"/>
  <c r="AA21" i="13" s="1"/>
  <c r="AA22" i="13" s="1"/>
  <c r="S9" i="13"/>
  <c r="U9" i="13" s="1"/>
  <c r="V9" i="13" s="1"/>
  <c r="W9" i="13" s="1"/>
  <c r="S7" i="13"/>
  <c r="U7" i="13" s="1"/>
  <c r="V7" i="13" s="1"/>
  <c r="W7" i="13" s="1"/>
  <c r="S11" i="13"/>
  <c r="U11" i="13" s="1"/>
  <c r="V11" i="13" s="1"/>
  <c r="W11" i="13" s="1"/>
  <c r="S13" i="13"/>
  <c r="U13" i="13" s="1"/>
  <c r="V13" i="13" s="1"/>
  <c r="W13" i="13" s="1"/>
  <c r="J3" i="4"/>
  <c r="D12" i="4" s="1"/>
  <c r="E12" i="4" s="1"/>
  <c r="M6" i="4"/>
  <c r="AA9" i="3"/>
  <c r="AA10" i="3" s="1"/>
  <c r="AA11" i="3" s="1"/>
  <c r="AA12" i="3" s="1"/>
  <c r="AA13" i="3" s="1"/>
  <c r="AA14" i="3" s="1"/>
  <c r="G3" i="7"/>
  <c r="I3" i="7" s="1"/>
  <c r="G3" i="14"/>
  <c r="I3" i="14" s="1"/>
  <c r="M5" i="14"/>
  <c r="B12" i="14"/>
  <c r="J3" i="14"/>
  <c r="S8" i="13"/>
  <c r="U8" i="13" s="1"/>
  <c r="V8" i="13" s="1"/>
  <c r="W8" i="13" s="1"/>
  <c r="S12" i="13"/>
  <c r="U12" i="13" s="1"/>
  <c r="V12" i="13" s="1"/>
  <c r="W12" i="13" s="1"/>
  <c r="S19" i="13"/>
  <c r="U19" i="13" s="1"/>
  <c r="V19" i="13" s="1"/>
  <c r="W19" i="13" s="1"/>
  <c r="S14" i="13"/>
  <c r="U14" i="13" s="1"/>
  <c r="V14" i="13" s="1"/>
  <c r="W14" i="13" s="1"/>
  <c r="AA27" i="13"/>
  <c r="AA28" i="13" s="1"/>
  <c r="AA29" i="13" s="1"/>
  <c r="AA30" i="13" s="1"/>
  <c r="AA31" i="13" s="1"/>
  <c r="AA32" i="13" s="1"/>
  <c r="S6" i="13"/>
  <c r="U6" i="13" s="1"/>
  <c r="V6" i="13" s="1"/>
  <c r="W6" i="13" s="1"/>
  <c r="S21" i="13"/>
  <c r="U21" i="13" s="1"/>
  <c r="V21" i="13" s="1"/>
  <c r="W21" i="13" s="1"/>
  <c r="S10" i="13"/>
  <c r="U10" i="13" s="1"/>
  <c r="V10" i="13" s="1"/>
  <c r="W10" i="13" s="1"/>
  <c r="S15" i="13"/>
  <c r="U15" i="13" s="1"/>
  <c r="V15" i="13" s="1"/>
  <c r="W15" i="13" s="1"/>
  <c r="X17" i="13"/>
  <c r="S17" i="13"/>
  <c r="U17" i="13" s="1"/>
  <c r="V17" i="13" s="1"/>
  <c r="W17" i="13" s="1"/>
  <c r="S14" i="3"/>
  <c r="U14" i="3" s="1"/>
  <c r="V14" i="3" s="1"/>
  <c r="W14" i="3" s="1"/>
  <c r="S10" i="3"/>
  <c r="U10" i="3" s="1"/>
  <c r="V10" i="3" s="1"/>
  <c r="W10" i="3" s="1"/>
  <c r="S16" i="3"/>
  <c r="S18" i="3"/>
  <c r="AA20" i="3"/>
  <c r="AA21" i="3" s="1"/>
  <c r="AA22" i="3" s="1"/>
  <c r="AA23" i="3" s="1"/>
  <c r="AA24" i="3" s="1"/>
  <c r="S20" i="3"/>
  <c r="S12" i="3"/>
  <c r="U12" i="3" s="1"/>
  <c r="V12" i="3" s="1"/>
  <c r="W12" i="3" s="1"/>
  <c r="S13" i="3"/>
  <c r="U13" i="3" s="1"/>
  <c r="V13" i="3" s="1"/>
  <c r="W13" i="3" s="1"/>
  <c r="S19" i="3"/>
  <c r="U19" i="3" s="1"/>
  <c r="V19" i="3" s="1"/>
  <c r="W19" i="3" s="1"/>
  <c r="S6" i="3"/>
  <c r="U6" i="3" s="1"/>
  <c r="S21" i="3"/>
  <c r="U21" i="3" s="1"/>
  <c r="V21" i="3" s="1"/>
  <c r="W21" i="3" s="1"/>
  <c r="S17" i="3"/>
  <c r="U17" i="3" s="1"/>
  <c r="V9" i="3"/>
  <c r="W9" i="3" s="1"/>
  <c r="X17" i="3"/>
  <c r="S8" i="3"/>
  <c r="U8" i="3" s="1"/>
  <c r="V8" i="3" s="1"/>
  <c r="W8" i="3" s="1"/>
  <c r="V15" i="3"/>
  <c r="W15" i="3" s="1"/>
  <c r="V7" i="3"/>
  <c r="W7" i="3" s="1"/>
  <c r="V11" i="3"/>
  <c r="W11" i="3" s="1"/>
  <c r="H3" i="21"/>
  <c r="J3" i="21" s="1"/>
  <c r="N10" i="19"/>
  <c r="H3" i="19"/>
  <c r="J3" i="19" s="1"/>
  <c r="E12" i="14" l="1"/>
  <c r="D12" i="14"/>
  <c r="V6" i="3"/>
  <c r="W6" i="3" s="1"/>
  <c r="V17" i="3"/>
  <c r="W1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tc={96DEA075-C52E-4C2D-B4FF-84BB44457696}</author>
    <author>tc={6C32E595-58B8-417F-A322-3C00AF15D42A}</author>
  </authors>
  <commentList>
    <comment ref="J3" authorId="0" shapeId="0" xr:uid="{96DEA075-C52E-4C2D-B4FF-84BB44457696}">
      <text>
        <t>[Threaded comment]
Your version of Excel allows you to read this threaded comment; however, any edits to it will get removed if the file is opened in a newer version of Excel. Learn more: https://go.microsoft.com/fwlink/?linkid=870924
Comment:
    Emission rate for PM10 in ADMS - Line 4 PM10 file</t>
      </text>
    </comment>
    <comment ref="M4" authorId="1" shapeId="0" xr:uid="{6C32E595-58B8-417F-A322-3C00AF15D42A}">
      <text>
        <t>[Threaded comment]
Your version of Excel allows you to read this threaded comment; however, any edits to it will get removed if the file is opened in a newer version of Excel. Learn more: https://go.microsoft.com/fwlink/?linkid=870924
Comment:
    Emission rate for PM10 in ADMS - Line 4 PM10 at ELV file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tc={67533D0F-76E8-4394-8771-80F205C1A7D3}</author>
    <author>tc={2DDC4633-7865-4827-8AE4-E6CFF0CB2767}</author>
  </authors>
  <commentList>
    <comment ref="J3" authorId="0" shapeId="0" xr:uid="{67533D0F-76E8-4394-8771-80F205C1A7D3}">
      <text>
        <t>[Threaded comment]
Your version of Excel allows you to read this threaded comment; however, any edits to it will get removed if the file is opened in a newer version of Excel. Learn more: https://go.microsoft.com/fwlink/?linkid=870924
Comment:
    Emission rate for PM10 in ADMS - Line 4 PM10 file</t>
      </text>
    </comment>
    <comment ref="M6" authorId="1" shapeId="0" xr:uid="{2DDC4633-7865-4827-8AE4-E6CFF0CB2767}">
      <text>
        <t>[Threaded comment]
Your version of Excel allows you to read this threaded comment; however, any edits to it will get removed if the file is opened in a newer version of Excel. Learn more: https://go.microsoft.com/fwlink/?linkid=870924
Comment:
    Emission rate for PM10 in ADMS - Line 4 PM10 at ELV file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tc={A6E8668F-BC14-4389-A4B3-FB1AB8EA6189}</author>
    <author>tc={BE2D6EC3-A4F8-4319-A41E-BE824D7D78D6}</author>
  </authors>
  <commentList>
    <comment ref="J3" authorId="0" shapeId="0" xr:uid="{A6E8668F-BC14-4389-A4B3-FB1AB8EA6189}">
      <text>
        <t>[Threaded comment]
Your version of Excel allows you to read this threaded comment; however, any edits to it will get removed if the file is opened in a newer version of Excel. Learn more: https://go.microsoft.com/fwlink/?linkid=870924
Comment:
    Emission rate for PM10 in ADMS - Line 4 PM10 file</t>
      </text>
    </comment>
    <comment ref="M6" authorId="1" shapeId="0" xr:uid="{BE2D6EC3-A4F8-4319-A41E-BE824D7D78D6}">
      <text>
        <t>[Threaded comment]
Your version of Excel allows you to read this threaded comment; however, any edits to it will get removed if the file is opened in a newer version of Excel. Learn more: https://go.microsoft.com/fwlink/?linkid=870924
Comment:
    Emission rate for PM10 in ADMS - Line 4 PM10 at ELV file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tc={E49427A6-4A95-415B-8066-5CFF6BE22380}</author>
  </authors>
  <commentList>
    <comment ref="N11" authorId="0" shapeId="0" xr:uid="{E49427A6-4A95-415B-8066-5CFF6BE22380}">
      <text>
        <t>[Threaded comment]
Your version of Excel allows you to read this threaded comment; however, any edits to it will get removed if the file is opened in a newer version of Excel. Learn more: https://go.microsoft.com/fwlink/?linkid=870924
Comment:
    Emission rate for PM10 in ADMS - Line 4 PM10 at ELV file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tc={B6D75F34-446F-4FEC-A9FE-0D0559A94B21}</author>
  </authors>
  <commentList>
    <comment ref="K12" authorId="0" shapeId="0" xr:uid="{B6D75F34-446F-4FEC-A9FE-0D0559A94B21}">
      <text>
        <t>[Threaded comment]
Your version of Excel allows you to read this threaded comment; however, any edits to it will get removed if the file is opened in a newer version of Excel. Learn more: https://go.microsoft.com/fwlink/?linkid=870924
Comment:
    Emission rate for PM10 in ADMS - Line 4 PM10 at ELV file</t>
      </text>
    </comment>
  </commentList>
</comments>
</file>

<file path=xl/sharedStrings.xml><?xml version="1.0" encoding="utf-8"?>
<sst xmlns="http://schemas.openxmlformats.org/spreadsheetml/2006/main" count="475" uniqueCount="109">
  <si>
    <t>JAN</t>
  </si>
  <si>
    <t>APR</t>
  </si>
  <si>
    <t>JUL</t>
  </si>
  <si>
    <t>OCT</t>
  </si>
  <si>
    <t>Saffil dust (mg/m3)</t>
  </si>
  <si>
    <t>Flowrate (m3/sec)</t>
  </si>
  <si>
    <t>JUN</t>
  </si>
  <si>
    <t>DEC</t>
  </si>
  <si>
    <t>MAR</t>
  </si>
  <si>
    <t>MAY</t>
  </si>
  <si>
    <t>FEB</t>
  </si>
  <si>
    <t>SEP</t>
  </si>
  <si>
    <t>COMPOUND</t>
  </si>
  <si>
    <t>UNITS</t>
  </si>
  <si>
    <t>AUG</t>
  </si>
  <si>
    <t>NOV</t>
  </si>
  <si>
    <t>Hydrogen Chloride</t>
  </si>
  <si>
    <t>mg/m3</t>
  </si>
  <si>
    <t>Vinyl Chloride</t>
  </si>
  <si>
    <t>Ethylene Oxide</t>
  </si>
  <si>
    <t>Acetaldehyde</t>
  </si>
  <si>
    <t>Methyl Chloride</t>
  </si>
  <si>
    <t>1,4 Dioxane</t>
  </si>
  <si>
    <t>Ethylene</t>
  </si>
  <si>
    <t>*Ethyl Chloride as Tol</t>
  </si>
  <si>
    <t>*Ethanol as Tol</t>
  </si>
  <si>
    <t>*Propanal as Tol</t>
  </si>
  <si>
    <t>Dioxin</t>
  </si>
  <si>
    <t>ng/m3</t>
  </si>
  <si>
    <t>Class A VOCs</t>
  </si>
  <si>
    <t>Class B as Toluene</t>
  </si>
  <si>
    <t>Stack flow      (m3/hr)</t>
  </si>
  <si>
    <t>Mass tonne/year</t>
  </si>
  <si>
    <t>March</t>
  </si>
  <si>
    <t>June</t>
  </si>
  <si>
    <t>August</t>
  </si>
  <si>
    <t>Max mg/m3</t>
  </si>
  <si>
    <t>Average mg/m3</t>
  </si>
  <si>
    <t>total average</t>
  </si>
  <si>
    <t>At Benchmark</t>
  </si>
  <si>
    <t>Dioxin at Benchmark</t>
  </si>
  <si>
    <t>Mass kg/hr</t>
  </si>
  <si>
    <t>Mass g/hr</t>
  </si>
  <si>
    <t>Mass mg yr</t>
  </si>
  <si>
    <t>Mass kg/yr</t>
  </si>
  <si>
    <t>Mass kg/min</t>
  </si>
  <si>
    <t>Mass kg/sec</t>
  </si>
  <si>
    <t>Mass g/sec</t>
  </si>
  <si>
    <t>Mass Tonne/yr</t>
  </si>
  <si>
    <t xml:space="preserve">PM10 </t>
  </si>
  <si>
    <t>Mass te/yr</t>
  </si>
  <si>
    <t>Mass g/s</t>
  </si>
  <si>
    <t>PM10</t>
  </si>
  <si>
    <t>H1 input</t>
  </si>
  <si>
    <t>ADMS input</t>
  </si>
  <si>
    <t>KEY</t>
  </si>
  <si>
    <t>Aug</t>
  </si>
  <si>
    <t>Dec</t>
  </si>
  <si>
    <t>Benchmark is 5 mg/m3</t>
  </si>
  <si>
    <t>Oxides of Nitrogen (mg/m3)</t>
  </si>
  <si>
    <t>Consent</t>
  </si>
  <si>
    <t>Modifications Record</t>
  </si>
  <si>
    <t>Version No</t>
  </si>
  <si>
    <t xml:space="preserve">Date </t>
  </si>
  <si>
    <t>Description</t>
  </si>
  <si>
    <t>Author</t>
  </si>
  <si>
    <t>QA Check By</t>
  </si>
  <si>
    <t>JLC</t>
  </si>
  <si>
    <t>Benchmark is 140 mg/m3</t>
  </si>
  <si>
    <t>NOx</t>
  </si>
  <si>
    <t>Benchmark is 100 mg/m3</t>
  </si>
  <si>
    <t>Location</t>
  </si>
  <si>
    <t>352500, 385500</t>
  </si>
  <si>
    <t>353500, 385500</t>
  </si>
  <si>
    <t>Average</t>
  </si>
  <si>
    <r>
      <t>Particulate (µg/m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</si>
  <si>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r>
      <t>Nitrogen Dioxide (µg /m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</si>
  <si>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t>2016-2021 data</t>
  </si>
  <si>
    <t>H1 inputs for air calculated using emissions data averaged over period 2016-2021 (replicating what Nick did in the spreadsheet "2007-2010 averagev12 in S:\Unifrax\PC2021091 Permit pre-app support\Supporting Information\Worked Documents\Nick original 2011 to get the correct inputs for the H1). 
This data has come from 'Unifrax consolidated emissions data (air) V04</t>
  </si>
  <si>
    <t>Temperature</t>
  </si>
  <si>
    <t>ELV at 5 mg/m3</t>
  </si>
  <si>
    <t>PM 2.5</t>
  </si>
  <si>
    <t>at</t>
  </si>
  <si>
    <t>%</t>
  </si>
  <si>
    <t>avg mg/m3</t>
  </si>
  <si>
    <t>max mg/m3</t>
  </si>
  <si>
    <t>g/s</t>
  </si>
  <si>
    <t>te/yr</t>
  </si>
  <si>
    <t>A2</t>
  </si>
  <si>
    <t>A4</t>
  </si>
  <si>
    <t>A6</t>
  </si>
  <si>
    <t>PM10 conversion to PM2.5 is 15% as per previous variation</t>
  </si>
  <si>
    <t>Dioxin Modelling - average since 2007</t>
  </si>
  <si>
    <t>Benchmark ng/m3</t>
  </si>
  <si>
    <t>Updated after review by R. Nibbs. Line 4 main stack (A11) flow rate increased to account for 9 spinners as opposed to 8 on Line 3. Needs reflecting in the H1 itself too.</t>
  </si>
  <si>
    <t>R. Nibbs reviewed consolidated emissions inputs. Emission rate calcs exact replica of 2011 submission.</t>
  </si>
  <si>
    <t>2016-2021 data - as per Line 3 (A5) but with flow increase to account for 9 spinners</t>
  </si>
  <si>
    <t>2016-2021 data - as per Line 3 (A6)</t>
  </si>
  <si>
    <t>Document History</t>
  </si>
  <si>
    <t>Version</t>
  </si>
  <si>
    <t>Date</t>
  </si>
  <si>
    <t>Modifications</t>
  </si>
  <si>
    <t>Created and populated</t>
  </si>
  <si>
    <t>J. Carroll</t>
  </si>
  <si>
    <t>2 Issue 1</t>
  </si>
  <si>
    <t>Issue for Environment Agency following request for raw data.</t>
  </si>
  <si>
    <t>R. Ritchie</t>
  </si>
  <si>
    <t>2016-2021 data (concentrations from A9 taken as representative of A13)</t>
  </si>
  <si>
    <t>2016-2021 data (concentrations taken as representative of A13)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</si>
</sst>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0.0_)"/>
    <numFmt numFmtId="166" formatCode="0_)"/>
    <numFmt numFmtId="167" formatCode="0.0"/>
    <numFmt numFmtId="168" formatCode="0.000000000"/>
  </numFmts>
  <fonts count="2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8"/>
      <name val="Arial"/>
      <family val="2"/>
    </font>
    <font>
      <b/>
      <sz val="18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b/>
      <sz val="24"/>
      <color rgb="FF087647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23B14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876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 applyAlignment="1">
      <alignment horizontal="center"/>
    </xf>
    <xf numFmtId="164" fontId="3" fillId="0" borderId="4" xfId="0" applyNumberFormat="1" applyFont="1" applyBorder="1"/>
    <xf numFmtId="164" fontId="3" fillId="0" borderId="0" xfId="0" applyNumberFormat="1" applyFont="1"/>
    <xf numFmtId="2" fontId="1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1" fillId="0" borderId="5" xfId="0" applyNumberFormat="1" applyFont="1" applyBorder="1"/>
    <xf numFmtId="0" fontId="5" fillId="0" borderId="0" xfId="0" applyFont="1"/>
    <xf numFmtId="0" fontId="5" fillId="0" borderId="5" xfId="0" applyFont="1" applyBorder="1"/>
    <xf numFmtId="164" fontId="5" fillId="0" borderId="5" xfId="0" applyNumberFormat="1" applyFont="1" applyBorder="1"/>
    <xf numFmtId="164" fontId="5" fillId="0" borderId="0" xfId="0" applyNumberFormat="1" applyFont="1"/>
    <xf numFmtId="0" fontId="5" fillId="0" borderId="6" xfId="0" applyFont="1" applyBorder="1"/>
    <xf numFmtId="164" fontId="1" fillId="0" borderId="8" xfId="0" applyNumberFormat="1" applyFont="1" applyBorder="1"/>
    <xf numFmtId="166" fontId="2" fillId="0" borderId="0" xfId="0" applyNumberFormat="1" applyFont="1" applyAlignment="1">
      <alignment horizontal="center"/>
    </xf>
    <xf numFmtId="164" fontId="1" fillId="0" borderId="9" xfId="0" applyNumberFormat="1" applyFont="1" applyBorder="1"/>
    <xf numFmtId="164" fontId="1" fillId="0" borderId="10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5" xfId="0" applyFont="1" applyBorder="1"/>
    <xf numFmtId="164" fontId="2" fillId="0" borderId="12" xfId="0" applyNumberFormat="1" applyFont="1" applyBorder="1"/>
    <xf numFmtId="165" fontId="5" fillId="0" borderId="5" xfId="0" applyNumberFormat="1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164" fontId="2" fillId="0" borderId="5" xfId="0" applyNumberFormat="1" applyFont="1" applyBorder="1"/>
    <xf numFmtId="164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 applyProtection="1">
      <alignment horizontal="center"/>
      <protection locked="0"/>
    </xf>
    <xf numFmtId="166" fontId="1" fillId="0" borderId="5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0" fontId="4" fillId="0" borderId="5" xfId="0" applyFont="1" applyBorder="1"/>
    <xf numFmtId="0" fontId="15" fillId="0" borderId="6" xfId="0" applyFont="1" applyBorder="1"/>
    <xf numFmtId="0" fontId="4" fillId="0" borderId="6" xfId="0" applyFont="1" applyBorder="1"/>
    <xf numFmtId="2" fontId="15" fillId="0" borderId="5" xfId="0" applyNumberFormat="1" applyFont="1" applyBorder="1"/>
    <xf numFmtId="164" fontId="2" fillId="2" borderId="5" xfId="0" applyNumberFormat="1" applyFont="1" applyFill="1" applyBorder="1"/>
    <xf numFmtId="0" fontId="11" fillId="2" borderId="5" xfId="0" applyFont="1" applyFill="1" applyBorder="1"/>
    <xf numFmtId="0" fontId="13" fillId="2" borderId="5" xfId="0" applyFont="1" applyFill="1" applyBorder="1"/>
    <xf numFmtId="0" fontId="4" fillId="0" borderId="12" xfId="0" applyFont="1" applyBorder="1"/>
    <xf numFmtId="0" fontId="11" fillId="0" borderId="5" xfId="0" applyFont="1" applyBorder="1"/>
    <xf numFmtId="0" fontId="4" fillId="0" borderId="0" xfId="0" applyFont="1"/>
    <xf numFmtId="164" fontId="4" fillId="0" borderId="5" xfId="0" applyNumberFormat="1" applyFont="1" applyBorder="1"/>
    <xf numFmtId="165" fontId="4" fillId="0" borderId="5" xfId="0" applyNumberFormat="1" applyFont="1" applyBorder="1"/>
    <xf numFmtId="0" fontId="4" fillId="0" borderId="7" xfId="0" applyFont="1" applyBorder="1"/>
    <xf numFmtId="0" fontId="4" fillId="0" borderId="10" xfId="0" applyFont="1" applyBorder="1"/>
    <xf numFmtId="0" fontId="4" fillId="0" borderId="11" xfId="0" applyFont="1" applyBorder="1"/>
    <xf numFmtId="0" fontId="11" fillId="2" borderId="7" xfId="0" applyFont="1" applyFill="1" applyBorder="1"/>
    <xf numFmtId="0" fontId="4" fillId="0" borderId="4" xfId="0" applyFont="1" applyBorder="1"/>
    <xf numFmtId="0" fontId="4" fillId="0" borderId="13" xfId="0" applyFont="1" applyBorder="1"/>
    <xf numFmtId="0" fontId="11" fillId="2" borderId="14" xfId="0" applyFont="1" applyFill="1" applyBorder="1"/>
    <xf numFmtId="0" fontId="11" fillId="0" borderId="12" xfId="0" applyFont="1" applyBorder="1"/>
    <xf numFmtId="0" fontId="11" fillId="0" borderId="17" xfId="0" applyFont="1" applyBorder="1"/>
    <xf numFmtId="0" fontId="6" fillId="2" borderId="14" xfId="0" applyFont="1" applyFill="1" applyBorder="1"/>
    <xf numFmtId="2" fontId="4" fillId="0" borderId="7" xfId="0" applyNumberFormat="1" applyFont="1" applyBorder="1"/>
    <xf numFmtId="0" fontId="15" fillId="0" borderId="0" xfId="0" applyFont="1"/>
    <xf numFmtId="2" fontId="1" fillId="0" borderId="5" xfId="0" applyNumberFormat="1" applyFont="1" applyBorder="1" applyAlignment="1" applyProtection="1">
      <alignment horizontal="center"/>
      <protection locked="0"/>
    </xf>
    <xf numFmtId="2" fontId="4" fillId="0" borderId="5" xfId="0" applyNumberFormat="1" applyFont="1" applyBorder="1"/>
    <xf numFmtId="0" fontId="15" fillId="0" borderId="5" xfId="0" applyFont="1" applyBorder="1"/>
    <xf numFmtId="167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/>
    <xf numFmtId="164" fontId="1" fillId="0" borderId="4" xfId="0" applyNumberFormat="1" applyFont="1" applyBorder="1"/>
    <xf numFmtId="166" fontId="2" fillId="0" borderId="4" xfId="0" applyNumberFormat="1" applyFont="1" applyBorder="1" applyAlignment="1">
      <alignment horizontal="center"/>
    </xf>
    <xf numFmtId="11" fontId="4" fillId="0" borderId="5" xfId="0" applyNumberFormat="1" applyFont="1" applyBorder="1"/>
    <xf numFmtId="11" fontId="15" fillId="0" borderId="5" xfId="0" applyNumberFormat="1" applyFont="1" applyBorder="1"/>
    <xf numFmtId="0" fontId="12" fillId="2" borderId="14" xfId="0" applyFont="1" applyFill="1" applyBorder="1"/>
    <xf numFmtId="11" fontId="4" fillId="0" borderId="7" xfId="0" applyNumberFormat="1" applyFont="1" applyBorder="1"/>
    <xf numFmtId="164" fontId="4" fillId="0" borderId="12" xfId="0" applyNumberFormat="1" applyFont="1" applyBorder="1"/>
    <xf numFmtId="164" fontId="4" fillId="0" borderId="17" xfId="0" applyNumberFormat="1" applyFont="1" applyBorder="1"/>
    <xf numFmtId="2" fontId="11" fillId="2" borderId="5" xfId="0" applyNumberFormat="1" applyFont="1" applyFill="1" applyBorder="1"/>
    <xf numFmtId="0" fontId="4" fillId="0" borderId="15" xfId="0" applyFont="1" applyBorder="1"/>
    <xf numFmtId="0" fontId="11" fillId="2" borderId="15" xfId="0" applyFont="1" applyFill="1" applyBorder="1"/>
    <xf numFmtId="0" fontId="10" fillId="2" borderId="15" xfId="0" applyFont="1" applyFill="1" applyBorder="1"/>
    <xf numFmtId="0" fontId="5" fillId="0" borderId="17" xfId="0" applyFont="1" applyBorder="1"/>
    <xf numFmtId="164" fontId="4" fillId="3" borderId="5" xfId="0" applyNumberFormat="1" applyFont="1" applyFill="1" applyBorder="1"/>
    <xf numFmtId="2" fontId="4" fillId="3" borderId="5" xfId="0" applyNumberFormat="1" applyFont="1" applyFill="1" applyBorder="1"/>
    <xf numFmtId="11" fontId="4" fillId="4" borderId="13" xfId="0" applyNumberFormat="1" applyFont="1" applyFill="1" applyBorder="1"/>
    <xf numFmtId="2" fontId="1" fillId="3" borderId="5" xfId="0" applyNumberFormat="1" applyFont="1" applyFill="1" applyBorder="1"/>
    <xf numFmtId="164" fontId="5" fillId="3" borderId="5" xfId="0" applyNumberFormat="1" applyFont="1" applyFill="1" applyBorder="1"/>
    <xf numFmtId="0" fontId="6" fillId="0" borderId="19" xfId="0" applyFont="1" applyBorder="1"/>
    <xf numFmtId="0" fontId="14" fillId="3" borderId="21" xfId="0" applyFont="1" applyFill="1" applyBorder="1"/>
    <xf numFmtId="0" fontId="5" fillId="4" borderId="20" xfId="0" applyFont="1" applyFill="1" applyBorder="1"/>
    <xf numFmtId="0" fontId="3" fillId="0" borderId="5" xfId="0" applyFont="1" applyBorder="1"/>
    <xf numFmtId="0" fontId="18" fillId="0" borderId="12" xfId="0" applyFont="1" applyBorder="1"/>
    <xf numFmtId="11" fontId="5" fillId="4" borderId="7" xfId="0" applyNumberFormat="1" applyFont="1" applyFill="1" applyBorder="1"/>
    <xf numFmtId="11" fontId="5" fillId="4" borderId="13" xfId="0" applyNumberFormat="1" applyFont="1" applyFill="1" applyBorder="1"/>
    <xf numFmtId="11" fontId="4" fillId="4" borderId="7" xfId="0" applyNumberFormat="1" applyFont="1" applyFill="1" applyBorder="1"/>
    <xf numFmtId="11" fontId="5" fillId="0" borderId="0" xfId="0" applyNumberFormat="1" applyFont="1"/>
    <xf numFmtId="0" fontId="17" fillId="5" borderId="22" xfId="0" applyFont="1" applyFill="1" applyBorder="1" applyAlignment="1">
      <alignment horizontal="left" vertical="top"/>
    </xf>
    <xf numFmtId="0" fontId="17" fillId="5" borderId="23" xfId="0" applyFont="1" applyFill="1" applyBorder="1" applyAlignment="1">
      <alignment horizontal="left" vertical="top"/>
    </xf>
    <xf numFmtId="0" fontId="17" fillId="5" borderId="24" xfId="0" applyFont="1" applyFill="1" applyBorder="1" applyAlignment="1">
      <alignment horizontal="left" vertical="top"/>
    </xf>
    <xf numFmtId="0" fontId="20" fillId="0" borderId="5" xfId="0" applyFont="1" applyBorder="1" applyAlignment="1" applyProtection="1">
      <alignment horizontal="left" vertical="top"/>
      <protection locked="0"/>
    </xf>
    <xf numFmtId="14" fontId="20" fillId="0" borderId="5" xfId="0" applyNumberFormat="1" applyFont="1" applyBorder="1" applyAlignment="1" applyProtection="1">
      <alignment horizontal="left" vertical="top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0" fillId="0" borderId="5" xfId="0" applyBorder="1"/>
    <xf numFmtId="0" fontId="23" fillId="6" borderId="5" xfId="0" applyFont="1" applyFill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8" fillId="7" borderId="1" xfId="0" applyFont="1" applyFill="1" applyBorder="1"/>
    <xf numFmtId="0" fontId="5" fillId="7" borderId="2" xfId="0" applyFont="1" applyFill="1" applyBorder="1"/>
    <xf numFmtId="0" fontId="5" fillId="7" borderId="3" xfId="0" applyFont="1" applyFill="1" applyBorder="1"/>
    <xf numFmtId="168" fontId="1" fillId="3" borderId="5" xfId="0" applyNumberFormat="1" applyFont="1" applyFill="1" applyBorder="1"/>
    <xf numFmtId="2" fontId="1" fillId="0" borderId="0" xfId="0" applyNumberFormat="1" applyFont="1"/>
    <xf numFmtId="2" fontId="4" fillId="0" borderId="0" xfId="0" applyNumberFormat="1" applyFont="1"/>
    <xf numFmtId="2" fontId="15" fillId="0" borderId="0" xfId="0" applyNumberFormat="1" applyFont="1"/>
    <xf numFmtId="164" fontId="7" fillId="7" borderId="1" xfId="0" applyNumberFormat="1" applyFont="1" applyFill="1" applyBorder="1"/>
    <xf numFmtId="164" fontId="1" fillId="7" borderId="2" xfId="0" applyNumberFormat="1" applyFont="1" applyFill="1" applyBorder="1"/>
    <xf numFmtId="11" fontId="4" fillId="4" borderId="4" xfId="0" applyNumberFormat="1" applyFont="1" applyFill="1" applyBorder="1"/>
    <xf numFmtId="0" fontId="5" fillId="7" borderId="15" xfId="0" applyFont="1" applyFill="1" applyBorder="1"/>
    <xf numFmtId="0" fontId="4" fillId="0" borderId="16" xfId="0" applyFont="1" applyBorder="1"/>
    <xf numFmtId="0" fontId="4" fillId="0" borderId="25" xfId="0" applyFont="1" applyBorder="1"/>
    <xf numFmtId="0" fontId="2" fillId="0" borderId="26" xfId="0" applyFont="1" applyBorder="1"/>
    <xf numFmtId="0" fontId="5" fillId="0" borderId="16" xfId="0" applyFont="1" applyBorder="1"/>
    <xf numFmtId="0" fontId="2" fillId="0" borderId="5" xfId="0" applyFont="1" applyBorder="1"/>
    <xf numFmtId="0" fontId="24" fillId="0" borderId="5" xfId="0" applyFont="1" applyBorder="1"/>
    <xf numFmtId="11" fontId="24" fillId="0" borderId="5" xfId="0" applyNumberFormat="1" applyFont="1" applyBorder="1"/>
    <xf numFmtId="0" fontId="16" fillId="0" borderId="0" xfId="0" applyFont="1"/>
    <xf numFmtId="0" fontId="13" fillId="0" borderId="0" xfId="0" applyFont="1"/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/>
    <xf numFmtId="1" fontId="24" fillId="0" borderId="0" xfId="0" applyNumberFormat="1" applyFont="1"/>
    <xf numFmtId="0" fontId="24" fillId="0" borderId="0" xfId="0" applyFont="1" applyAlignment="1">
      <alignment horizontal="center"/>
    </xf>
    <xf numFmtId="0" fontId="5" fillId="7" borderId="0" xfId="0" applyFont="1" applyFill="1"/>
    <xf numFmtId="0" fontId="11" fillId="7" borderId="14" xfId="0" applyFont="1" applyFill="1" applyBorder="1"/>
    <xf numFmtId="0" fontId="11" fillId="7" borderId="18" xfId="0" applyFont="1" applyFill="1" applyBorder="1"/>
    <xf numFmtId="0" fontId="4" fillId="7" borderId="3" xfId="0" applyFont="1" applyFill="1" applyBorder="1"/>
    <xf numFmtId="0" fontId="24" fillId="8" borderId="5" xfId="0" applyFont="1" applyFill="1" applyBorder="1"/>
    <xf numFmtId="0" fontId="25" fillId="9" borderId="0" xfId="0" applyFont="1" applyFill="1"/>
    <xf numFmtId="0" fontId="26" fillId="9" borderId="0" xfId="0" applyFont="1" applyFill="1"/>
    <xf numFmtId="0" fontId="17" fillId="9" borderId="5" xfId="0" applyFont="1" applyFill="1" applyBorder="1"/>
    <xf numFmtId="14" fontId="0" fillId="0" borderId="5" xfId="0" applyNumberFormat="1" applyBorder="1"/>
    <xf numFmtId="0" fontId="0" fillId="0" borderId="5" xfId="0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24" fillId="0" borderId="5" xfId="0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87647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nnifer Carroll" id="{1DFFB459-439A-4DEA-B55A-3CA01397D022}" userId="S::JenniferCarroll@ras.ltd.uk::266a136e-a9aa-4232-ac75-ff18a93723a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" dT="2021-10-02T10:56:46.53" personId="{1DFFB459-439A-4DEA-B55A-3CA01397D022}" id="{96DEA075-C52E-4C2D-B4FF-84BB44457696}">
    <text>Emission rate for PM10 in ADMS - Line 4 PM10 file</text>
  </threadedComment>
  <threadedComment ref="M4" dT="2021-10-02T10:56:46.53" personId="{1DFFB459-439A-4DEA-B55A-3CA01397D022}" id="{6C32E595-58B8-417F-A322-3C00AF15D42A}">
    <text>Emission rate for PM10 in ADMS - Line 4 PM10 at ELV file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3" dT="2021-10-02T10:56:46.53" personId="{1DFFB459-439A-4DEA-B55A-3CA01397D022}" id="{67533D0F-76E8-4394-8771-80F205C1A7D3}">
    <text>Emission rate for PM10 in ADMS - Line 4 PM10 file</text>
  </threadedComment>
  <threadedComment ref="M6" dT="2021-10-02T10:56:46.53" personId="{1DFFB459-439A-4DEA-B55A-3CA01397D022}" id="{2DDC4633-7865-4827-8AE4-E6CFF0CB2767}">
    <text>Emission rate for PM10 in ADMS - Line 4 PM10 at ELV file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J3" dT="2021-10-02T10:56:46.53" personId="{1DFFB459-439A-4DEA-B55A-3CA01397D022}" id="{A6E8668F-BC14-4389-A4B3-FB1AB8EA6189}">
    <text>Emission rate for PM10 in ADMS - Line 4 PM10 file</text>
  </threadedComment>
  <threadedComment ref="M6" dT="2021-10-02T10:56:46.53" personId="{1DFFB459-439A-4DEA-B55A-3CA01397D022}" id="{BE2D6EC3-A4F8-4319-A41E-BE824D7D78D6}">
    <text>Emission rate for PM10 in ADMS - Line 4 PM10 at ELV file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N11" dT="2021-10-02T10:56:46.53" personId="{1DFFB459-439A-4DEA-B55A-3CA01397D022}" id="{E49427A6-4A95-415B-8066-5CFF6BE22380}">
    <text>Emission rate for PM10 in ADMS - Line 4 PM10 at ELV file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K12" dT="2021-10-02T10:56:46.53" personId="{1DFFB459-439A-4DEA-B55A-3CA01397D022}" id="{B6D75F34-446F-4FEC-A9FE-0D0559A94B21}">
    <text>Emission rate for PM10 in ADMS - Line 4 PM10 at ELV file</text>
  </threadedComment>
</ThreadedComment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3237D-C016-4927-9072-535E87E37B57}">
  <dimension ref="B2:F8"/>
  <sheetViews>
    <sheetView workbookViewId="0">
      <selection activeCell="D24" sqref="D24"/>
    </sheetView>
  </sheetViews>
  <sheetFormatPr defaultRowHeight="15" x14ac:dyDescent="0.25"/>
  <cols>
    <col min="2" max="2" width="13.42578125" customWidth="1"/>
    <col min="3" max="3" width="10.42578125" bestFit="1" customWidth="1"/>
    <col min="4" max="4" width="53.5703125" customWidth="1"/>
    <col min="5" max="5" width="16.5703125" customWidth="1"/>
    <col min="6" max="6" width="23.7109375" customWidth="1"/>
  </cols>
  <sheetData>
    <row r="2" spans="2:6" x14ac:dyDescent="0.25">
      <c r="B2" s="134" t="s">
        <v>61</v>
      </c>
      <c r="C2" s="134"/>
      <c r="D2" s="134"/>
    </row>
    <row r="3" spans="2:6" x14ac:dyDescent="0.25">
      <c r="B3" s="134"/>
      <c r="C3" s="134"/>
      <c r="D3" s="134"/>
    </row>
    <row r="4" spans="2:6" x14ac:dyDescent="0.25">
      <c r="B4" s="134"/>
      <c r="C4" s="134"/>
      <c r="D4" s="134"/>
    </row>
    <row r="5" spans="2:6" ht="15.75" thickBot="1" x14ac:dyDescent="0.3">
      <c r="B5" s="135"/>
      <c r="C5" s="135"/>
      <c r="D5" s="135"/>
    </row>
    <row r="6" spans="2:6" x14ac:dyDescent="0.25">
      <c r="B6" s="89" t="s">
        <v>62</v>
      </c>
      <c r="C6" s="90" t="s">
        <v>63</v>
      </c>
      <c r="D6" s="90" t="s">
        <v>64</v>
      </c>
      <c r="E6" s="90" t="s">
        <v>65</v>
      </c>
      <c r="F6" s="91" t="s">
        <v>66</v>
      </c>
    </row>
    <row r="7" spans="2:6" ht="127.5" customHeight="1" x14ac:dyDescent="0.25">
      <c r="B7" s="92">
        <v>1</v>
      </c>
      <c r="C7" s="93">
        <v>44643</v>
      </c>
      <c r="D7" s="94" t="s">
        <v>78</v>
      </c>
      <c r="E7" s="95" t="s">
        <v>67</v>
      </c>
      <c r="F7" s="136" t="s">
        <v>95</v>
      </c>
    </row>
    <row r="8" spans="2:6" ht="45" x14ac:dyDescent="0.25">
      <c r="B8" s="118">
        <v>2</v>
      </c>
      <c r="C8" s="119">
        <v>44655</v>
      </c>
      <c r="D8" s="118" t="s">
        <v>94</v>
      </c>
      <c r="E8" s="118" t="s">
        <v>67</v>
      </c>
      <c r="F8" s="137"/>
    </row>
  </sheetData>
  <mergeCells count="2">
    <mergeCell ref="B2:D5"/>
    <mergeCell ref="F7:F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D94A-E03F-4EF6-9535-D0E2C7203C9A}">
  <sheetPr codeName="Sheet19"/>
  <dimension ref="C3:F6"/>
  <sheetViews>
    <sheetView workbookViewId="0">
      <selection activeCell="H16" sqref="H16"/>
    </sheetView>
  </sheetViews>
  <sheetFormatPr defaultRowHeight="15" x14ac:dyDescent="0.25"/>
  <cols>
    <col min="3" max="3" width="19" customWidth="1"/>
    <col min="4" max="5" width="16.5703125" customWidth="1"/>
  </cols>
  <sheetData>
    <row r="3" spans="3:6" x14ac:dyDescent="0.25">
      <c r="C3" s="96"/>
      <c r="D3" s="140" t="s">
        <v>71</v>
      </c>
      <c r="E3" s="140"/>
      <c r="F3" s="96"/>
    </row>
    <row r="4" spans="3:6" x14ac:dyDescent="0.25">
      <c r="C4" s="96"/>
      <c r="D4" s="96" t="s">
        <v>72</v>
      </c>
      <c r="E4" s="96" t="s">
        <v>73</v>
      </c>
      <c r="F4" s="96" t="s">
        <v>74</v>
      </c>
    </row>
    <row r="5" spans="3:6" ht="17.25" x14ac:dyDescent="0.25">
      <c r="C5" s="97" t="s">
        <v>75</v>
      </c>
      <c r="D5" s="97">
        <v>12.78</v>
      </c>
      <c r="E5" s="97">
        <v>11.3</v>
      </c>
      <c r="F5" s="97">
        <v>12.04</v>
      </c>
    </row>
    <row r="6" spans="3:6" ht="32.25" x14ac:dyDescent="0.25">
      <c r="C6" s="97" t="s">
        <v>76</v>
      </c>
      <c r="D6" s="97">
        <v>16.059999999999999</v>
      </c>
      <c r="E6" s="97">
        <v>12.53</v>
      </c>
      <c r="F6" s="97">
        <v>14.3</v>
      </c>
    </row>
  </sheetData>
  <mergeCells count="1">
    <mergeCell ref="D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1EC4F-E8B9-4776-B575-A6F3E142C482}">
  <dimension ref="A1:AD40"/>
  <sheetViews>
    <sheetView showGridLines="0" zoomScaleNormal="100" workbookViewId="0"/>
  </sheetViews>
  <sheetFormatPr defaultColWidth="9.140625" defaultRowHeight="14.25" x14ac:dyDescent="0.2"/>
  <cols>
    <col min="1" max="1" width="23.42578125" style="9" customWidth="1"/>
    <col min="2" max="4" width="9.140625" style="9"/>
    <col min="5" max="5" width="17.5703125" style="9" customWidth="1"/>
    <col min="6" max="13" width="9.140625" style="9"/>
    <col min="14" max="14" width="10.85546875" style="9" bestFit="1" customWidth="1"/>
    <col min="15" max="17" width="9.140625" style="9"/>
    <col min="18" max="18" width="18.42578125" style="9" bestFit="1" customWidth="1"/>
    <col min="19" max="19" width="19.42578125" style="9" bestFit="1" customWidth="1"/>
    <col min="20" max="20" width="13.7109375" style="9" bestFit="1" customWidth="1"/>
    <col min="21" max="21" width="13" style="9" bestFit="1" customWidth="1"/>
    <col min="22" max="22" width="13.140625" style="9" bestFit="1" customWidth="1"/>
    <col min="23" max="23" width="11.85546875" style="9" bestFit="1" customWidth="1"/>
    <col min="24" max="24" width="13.85546875" style="9" bestFit="1" customWidth="1"/>
    <col min="25" max="25" width="9.42578125" style="9" customWidth="1"/>
    <col min="26" max="26" width="51.42578125" style="9" customWidth="1"/>
    <col min="27" max="27" width="15.140625" style="9" customWidth="1"/>
    <col min="28" max="28" width="25.7109375" style="9" customWidth="1"/>
    <col min="29" max="29" width="25.42578125" style="9" customWidth="1"/>
    <col min="30" max="30" width="15" style="9" customWidth="1"/>
    <col min="31" max="16384" width="9.140625" style="9"/>
  </cols>
  <sheetData>
    <row r="1" spans="1:30" ht="23.25" x14ac:dyDescent="0.35">
      <c r="A1" s="105" t="s">
        <v>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99"/>
      <c r="T1" s="99"/>
      <c r="U1" s="99"/>
      <c r="V1" s="99"/>
      <c r="W1" s="99"/>
      <c r="X1" s="100"/>
      <c r="AA1" s="80" t="s">
        <v>55</v>
      </c>
    </row>
    <row r="2" spans="1:30" ht="15" x14ac:dyDescent="0.2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X2" s="13"/>
      <c r="AA2" s="81" t="s">
        <v>53</v>
      </c>
    </row>
    <row r="3" spans="1:30" ht="16.5" thickBot="1" x14ac:dyDescent="0.3">
      <c r="A3" s="32" t="s">
        <v>12</v>
      </c>
      <c r="B3" s="27" t="s">
        <v>13</v>
      </c>
      <c r="C3" s="27"/>
      <c r="D3" s="27"/>
      <c r="E3" s="27"/>
      <c r="F3" s="27" t="s">
        <v>0</v>
      </c>
      <c r="G3" s="27" t="s">
        <v>10</v>
      </c>
      <c r="H3" s="27" t="s">
        <v>8</v>
      </c>
      <c r="I3" s="27" t="s">
        <v>1</v>
      </c>
      <c r="J3" s="27" t="s">
        <v>9</v>
      </c>
      <c r="K3" s="27" t="s">
        <v>6</v>
      </c>
      <c r="L3" s="27" t="s">
        <v>2</v>
      </c>
      <c r="M3" s="27" t="s">
        <v>14</v>
      </c>
      <c r="N3" s="27" t="s">
        <v>11</v>
      </c>
      <c r="O3" s="27" t="s">
        <v>3</v>
      </c>
      <c r="P3" s="27" t="s">
        <v>15</v>
      </c>
      <c r="Q3" s="27" t="s">
        <v>7</v>
      </c>
      <c r="R3" s="1"/>
      <c r="X3" s="13"/>
      <c r="AA3" s="82" t="s">
        <v>54</v>
      </c>
    </row>
    <row r="4" spans="1:30" ht="15.75" x14ac:dyDescent="0.25">
      <c r="A4" s="21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1"/>
      <c r="X4" s="13"/>
    </row>
    <row r="5" spans="1:30" ht="18" x14ac:dyDescent="0.25">
      <c r="A5" s="21"/>
      <c r="B5" s="26"/>
      <c r="C5" s="26"/>
      <c r="D5" s="26"/>
      <c r="E5" s="26"/>
      <c r="F5" s="26"/>
      <c r="G5" s="26"/>
      <c r="H5" s="26"/>
      <c r="I5" s="26"/>
      <c r="J5" s="26"/>
      <c r="K5" s="8"/>
      <c r="L5" s="26"/>
      <c r="M5" s="26"/>
      <c r="N5" s="26"/>
      <c r="O5" s="26"/>
      <c r="P5" s="26"/>
      <c r="Q5" s="26"/>
      <c r="R5" s="37" t="s">
        <v>37</v>
      </c>
      <c r="S5" s="70" t="s">
        <v>32</v>
      </c>
      <c r="T5" s="38" t="s">
        <v>36</v>
      </c>
      <c r="U5" s="38" t="s">
        <v>44</v>
      </c>
      <c r="V5" s="39" t="s">
        <v>41</v>
      </c>
      <c r="W5" s="39" t="s">
        <v>42</v>
      </c>
      <c r="X5" s="48" t="s">
        <v>43</v>
      </c>
      <c r="Y5" s="42"/>
      <c r="Z5" s="116"/>
      <c r="AA5" s="116"/>
      <c r="AB5" s="42"/>
      <c r="AC5" s="42"/>
    </row>
    <row r="6" spans="1:30" ht="15.75" x14ac:dyDescent="0.25">
      <c r="A6" s="21" t="s">
        <v>16</v>
      </c>
      <c r="B6" s="27" t="s">
        <v>17</v>
      </c>
      <c r="C6" s="28"/>
      <c r="D6" s="28"/>
      <c r="E6" s="29"/>
      <c r="F6" s="30"/>
      <c r="G6" s="30">
        <v>1.7</v>
      </c>
      <c r="H6" s="30">
        <v>0.75500000000000012</v>
      </c>
      <c r="I6" s="30"/>
      <c r="J6" s="30">
        <v>0.27</v>
      </c>
      <c r="K6" s="30">
        <v>3.3633333333333333</v>
      </c>
      <c r="L6" s="30"/>
      <c r="M6" s="30">
        <v>4.2933333333333339</v>
      </c>
      <c r="N6" s="57"/>
      <c r="O6" s="30">
        <v>2.7</v>
      </c>
      <c r="P6" s="30"/>
      <c r="Q6" s="30">
        <v>2.5066666666666668</v>
      </c>
      <c r="R6" s="78">
        <f>+AVERAGE(F6:Q6)</f>
        <v>2.2269047619047622</v>
      </c>
      <c r="S6" s="58">
        <f>(R6*$R$24*(8760))/1000000000</f>
        <v>1.0848164893041963</v>
      </c>
      <c r="T6" s="76">
        <v>8.5</v>
      </c>
      <c r="U6" s="58">
        <f>S6*1000</f>
        <v>1084.8164893041962</v>
      </c>
      <c r="V6" s="36">
        <f t="shared" ref="V6:V15" si="0">U6/8760</f>
        <v>0.12383749877901784</v>
      </c>
      <c r="W6" s="36">
        <f t="shared" ref="W6:W15" si="1">V6*1000</f>
        <v>123.83749877901784</v>
      </c>
      <c r="X6" s="45"/>
      <c r="Y6" s="42"/>
      <c r="Z6" s="117"/>
      <c r="AA6" s="117"/>
      <c r="AB6" s="117"/>
      <c r="AC6" s="42"/>
    </row>
    <row r="7" spans="1:30" ht="15.75" x14ac:dyDescent="0.25">
      <c r="A7" s="21" t="s">
        <v>18</v>
      </c>
      <c r="B7" s="27" t="s">
        <v>17</v>
      </c>
      <c r="C7" s="28"/>
      <c r="D7" s="28"/>
      <c r="E7" s="29"/>
      <c r="F7" s="30"/>
      <c r="G7" s="30">
        <v>0.41</v>
      </c>
      <c r="H7" s="30">
        <v>0.43333333333333329</v>
      </c>
      <c r="I7" s="30"/>
      <c r="J7" s="30">
        <v>0.33</v>
      </c>
      <c r="K7" s="30">
        <v>1.9933333333333334</v>
      </c>
      <c r="L7" s="30"/>
      <c r="M7" s="30">
        <v>1.7666666666666668</v>
      </c>
      <c r="N7" s="57"/>
      <c r="O7" s="30">
        <v>0.83</v>
      </c>
      <c r="P7" s="30"/>
      <c r="Q7" s="30">
        <v>0.32666666666666666</v>
      </c>
      <c r="R7" s="78">
        <f t="shared" ref="R7:R21" si="2">+AVERAGE(F7:Q7)</f>
        <v>0.87</v>
      </c>
      <c r="S7" s="58">
        <f t="shared" ref="S7:S21" si="3">(R7*$R$24*(8760))/1000000000</f>
        <v>0.42381262182374996</v>
      </c>
      <c r="T7" s="76">
        <v>5.5</v>
      </c>
      <c r="U7" s="58">
        <f t="shared" ref="U7:U21" si="4">S7*1000</f>
        <v>423.81262182374996</v>
      </c>
      <c r="V7" s="36">
        <f t="shared" si="0"/>
        <v>4.8380436281249994E-2</v>
      </c>
      <c r="W7" s="36">
        <f t="shared" si="1"/>
        <v>48.380436281249992</v>
      </c>
      <c r="X7" s="45"/>
      <c r="Y7" s="42"/>
      <c r="Z7" s="103"/>
      <c r="AA7" s="104"/>
      <c r="AB7" s="103"/>
      <c r="AC7" s="42"/>
    </row>
    <row r="8" spans="1:30" ht="15.75" x14ac:dyDescent="0.25">
      <c r="A8" s="21" t="s">
        <v>19</v>
      </c>
      <c r="B8" s="27" t="s">
        <v>17</v>
      </c>
      <c r="C8" s="28"/>
      <c r="D8" s="28"/>
      <c r="E8" s="29"/>
      <c r="F8" s="30"/>
      <c r="G8" s="30">
        <v>0.54</v>
      </c>
      <c r="H8" s="30">
        <v>0.6343333333333333</v>
      </c>
      <c r="I8" s="30"/>
      <c r="J8" s="30">
        <v>0.23</v>
      </c>
      <c r="K8" s="30">
        <v>0.54999999999999993</v>
      </c>
      <c r="L8" s="30"/>
      <c r="M8" s="30">
        <v>0.78333333333333333</v>
      </c>
      <c r="N8" s="57"/>
      <c r="O8" s="30">
        <v>0.03</v>
      </c>
      <c r="P8" s="30"/>
      <c r="Q8" s="30">
        <v>0.77666666666666673</v>
      </c>
      <c r="R8" s="78">
        <f t="shared" si="2"/>
        <v>0.5063333333333333</v>
      </c>
      <c r="S8" s="58">
        <f t="shared" si="3"/>
        <v>0.24665569829512496</v>
      </c>
      <c r="T8" s="76">
        <v>1.7</v>
      </c>
      <c r="U8" s="58">
        <f t="shared" si="4"/>
        <v>246.65569829512495</v>
      </c>
      <c r="V8" s="36">
        <f t="shared" si="0"/>
        <v>2.8157043184374994E-2</v>
      </c>
      <c r="W8" s="36">
        <f t="shared" si="1"/>
        <v>28.157043184374995</v>
      </c>
      <c r="X8" s="45"/>
      <c r="Y8" s="42"/>
      <c r="Z8" s="117"/>
      <c r="AA8" s="117"/>
      <c r="AB8" s="42"/>
      <c r="AC8" s="42"/>
      <c r="AD8" s="42"/>
    </row>
    <row r="9" spans="1:30" ht="15.75" hidden="1" x14ac:dyDescent="0.25">
      <c r="A9" s="21" t="s">
        <v>20</v>
      </c>
      <c r="B9" s="27" t="s">
        <v>17</v>
      </c>
      <c r="C9" s="28"/>
      <c r="D9" s="28"/>
      <c r="E9" s="29"/>
      <c r="F9" s="30"/>
      <c r="G9" s="30">
        <v>12</v>
      </c>
      <c r="H9" s="30">
        <v>3</v>
      </c>
      <c r="I9" s="30"/>
      <c r="J9" s="30"/>
      <c r="K9" s="30">
        <v>14.9</v>
      </c>
      <c r="L9" s="30"/>
      <c r="M9" s="30">
        <v>6.0600000000000005</v>
      </c>
      <c r="N9" s="57"/>
      <c r="O9" s="30"/>
      <c r="P9" s="30"/>
      <c r="Q9" s="30">
        <v>8.4499999999999993</v>
      </c>
      <c r="R9" s="78">
        <f t="shared" si="2"/>
        <v>8.8819999999999997</v>
      </c>
      <c r="S9" s="58">
        <f t="shared" si="3"/>
        <v>4.3267858701592496</v>
      </c>
      <c r="T9" s="76">
        <v>28.5</v>
      </c>
      <c r="U9" s="58">
        <f t="shared" si="4"/>
        <v>4326.7858701592495</v>
      </c>
      <c r="V9" s="36">
        <f t="shared" si="0"/>
        <v>0.49392532764374997</v>
      </c>
      <c r="W9" s="36">
        <f t="shared" si="1"/>
        <v>493.92532764374999</v>
      </c>
      <c r="X9" s="45"/>
      <c r="Y9" s="42"/>
      <c r="Z9" s="103"/>
      <c r="AA9" s="104"/>
      <c r="AB9" s="42"/>
      <c r="AC9" s="42"/>
      <c r="AD9" s="42"/>
    </row>
    <row r="10" spans="1:30" ht="15.75" hidden="1" x14ac:dyDescent="0.25">
      <c r="A10" s="21" t="s">
        <v>21</v>
      </c>
      <c r="B10" s="27" t="s">
        <v>17</v>
      </c>
      <c r="C10" s="28"/>
      <c r="D10" s="28"/>
      <c r="E10" s="31"/>
      <c r="F10" s="30"/>
      <c r="G10" s="30">
        <v>0.41</v>
      </c>
      <c r="H10" s="30">
        <v>0.19500000000000001</v>
      </c>
      <c r="I10" s="30"/>
      <c r="J10" s="30"/>
      <c r="K10" s="30">
        <v>1.8049999999999999</v>
      </c>
      <c r="L10" s="30"/>
      <c r="M10" s="30">
        <v>0.54</v>
      </c>
      <c r="N10" s="57"/>
      <c r="O10" s="30"/>
      <c r="P10" s="30"/>
      <c r="Q10" s="30">
        <v>0.32500000000000001</v>
      </c>
      <c r="R10" s="78">
        <f t="shared" si="2"/>
        <v>0.65500000000000003</v>
      </c>
      <c r="S10" s="58">
        <f t="shared" si="3"/>
        <v>0.31907731872937495</v>
      </c>
      <c r="T10" s="76">
        <v>3.5</v>
      </c>
      <c r="U10" s="58">
        <f t="shared" si="4"/>
        <v>319.07731872937495</v>
      </c>
      <c r="V10" s="36">
        <f t="shared" si="0"/>
        <v>3.6424351453124997E-2</v>
      </c>
      <c r="W10" s="36">
        <f t="shared" si="1"/>
        <v>36.424351453124999</v>
      </c>
      <c r="X10" s="45"/>
      <c r="Y10" s="42"/>
      <c r="Z10" s="117"/>
      <c r="AA10" s="117"/>
      <c r="AB10" s="42"/>
      <c r="AC10" s="42"/>
      <c r="AD10" s="42"/>
    </row>
    <row r="11" spans="1:30" ht="15.75" hidden="1" x14ac:dyDescent="0.25">
      <c r="A11" s="21" t="s">
        <v>22</v>
      </c>
      <c r="B11" s="27" t="s">
        <v>17</v>
      </c>
      <c r="C11" s="28"/>
      <c r="D11" s="28"/>
      <c r="E11" s="31"/>
      <c r="F11" s="30"/>
      <c r="G11" s="30">
        <v>2.4300000000000002</v>
      </c>
      <c r="H11" s="30">
        <v>0.49</v>
      </c>
      <c r="I11" s="30"/>
      <c r="J11" s="30"/>
      <c r="K11" s="30">
        <v>8</v>
      </c>
      <c r="L11" s="30"/>
      <c r="M11" s="30">
        <v>0.67500000000000004</v>
      </c>
      <c r="N11" s="57"/>
      <c r="O11" s="30"/>
      <c r="P11" s="30"/>
      <c r="Q11" s="30">
        <v>0.62000000000000011</v>
      </c>
      <c r="R11" s="78">
        <f t="shared" si="2"/>
        <v>2.4430000000000001</v>
      </c>
      <c r="S11" s="58">
        <f t="shared" si="3"/>
        <v>1.190085327718875</v>
      </c>
      <c r="T11" s="76">
        <v>13.8</v>
      </c>
      <c r="U11" s="58">
        <f t="shared" si="4"/>
        <v>1190.0853277188751</v>
      </c>
      <c r="V11" s="36">
        <f t="shared" si="0"/>
        <v>0.13585448946562501</v>
      </c>
      <c r="W11" s="36">
        <f t="shared" si="1"/>
        <v>135.85448946562499</v>
      </c>
      <c r="X11" s="45"/>
      <c r="Y11" s="42"/>
      <c r="Z11" s="103"/>
      <c r="AA11" s="104"/>
      <c r="AB11" s="42"/>
      <c r="AC11" s="42"/>
      <c r="AD11" s="42"/>
    </row>
    <row r="12" spans="1:30" ht="15.75" hidden="1" x14ac:dyDescent="0.25">
      <c r="A12" s="21" t="s">
        <v>23</v>
      </c>
      <c r="B12" s="27" t="s">
        <v>17</v>
      </c>
      <c r="C12" s="28"/>
      <c r="D12" s="28"/>
      <c r="E12" s="31"/>
      <c r="F12" s="30"/>
      <c r="G12" s="30">
        <v>0.41</v>
      </c>
      <c r="H12" s="30">
        <v>0.27</v>
      </c>
      <c r="I12" s="30"/>
      <c r="J12" s="30"/>
      <c r="K12" s="30">
        <v>3.605</v>
      </c>
      <c r="L12" s="30"/>
      <c r="M12" s="30">
        <v>1.895</v>
      </c>
      <c r="N12" s="57"/>
      <c r="O12" s="30"/>
      <c r="P12" s="30"/>
      <c r="Q12" s="30">
        <v>0.54</v>
      </c>
      <c r="R12" s="78">
        <f t="shared" si="2"/>
        <v>1.3439999999999999</v>
      </c>
      <c r="S12" s="58">
        <f t="shared" si="3"/>
        <v>0.65471742957599988</v>
      </c>
      <c r="T12" s="76">
        <v>7.1</v>
      </c>
      <c r="U12" s="58">
        <f t="shared" si="4"/>
        <v>654.71742957599986</v>
      </c>
      <c r="V12" s="36">
        <f t="shared" si="0"/>
        <v>7.4739432599999989E-2</v>
      </c>
      <c r="W12" s="36">
        <f t="shared" si="1"/>
        <v>74.739432599999986</v>
      </c>
      <c r="X12" s="45"/>
      <c r="Y12" s="42"/>
      <c r="Z12" s="117"/>
      <c r="AA12" s="117"/>
      <c r="AB12" s="42"/>
      <c r="AC12" s="42"/>
      <c r="AD12" s="42"/>
    </row>
    <row r="13" spans="1:30" ht="15.75" hidden="1" x14ac:dyDescent="0.25">
      <c r="A13" s="21" t="s">
        <v>24</v>
      </c>
      <c r="B13" s="27" t="s">
        <v>17</v>
      </c>
      <c r="C13" s="28"/>
      <c r="D13" s="28"/>
      <c r="E13" s="31"/>
      <c r="F13" s="30"/>
      <c r="G13" s="30">
        <v>0.57999999999999996</v>
      </c>
      <c r="H13" s="30">
        <v>0.65</v>
      </c>
      <c r="I13" s="30"/>
      <c r="J13" s="30"/>
      <c r="K13" s="30">
        <v>14.18</v>
      </c>
      <c r="L13" s="30"/>
      <c r="M13" s="30">
        <v>1.75</v>
      </c>
      <c r="N13" s="57"/>
      <c r="O13" s="30"/>
      <c r="P13" s="30"/>
      <c r="Q13" s="30">
        <v>1.0150000000000001</v>
      </c>
      <c r="R13" s="78">
        <f t="shared" si="2"/>
        <v>3.6350000000000002</v>
      </c>
      <c r="S13" s="58">
        <f t="shared" si="3"/>
        <v>1.7707573337118749</v>
      </c>
      <c r="T13" s="76">
        <v>28.2</v>
      </c>
      <c r="U13" s="58">
        <f t="shared" si="4"/>
        <v>1770.7573337118749</v>
      </c>
      <c r="V13" s="36">
        <f t="shared" si="0"/>
        <v>0.20214124814062498</v>
      </c>
      <c r="W13" s="36">
        <f t="shared" si="1"/>
        <v>202.14124814062498</v>
      </c>
      <c r="X13" s="45"/>
      <c r="Y13" s="42"/>
      <c r="Z13" s="103"/>
      <c r="AA13" s="104"/>
      <c r="AB13" s="42"/>
      <c r="AC13" s="42"/>
      <c r="AD13" s="42"/>
    </row>
    <row r="14" spans="1:30" ht="16.5" hidden="1" thickBot="1" x14ac:dyDescent="0.3">
      <c r="A14" s="21" t="s">
        <v>25</v>
      </c>
      <c r="B14" s="27" t="s">
        <v>17</v>
      </c>
      <c r="C14" s="28"/>
      <c r="D14" s="28"/>
      <c r="E14" s="31"/>
      <c r="F14" s="30"/>
      <c r="G14" s="30">
        <v>2.6</v>
      </c>
      <c r="H14" s="30">
        <v>2.19</v>
      </c>
      <c r="I14" s="30"/>
      <c r="J14" s="30"/>
      <c r="K14" s="30">
        <v>17.7</v>
      </c>
      <c r="L14" s="30"/>
      <c r="M14" s="30">
        <v>2.7</v>
      </c>
      <c r="N14" s="57"/>
      <c r="O14" s="30"/>
      <c r="P14" s="30"/>
      <c r="Q14" s="30">
        <v>1.04</v>
      </c>
      <c r="R14" s="78">
        <f t="shared" si="2"/>
        <v>5.2459999999999996</v>
      </c>
      <c r="S14" s="58">
        <f t="shared" si="3"/>
        <v>2.5555413955027495</v>
      </c>
      <c r="T14" s="76">
        <v>34.799999999999997</v>
      </c>
      <c r="U14" s="58">
        <f t="shared" si="4"/>
        <v>2555.5413955027493</v>
      </c>
      <c r="V14" s="36">
        <f t="shared" si="0"/>
        <v>0.29172846980624995</v>
      </c>
      <c r="W14" s="36">
        <f t="shared" si="1"/>
        <v>291.72846980624996</v>
      </c>
      <c r="X14" s="45"/>
      <c r="Y14" s="42"/>
      <c r="Z14" s="42"/>
      <c r="AA14" s="42"/>
      <c r="AB14" s="42"/>
      <c r="AC14" s="42"/>
      <c r="AD14" s="42"/>
    </row>
    <row r="15" spans="1:30" ht="18" hidden="1" x14ac:dyDescent="0.25">
      <c r="A15" s="21" t="s">
        <v>26</v>
      </c>
      <c r="B15" s="27" t="s">
        <v>17</v>
      </c>
      <c r="C15" s="28"/>
      <c r="D15" s="28"/>
      <c r="E15" s="31"/>
      <c r="F15" s="30"/>
      <c r="G15" s="30">
        <v>7.5</v>
      </c>
      <c r="H15" s="30">
        <v>3.63</v>
      </c>
      <c r="I15" s="30"/>
      <c r="J15" s="30"/>
      <c r="K15" s="30">
        <v>5.29</v>
      </c>
      <c r="L15" s="30"/>
      <c r="M15" s="30">
        <v>3.18</v>
      </c>
      <c r="N15" s="57"/>
      <c r="O15" s="30"/>
      <c r="P15" s="30"/>
      <c r="Q15" s="30">
        <v>4.5500000000000007</v>
      </c>
      <c r="R15" s="78">
        <f t="shared" si="2"/>
        <v>4.83</v>
      </c>
      <c r="S15" s="58">
        <f t="shared" si="3"/>
        <v>2.3528907625387503</v>
      </c>
      <c r="T15" s="76">
        <v>10.1</v>
      </c>
      <c r="U15" s="58">
        <f t="shared" si="4"/>
        <v>2352.8907625387501</v>
      </c>
      <c r="V15" s="36">
        <f t="shared" si="0"/>
        <v>0.26859483590625</v>
      </c>
      <c r="W15" s="36">
        <f t="shared" si="1"/>
        <v>268.59483590625001</v>
      </c>
      <c r="X15" s="45"/>
      <c r="Y15" s="42"/>
      <c r="Z15" s="66" t="s">
        <v>92</v>
      </c>
      <c r="AA15" s="71">
        <v>8.7999999999999995E-2</v>
      </c>
      <c r="AB15" s="42"/>
    </row>
    <row r="16" spans="1:30" ht="15.75" hidden="1" x14ac:dyDescent="0.25">
      <c r="A16" s="21"/>
      <c r="B16" s="27"/>
      <c r="C16" s="28"/>
      <c r="D16" s="28"/>
      <c r="E16" s="31"/>
      <c r="F16" s="30"/>
      <c r="G16" s="30"/>
      <c r="H16" s="30"/>
      <c r="I16" s="30"/>
      <c r="J16" s="30"/>
      <c r="K16" s="30"/>
      <c r="L16" s="30"/>
      <c r="M16" s="30"/>
      <c r="N16" s="57"/>
      <c r="O16" s="30"/>
      <c r="P16" s="30"/>
      <c r="Q16" s="30"/>
      <c r="R16" s="78"/>
      <c r="S16" s="58"/>
      <c r="T16" s="76"/>
      <c r="U16" s="33"/>
      <c r="V16" s="59"/>
      <c r="W16" s="59"/>
      <c r="X16" s="45"/>
      <c r="Y16" s="42"/>
      <c r="Z16" s="40" t="s">
        <v>38</v>
      </c>
      <c r="AA16" s="67">
        <f>(+AVERAGE(AA15))/1000000</f>
        <v>8.7999999999999994E-8</v>
      </c>
      <c r="AB16" s="42"/>
    </row>
    <row r="17" spans="1:30" ht="15.75" x14ac:dyDescent="0.25">
      <c r="A17" s="21" t="s">
        <v>27</v>
      </c>
      <c r="B17" s="27" t="s">
        <v>28</v>
      </c>
      <c r="C17" s="28"/>
      <c r="D17" s="28"/>
      <c r="E17" s="60"/>
      <c r="F17" s="30"/>
      <c r="G17" s="30"/>
      <c r="H17" s="30"/>
      <c r="I17" s="30"/>
      <c r="J17" s="30"/>
      <c r="K17" s="30">
        <v>9.7500000000000003E-2</v>
      </c>
      <c r="L17" s="30"/>
      <c r="M17" s="30"/>
      <c r="N17" s="57"/>
      <c r="O17" s="30"/>
      <c r="P17" s="30"/>
      <c r="Q17" s="30"/>
      <c r="R17" s="101">
        <f>+AVERAGE(F17:Q17)/1000000</f>
        <v>9.7500000000000006E-8</v>
      </c>
      <c r="S17" s="58">
        <f>(R17*$R$24*(8760))/1000000000</f>
        <v>4.7496242100937497E-8</v>
      </c>
      <c r="T17" s="76">
        <v>0.18</v>
      </c>
      <c r="U17" s="64">
        <f t="shared" si="4"/>
        <v>4.7496242100937497E-5</v>
      </c>
      <c r="V17" s="65">
        <f>U17/8760</f>
        <v>5.4219454453124995E-9</v>
      </c>
      <c r="W17" s="65">
        <f>V17*1000</f>
        <v>5.4219454453124994E-6</v>
      </c>
      <c r="X17" s="55">
        <f>R17*R24*8760</f>
        <v>47.496242100937494</v>
      </c>
      <c r="Y17" s="42"/>
      <c r="Z17" s="40" t="s">
        <v>32</v>
      </c>
      <c r="AA17" s="67">
        <f>((AA16)*R24*(8760))/1000000000</f>
        <v>4.2868403126999994E-8</v>
      </c>
      <c r="AB17" s="42"/>
    </row>
    <row r="18" spans="1:30" ht="15.75" x14ac:dyDescent="0.25">
      <c r="A18" s="21"/>
      <c r="B18" s="27"/>
      <c r="C18" s="28"/>
      <c r="D18" s="28"/>
      <c r="E18" s="31"/>
      <c r="F18" s="30"/>
      <c r="G18" s="30"/>
      <c r="H18" s="30"/>
      <c r="I18" s="30"/>
      <c r="J18" s="30"/>
      <c r="K18" s="30"/>
      <c r="L18" s="30"/>
      <c r="M18" s="30"/>
      <c r="N18" s="57"/>
      <c r="O18" s="30"/>
      <c r="P18" s="30"/>
      <c r="Q18" s="30"/>
      <c r="R18" s="78"/>
      <c r="S18" s="58"/>
      <c r="T18" s="76"/>
      <c r="U18" s="33"/>
      <c r="V18" s="59"/>
      <c r="W18" s="59"/>
      <c r="X18" s="45"/>
      <c r="Y18" s="42"/>
      <c r="Z18" s="68" t="s">
        <v>44</v>
      </c>
      <c r="AA18" s="67">
        <f>AA17*1000</f>
        <v>4.2868403126999993E-5</v>
      </c>
      <c r="AB18" s="42"/>
    </row>
    <row r="19" spans="1:30" ht="15.75" x14ac:dyDescent="0.25">
      <c r="A19" s="21" t="s">
        <v>29</v>
      </c>
      <c r="B19" s="27" t="s">
        <v>17</v>
      </c>
      <c r="C19" s="28"/>
      <c r="D19" s="28"/>
      <c r="E19" s="29"/>
      <c r="F19" s="30"/>
      <c r="G19" s="30">
        <v>15.25</v>
      </c>
      <c r="H19" s="30">
        <v>4.003333333333333</v>
      </c>
      <c r="I19" s="30"/>
      <c r="J19" s="30">
        <v>1.1000000000000001</v>
      </c>
      <c r="K19" s="30">
        <v>19.273333333333333</v>
      </c>
      <c r="L19" s="30"/>
      <c r="M19" s="30">
        <v>9.3800000000000008</v>
      </c>
      <c r="N19" s="57"/>
      <c r="O19" s="30"/>
      <c r="P19" s="30"/>
      <c r="Q19" s="30">
        <v>8.5566666666666666</v>
      </c>
      <c r="R19" s="78">
        <f t="shared" si="2"/>
        <v>9.5938888888888894</v>
      </c>
      <c r="S19" s="58">
        <f t="shared" si="3"/>
        <v>4.673576095960625</v>
      </c>
      <c r="T19" s="76">
        <v>52.9</v>
      </c>
      <c r="U19" s="58">
        <f t="shared" si="4"/>
        <v>4673.576095960625</v>
      </c>
      <c r="V19" s="36">
        <f>U19/8760</f>
        <v>0.53351325296354168</v>
      </c>
      <c r="W19" s="36">
        <f>V19*1000</f>
        <v>533.51325296354173</v>
      </c>
      <c r="X19" s="45"/>
      <c r="Y19" s="42"/>
      <c r="Z19" s="68" t="s">
        <v>41</v>
      </c>
      <c r="AA19" s="67">
        <f>AA18/8760</f>
        <v>4.8936533249999989E-9</v>
      </c>
      <c r="AB19" s="42"/>
    </row>
    <row r="20" spans="1:30" ht="15.75" x14ac:dyDescent="0.25">
      <c r="A20" s="21"/>
      <c r="B20" s="27"/>
      <c r="C20" s="28"/>
      <c r="D20" s="28"/>
      <c r="E20" s="31"/>
      <c r="F20" s="30"/>
      <c r="G20" s="30"/>
      <c r="H20" s="30"/>
      <c r="I20" s="30"/>
      <c r="J20" s="30"/>
      <c r="K20" s="30"/>
      <c r="L20" s="30"/>
      <c r="M20" s="30"/>
      <c r="N20" s="57"/>
      <c r="O20" s="30"/>
      <c r="P20" s="30"/>
      <c r="Q20" s="30"/>
      <c r="R20" s="78"/>
      <c r="S20" s="58"/>
      <c r="T20" s="76"/>
      <c r="U20" s="33"/>
      <c r="V20" s="59"/>
      <c r="W20" s="59"/>
      <c r="X20" s="45"/>
      <c r="Y20" s="42"/>
      <c r="Z20" s="68" t="s">
        <v>45</v>
      </c>
      <c r="AA20" s="67">
        <f>AA19/60</f>
        <v>8.1560888749999979E-11</v>
      </c>
      <c r="AB20" s="42"/>
    </row>
    <row r="21" spans="1:30" ht="15.75" x14ac:dyDescent="0.25">
      <c r="A21" s="21" t="s">
        <v>30</v>
      </c>
      <c r="B21" s="27" t="s">
        <v>17</v>
      </c>
      <c r="C21" s="28"/>
      <c r="D21" s="28"/>
      <c r="E21" s="29"/>
      <c r="F21" s="30"/>
      <c r="G21" s="30">
        <v>10.68</v>
      </c>
      <c r="H21" s="30">
        <v>5.1133333333333342</v>
      </c>
      <c r="I21" s="30"/>
      <c r="J21" s="30">
        <v>2.4</v>
      </c>
      <c r="K21" s="30">
        <v>25.279999999999998</v>
      </c>
      <c r="L21" s="30"/>
      <c r="M21" s="30">
        <v>6.7866666666666662</v>
      </c>
      <c r="N21" s="57"/>
      <c r="O21" s="30"/>
      <c r="P21" s="30"/>
      <c r="Q21" s="30">
        <v>6.3366666666666669</v>
      </c>
      <c r="R21" s="78">
        <f t="shared" si="2"/>
        <v>9.4327777777777779</v>
      </c>
      <c r="S21" s="58">
        <f t="shared" si="3"/>
        <v>4.5950922771043752</v>
      </c>
      <c r="T21" s="76">
        <v>73.099999999999994</v>
      </c>
      <c r="U21" s="58">
        <f t="shared" si="4"/>
        <v>4595.0922771043752</v>
      </c>
      <c r="V21" s="36">
        <f>U21/8760</f>
        <v>0.52455391291145836</v>
      </c>
      <c r="W21" s="36">
        <f>V21*1000</f>
        <v>524.55391291145838</v>
      </c>
      <c r="X21" s="45"/>
      <c r="Y21" s="42"/>
      <c r="Z21" s="68" t="s">
        <v>46</v>
      </c>
      <c r="AA21" s="67">
        <f>AA20/60</f>
        <v>1.3593481458333329E-12</v>
      </c>
    </row>
    <row r="22" spans="1:30" ht="15.75" thickBot="1" x14ac:dyDescent="0.25">
      <c r="A22" s="14"/>
      <c r="B22" s="1"/>
      <c r="C22" s="1"/>
      <c r="D22" s="1"/>
      <c r="E22" s="1"/>
      <c r="F22" s="7"/>
      <c r="G22" s="7"/>
      <c r="H22" s="7"/>
      <c r="I22" s="7"/>
      <c r="J22" s="7"/>
      <c r="K22" s="7"/>
      <c r="L22" s="7"/>
      <c r="M22" s="7"/>
      <c r="N22" s="6"/>
      <c r="O22" s="7"/>
      <c r="P22" s="7"/>
      <c r="Q22" s="7"/>
      <c r="R22" s="1"/>
      <c r="S22" s="42"/>
      <c r="T22" s="42"/>
      <c r="U22" s="42"/>
      <c r="V22" s="42"/>
      <c r="W22" s="42"/>
      <c r="X22" s="34"/>
      <c r="Y22" s="56"/>
      <c r="Z22" s="69" t="s">
        <v>47</v>
      </c>
      <c r="AA22" s="77">
        <f>AA21*1000</f>
        <v>1.3593481458333329E-9</v>
      </c>
    </row>
    <row r="23" spans="1:30" ht="15.75" thickBot="1" x14ac:dyDescent="0.25">
      <c r="A23" s="1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42"/>
      <c r="T23" s="42"/>
      <c r="U23" s="42"/>
      <c r="V23" s="42"/>
      <c r="W23" s="42"/>
      <c r="X23" s="35"/>
      <c r="Y23" s="42"/>
      <c r="Z23" s="42"/>
    </row>
    <row r="24" spans="1:30" ht="16.5" thickBot="1" x14ac:dyDescent="0.3">
      <c r="A24" s="14"/>
      <c r="B24" s="1"/>
      <c r="C24" s="1"/>
      <c r="D24" s="61" t="s">
        <v>31</v>
      </c>
      <c r="E24" s="62"/>
      <c r="F24" s="4"/>
      <c r="G24" s="4"/>
      <c r="H24" s="4">
        <v>50687.5</v>
      </c>
      <c r="I24" s="4"/>
      <c r="J24" s="4"/>
      <c r="K24" s="83">
        <v>50357.533333333333</v>
      </c>
      <c r="L24" s="4"/>
      <c r="M24" s="4">
        <v>44455.666666666664</v>
      </c>
      <c r="N24" s="4"/>
      <c r="O24" s="4"/>
      <c r="P24" s="4"/>
      <c r="Q24" s="4">
        <v>52222.666666666664</v>
      </c>
      <c r="R24" s="63">
        <f>AVERAGE(F24:Q24)*(9/8)</f>
        <v>55609.696874999994</v>
      </c>
      <c r="S24" s="42"/>
      <c r="T24" s="42"/>
      <c r="U24" s="42"/>
      <c r="V24" s="42"/>
      <c r="W24" s="42"/>
      <c r="X24" s="35"/>
      <c r="Y24" s="42"/>
      <c r="Z24" s="51" t="s">
        <v>40</v>
      </c>
      <c r="AA24" s="72"/>
      <c r="AC24" s="42"/>
      <c r="AD24" s="42"/>
    </row>
    <row r="25" spans="1:30" ht="16.5" thickBot="1" x14ac:dyDescent="0.3">
      <c r="A25" s="16"/>
      <c r="B25" s="17"/>
      <c r="C25" s="17"/>
      <c r="D25" s="2"/>
      <c r="E25" s="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5"/>
      <c r="S25" s="46"/>
      <c r="T25" s="46"/>
      <c r="U25" s="46"/>
      <c r="V25" s="46"/>
      <c r="W25" s="25"/>
      <c r="X25" s="18"/>
      <c r="Y25" s="42"/>
      <c r="Z25" s="40" t="s">
        <v>93</v>
      </c>
      <c r="AA25" s="45">
        <v>0.3</v>
      </c>
      <c r="AB25" s="12"/>
      <c r="AC25" s="42"/>
      <c r="AD25" s="42"/>
    </row>
    <row r="26" spans="1:30" ht="16.5" thickBot="1" x14ac:dyDescent="0.3">
      <c r="A26" s="1"/>
      <c r="B26" s="1"/>
      <c r="C26" s="1"/>
      <c r="D26" s="10" t="s">
        <v>79</v>
      </c>
      <c r="E26" s="10"/>
      <c r="F26" s="10"/>
      <c r="G26" s="10"/>
      <c r="H26" s="10">
        <v>44.975000000000001</v>
      </c>
      <c r="I26" s="10"/>
      <c r="J26" s="10"/>
      <c r="K26" s="10">
        <v>45.9</v>
      </c>
      <c r="L26" s="10"/>
      <c r="M26" s="10">
        <v>46.733333333333327</v>
      </c>
      <c r="N26" s="10"/>
      <c r="O26" s="10"/>
      <c r="P26" s="10"/>
      <c r="Q26" s="10">
        <v>43.066666666666663</v>
      </c>
      <c r="R26" s="63">
        <f>AVERAGE(F26:Q26)</f>
        <v>45.168749999999996</v>
      </c>
      <c r="S26" s="42"/>
      <c r="T26" s="42"/>
      <c r="U26" s="42"/>
      <c r="V26" s="42"/>
      <c r="Y26" s="42"/>
      <c r="Z26" s="40" t="s">
        <v>38</v>
      </c>
      <c r="AA26" s="67">
        <f>(+AVERAGE(AA25))/1000000</f>
        <v>2.9999999999999999E-7</v>
      </c>
      <c r="AB26" s="12"/>
      <c r="AC26" s="42"/>
      <c r="AD26" s="42"/>
    </row>
    <row r="27" spans="1:30" ht="15" x14ac:dyDescent="0.2">
      <c r="R27" s="102"/>
      <c r="Z27" s="40" t="s">
        <v>32</v>
      </c>
      <c r="AA27" s="67">
        <f>((AA26)*R24*(8760))/1000000000</f>
        <v>1.4614228338749998E-7</v>
      </c>
    </row>
    <row r="28" spans="1:30" ht="15" x14ac:dyDescent="0.2">
      <c r="R28" s="102"/>
      <c r="S28" s="103"/>
      <c r="T28" s="103"/>
      <c r="U28" s="103"/>
      <c r="V28" s="104"/>
      <c r="W28" s="104"/>
      <c r="X28" s="42"/>
      <c r="Z28" s="68" t="s">
        <v>44</v>
      </c>
      <c r="AA28" s="67">
        <f>AA27*1000</f>
        <v>1.4614228338749997E-4</v>
      </c>
    </row>
    <row r="29" spans="1:30" ht="15" x14ac:dyDescent="0.2">
      <c r="R29" s="102"/>
      <c r="S29" s="103"/>
      <c r="T29" s="103"/>
      <c r="U29" s="103"/>
      <c r="V29" s="104"/>
      <c r="W29" s="104"/>
      <c r="X29" s="42"/>
      <c r="Z29" s="68" t="s">
        <v>41</v>
      </c>
      <c r="AA29" s="67">
        <f>AA28/8760</f>
        <v>1.6682909062499996E-8</v>
      </c>
    </row>
    <row r="30" spans="1:30" ht="15" x14ac:dyDescent="0.2">
      <c r="R30" s="102"/>
      <c r="S30" s="103"/>
      <c r="T30" s="103"/>
      <c r="U30" s="103"/>
      <c r="V30" s="104"/>
      <c r="W30" s="104"/>
      <c r="X30" s="42"/>
      <c r="Z30" s="68" t="s">
        <v>45</v>
      </c>
      <c r="AA30" s="67">
        <f>AA29/60</f>
        <v>2.7804848437499992E-10</v>
      </c>
    </row>
    <row r="31" spans="1:30" ht="15" x14ac:dyDescent="0.2">
      <c r="R31" s="102"/>
      <c r="S31" s="103"/>
      <c r="T31" s="103"/>
      <c r="U31" s="103"/>
      <c r="V31" s="104"/>
      <c r="W31" s="104"/>
      <c r="X31" s="42"/>
      <c r="Z31" s="68" t="s">
        <v>46</v>
      </c>
      <c r="AA31" s="67">
        <f>AA30/60</f>
        <v>4.6341414062499989E-12</v>
      </c>
    </row>
    <row r="32" spans="1:30" ht="15.75" thickBot="1" x14ac:dyDescent="0.25">
      <c r="R32" s="102"/>
      <c r="S32" s="103"/>
      <c r="T32" s="103"/>
      <c r="U32" s="103"/>
      <c r="V32" s="104"/>
      <c r="W32" s="104"/>
      <c r="X32" s="42"/>
      <c r="Z32" s="69" t="s">
        <v>47</v>
      </c>
      <c r="AA32" s="77">
        <f>AA31*1000</f>
        <v>4.6341414062499988E-9</v>
      </c>
    </row>
    <row r="33" spans="18:24" ht="15" x14ac:dyDescent="0.2">
      <c r="R33" s="102"/>
      <c r="S33" s="103"/>
      <c r="T33" s="103"/>
      <c r="U33" s="103"/>
      <c r="V33" s="104"/>
      <c r="W33" s="104"/>
      <c r="X33" s="42"/>
    </row>
    <row r="34" spans="18:24" ht="15" x14ac:dyDescent="0.2">
      <c r="R34" s="102"/>
      <c r="S34" s="103"/>
      <c r="T34" s="103"/>
      <c r="U34" s="103"/>
      <c r="V34" s="104"/>
      <c r="W34" s="104"/>
      <c r="X34" s="42"/>
    </row>
    <row r="35" spans="18:24" ht="15" x14ac:dyDescent="0.2">
      <c r="R35" s="102"/>
      <c r="S35" s="103"/>
      <c r="T35" s="103"/>
      <c r="U35" s="103"/>
      <c r="V35" s="104"/>
      <c r="W35" s="104"/>
      <c r="X35" s="42"/>
    </row>
    <row r="36" spans="18:24" ht="15" x14ac:dyDescent="0.2">
      <c r="R36" s="102"/>
      <c r="S36" s="103"/>
      <c r="T36" s="103"/>
      <c r="U36" s="103"/>
      <c r="V36" s="104"/>
      <c r="W36" s="104"/>
      <c r="X36" s="42"/>
    </row>
    <row r="37" spans="18:24" ht="15" x14ac:dyDescent="0.2">
      <c r="R37" s="102"/>
      <c r="S37" s="103"/>
      <c r="T37" s="103"/>
      <c r="U37" s="103"/>
      <c r="V37" s="104"/>
      <c r="W37" s="104"/>
      <c r="X37" s="42"/>
    </row>
    <row r="38" spans="18:24" ht="15" x14ac:dyDescent="0.2">
      <c r="R38" s="102"/>
      <c r="S38" s="103"/>
      <c r="T38" s="103"/>
      <c r="U38" s="103"/>
      <c r="V38" s="104"/>
      <c r="W38" s="104"/>
      <c r="X38" s="42"/>
    </row>
    <row r="39" spans="18:24" ht="15" x14ac:dyDescent="0.2">
      <c r="R39" s="102"/>
      <c r="S39" s="103"/>
      <c r="T39" s="103"/>
      <c r="U39" s="103"/>
      <c r="V39" s="104"/>
      <c r="W39" s="104"/>
      <c r="X39" s="42"/>
    </row>
    <row r="40" spans="18:24" ht="15" x14ac:dyDescent="0.2">
      <c r="S40" s="103"/>
      <c r="T40" s="103"/>
      <c r="U40" s="103"/>
      <c r="V40" s="104"/>
      <c r="W40" s="104"/>
      <c r="X40" s="42"/>
    </row>
  </sheetData>
  <conditionalFormatting sqref="F22:Q22">
    <cfRule type="cellIs" dxfId="0" priority="1" stopIfTrue="1" operator="greaterThan">
      <formula>$E$6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C4628-4A96-43DC-998F-2746E153FE25}">
  <dimension ref="A1:P12"/>
  <sheetViews>
    <sheetView showGridLines="0" zoomScaleNormal="100" workbookViewId="0">
      <selection activeCell="K1" sqref="K1"/>
    </sheetView>
  </sheetViews>
  <sheetFormatPr defaultColWidth="9.140625" defaultRowHeight="14.25" x14ac:dyDescent="0.2"/>
  <cols>
    <col min="1" max="1" width="20.28515625" style="9" customWidth="1"/>
    <col min="2" max="2" width="12.5703125" style="9" customWidth="1"/>
    <col min="3" max="5" width="9.140625" style="9"/>
    <col min="6" max="6" width="18.42578125" style="9" bestFit="1" customWidth="1"/>
    <col min="7" max="7" width="17.5703125" style="9" bestFit="1" customWidth="1"/>
    <col min="8" max="8" width="13" style="9" customWidth="1"/>
    <col min="9" max="9" width="13.7109375" style="9" bestFit="1" customWidth="1"/>
    <col min="10" max="10" width="13.5703125" style="9" bestFit="1" customWidth="1"/>
    <col min="11" max="11" width="9.140625" style="9"/>
    <col min="12" max="12" width="16.5703125" style="9" customWidth="1"/>
    <col min="13" max="13" width="13.7109375" style="9" bestFit="1" customWidth="1"/>
    <col min="14" max="15" width="9.140625" style="9"/>
    <col min="16" max="16" width="14.85546875" style="9" customWidth="1"/>
    <col min="17" max="16384" width="9.140625" style="9"/>
  </cols>
  <sheetData>
    <row r="1" spans="1:16" ht="23.25" x14ac:dyDescent="0.35">
      <c r="A1" s="98" t="s">
        <v>97</v>
      </c>
      <c r="B1" s="99"/>
      <c r="C1" s="99"/>
      <c r="D1" s="99"/>
      <c r="E1" s="99"/>
      <c r="F1" s="99"/>
      <c r="G1" s="99"/>
      <c r="H1" s="99"/>
      <c r="I1" s="99"/>
      <c r="J1" s="100"/>
      <c r="P1" s="80" t="s">
        <v>55</v>
      </c>
    </row>
    <row r="2" spans="1:16" ht="16.5" thickBot="1" x14ac:dyDescent="0.3">
      <c r="A2" s="19"/>
      <c r="B2" s="20" t="s">
        <v>33</v>
      </c>
      <c r="C2" s="20" t="s">
        <v>34</v>
      </c>
      <c r="D2" s="20" t="s">
        <v>35</v>
      </c>
      <c r="E2" s="20" t="s">
        <v>57</v>
      </c>
      <c r="F2" s="38" t="s">
        <v>37</v>
      </c>
      <c r="G2" s="38" t="s">
        <v>48</v>
      </c>
      <c r="H2" s="38" t="s">
        <v>36</v>
      </c>
      <c r="I2" s="38" t="s">
        <v>44</v>
      </c>
      <c r="J2" s="48" t="s">
        <v>47</v>
      </c>
      <c r="P2" s="81" t="s">
        <v>53</v>
      </c>
    </row>
    <row r="3" spans="1:16" ht="16.5" thickBot="1" x14ac:dyDescent="0.3">
      <c r="A3" s="21" t="s">
        <v>4</v>
      </c>
      <c r="B3" s="11">
        <v>0.97200000000000009</v>
      </c>
      <c r="C3" s="11">
        <v>1.3875</v>
      </c>
      <c r="D3" s="22">
        <v>0.95499999999999996</v>
      </c>
      <c r="E3" s="22">
        <v>0.95666666666666667</v>
      </c>
      <c r="F3" s="79">
        <f>+AVERAGE(B3:E3)</f>
        <v>1.0677916666666667</v>
      </c>
      <c r="G3" s="10">
        <f>(F3*F4*(3600*8760))/1000000000</f>
        <v>0.44279710635305841</v>
      </c>
      <c r="H3" s="79">
        <v>2.8</v>
      </c>
      <c r="I3" s="10">
        <f>G3*1000</f>
        <v>442.79710635305844</v>
      </c>
      <c r="J3" s="85">
        <f>F3*F4/1000</f>
        <v>1.4041004133468366E-2</v>
      </c>
      <c r="L3" s="54" t="s">
        <v>52</v>
      </c>
      <c r="M3" s="73" t="s">
        <v>39</v>
      </c>
      <c r="P3" s="82" t="s">
        <v>54</v>
      </c>
    </row>
    <row r="4" spans="1:16" ht="15.75" x14ac:dyDescent="0.25">
      <c r="A4" s="21" t="s">
        <v>5</v>
      </c>
      <c r="B4" s="22">
        <v>11.543633333333334</v>
      </c>
      <c r="C4" s="11">
        <v>13.510930555555555</v>
      </c>
      <c r="D4" s="22">
        <v>13.250319444444445</v>
      </c>
      <c r="E4" s="22">
        <v>14.293407407407408</v>
      </c>
      <c r="F4" s="22">
        <f>+AVERAGE(B4:E4)</f>
        <v>13.149572685185186</v>
      </c>
      <c r="G4" s="10"/>
      <c r="H4" s="10"/>
      <c r="I4" s="10"/>
      <c r="J4" s="23"/>
      <c r="L4" s="19" t="s">
        <v>58</v>
      </c>
      <c r="M4" s="23"/>
    </row>
    <row r="5" spans="1:16" ht="15.75" x14ac:dyDescent="0.25">
      <c r="A5" s="21" t="s">
        <v>79</v>
      </c>
      <c r="B5" s="10">
        <v>35.46</v>
      </c>
      <c r="C5" s="10">
        <v>43.774999999999999</v>
      </c>
      <c r="D5" s="10">
        <v>46.3</v>
      </c>
      <c r="E5" s="10">
        <v>35.699999999999996</v>
      </c>
      <c r="F5" s="22">
        <f>+AVERAGE(B5:E5)</f>
        <v>40.308749999999996</v>
      </c>
      <c r="J5" s="13"/>
      <c r="L5" s="19" t="s">
        <v>50</v>
      </c>
      <c r="M5" s="23">
        <f>((5*F4)*(3600*8760))/1000000000</f>
        <v>2.073424621</v>
      </c>
    </row>
    <row r="6" spans="1:16" ht="15" thickBot="1" x14ac:dyDescent="0.25">
      <c r="A6" s="24"/>
      <c r="B6" s="25"/>
      <c r="C6" s="25"/>
      <c r="D6" s="25"/>
      <c r="E6" s="25"/>
      <c r="F6" s="25"/>
      <c r="G6" s="25"/>
      <c r="H6" s="25"/>
      <c r="I6" s="25"/>
      <c r="J6" s="18"/>
      <c r="L6" s="74" t="s">
        <v>51</v>
      </c>
      <c r="M6" s="86">
        <f>(5*F4)/1000</f>
        <v>6.5747863425925923E-2</v>
      </c>
    </row>
    <row r="10" spans="1:16" ht="15" x14ac:dyDescent="0.25">
      <c r="A10" s="114" t="s">
        <v>81</v>
      </c>
      <c r="B10" s="114" t="s">
        <v>82</v>
      </c>
      <c r="C10" s="114">
        <v>15</v>
      </c>
      <c r="D10" s="114" t="s">
        <v>83</v>
      </c>
      <c r="E10" s="114"/>
      <c r="F10" s="138" t="s">
        <v>91</v>
      </c>
    </row>
    <row r="11" spans="1:16" ht="15" x14ac:dyDescent="0.25">
      <c r="A11" s="114"/>
      <c r="B11" s="114" t="s">
        <v>84</v>
      </c>
      <c r="C11" s="114" t="s">
        <v>85</v>
      </c>
      <c r="D11" s="114" t="s">
        <v>86</v>
      </c>
      <c r="E11" s="114" t="s">
        <v>87</v>
      </c>
      <c r="F11" s="138"/>
    </row>
    <row r="12" spans="1:16" ht="15" x14ac:dyDescent="0.25">
      <c r="A12" s="114" t="s">
        <v>90</v>
      </c>
      <c r="B12" s="128">
        <f>(F3/100)*C10</f>
        <v>0.16016875</v>
      </c>
      <c r="C12" s="128">
        <f>(H3/100)*C10</f>
        <v>0.41999999999999993</v>
      </c>
      <c r="D12" s="115">
        <f>($C$10/100)*J3</f>
        <v>2.106150620020255E-3</v>
      </c>
      <c r="E12" s="114">
        <f>D12*(60*60*8760)/1000000</f>
        <v>6.6419565952958753E-2</v>
      </c>
      <c r="F12" s="138"/>
    </row>
  </sheetData>
  <mergeCells count="1">
    <mergeCell ref="F10:F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58A2B-5583-459C-A1BC-B3AC36D0D61A}">
  <dimension ref="A1:P12"/>
  <sheetViews>
    <sheetView showGridLines="0" zoomScaleNormal="100" workbookViewId="0">
      <selection activeCell="K1" sqref="K1"/>
    </sheetView>
  </sheetViews>
  <sheetFormatPr defaultColWidth="9.140625" defaultRowHeight="14.25" x14ac:dyDescent="0.2"/>
  <cols>
    <col min="1" max="1" width="20.28515625" style="9" customWidth="1"/>
    <col min="2" max="2" width="12.5703125" style="9" customWidth="1"/>
    <col min="3" max="5" width="9.140625" style="9"/>
    <col min="6" max="6" width="18.42578125" style="9" bestFit="1" customWidth="1"/>
    <col min="7" max="7" width="17.5703125" style="9" bestFit="1" customWidth="1"/>
    <col min="8" max="8" width="13" style="9" customWidth="1"/>
    <col min="9" max="9" width="13.7109375" style="9" bestFit="1" customWidth="1"/>
    <col min="10" max="10" width="13.5703125" style="9" bestFit="1" customWidth="1"/>
    <col min="11" max="11" width="9.140625" style="9"/>
    <col min="12" max="12" width="16.5703125" style="9" customWidth="1"/>
    <col min="13" max="13" width="13.7109375" style="9" bestFit="1" customWidth="1"/>
    <col min="14" max="15" width="9.140625" style="9"/>
    <col min="16" max="16" width="14.85546875" style="9" customWidth="1"/>
    <col min="17" max="16384" width="9.140625" style="9"/>
  </cols>
  <sheetData>
    <row r="1" spans="1:16" ht="23.25" x14ac:dyDescent="0.35">
      <c r="A1" s="98" t="s">
        <v>97</v>
      </c>
      <c r="B1" s="99"/>
      <c r="C1" s="99"/>
      <c r="D1" s="99"/>
      <c r="E1" s="99"/>
      <c r="F1" s="99"/>
      <c r="G1" s="99"/>
      <c r="H1" s="99"/>
      <c r="I1" s="99"/>
      <c r="J1" s="100"/>
      <c r="P1" s="80" t="s">
        <v>55</v>
      </c>
    </row>
    <row r="2" spans="1:16" ht="16.5" thickBot="1" x14ac:dyDescent="0.3">
      <c r="A2" s="19"/>
      <c r="B2" s="20" t="s">
        <v>33</v>
      </c>
      <c r="C2" s="20" t="s">
        <v>34</v>
      </c>
      <c r="D2" s="20" t="s">
        <v>35</v>
      </c>
      <c r="E2" s="20" t="s">
        <v>57</v>
      </c>
      <c r="F2" s="38" t="s">
        <v>37</v>
      </c>
      <c r="G2" s="38" t="s">
        <v>48</v>
      </c>
      <c r="H2" s="38" t="s">
        <v>36</v>
      </c>
      <c r="I2" s="38" t="s">
        <v>44</v>
      </c>
      <c r="J2" s="48" t="s">
        <v>47</v>
      </c>
      <c r="P2" s="81" t="s">
        <v>53</v>
      </c>
    </row>
    <row r="3" spans="1:16" ht="16.5" thickBot="1" x14ac:dyDescent="0.3">
      <c r="A3" s="21" t="s">
        <v>4</v>
      </c>
      <c r="B3" s="11">
        <v>0.97200000000000009</v>
      </c>
      <c r="C3" s="11">
        <v>1.3875</v>
      </c>
      <c r="D3" s="22">
        <v>0.95499999999999996</v>
      </c>
      <c r="E3" s="22">
        <v>0.95666666666666667</v>
      </c>
      <c r="F3" s="79">
        <f>+AVERAGE(B3:E3)</f>
        <v>1.0677916666666667</v>
      </c>
      <c r="G3" s="10">
        <f>(F3*F4*(3600*8760))/1000000000</f>
        <v>0.44279710635305841</v>
      </c>
      <c r="H3" s="79">
        <v>2.8</v>
      </c>
      <c r="I3" s="10">
        <f>G3*1000</f>
        <v>442.79710635305844</v>
      </c>
      <c r="J3" s="85">
        <f>F3*F4/1000</f>
        <v>1.4041004133468366E-2</v>
      </c>
      <c r="L3" s="54" t="s">
        <v>52</v>
      </c>
      <c r="M3" s="73" t="s">
        <v>39</v>
      </c>
      <c r="P3" s="82" t="s">
        <v>54</v>
      </c>
    </row>
    <row r="4" spans="1:16" ht="15.75" x14ac:dyDescent="0.25">
      <c r="A4" s="21" t="s">
        <v>5</v>
      </c>
      <c r="B4" s="22">
        <v>11.543633333333334</v>
      </c>
      <c r="C4" s="11">
        <v>13.510930555555555</v>
      </c>
      <c r="D4" s="22">
        <v>13.250319444444445</v>
      </c>
      <c r="E4" s="22">
        <v>14.293407407407408</v>
      </c>
      <c r="F4" s="22">
        <f>+AVERAGE(B4:E4)</f>
        <v>13.149572685185186</v>
      </c>
      <c r="G4" s="10"/>
      <c r="H4" s="10"/>
      <c r="I4" s="10"/>
      <c r="J4" s="23"/>
      <c r="L4" s="19" t="s">
        <v>58</v>
      </c>
      <c r="M4" s="23"/>
    </row>
    <row r="5" spans="1:16" ht="15.75" x14ac:dyDescent="0.25">
      <c r="A5" s="21" t="s">
        <v>79</v>
      </c>
      <c r="B5" s="10">
        <v>35.46</v>
      </c>
      <c r="C5" s="10">
        <v>43.774999999999999</v>
      </c>
      <c r="D5" s="10">
        <v>46.3</v>
      </c>
      <c r="E5" s="10">
        <v>35.699999999999996</v>
      </c>
      <c r="F5" s="22">
        <f>+AVERAGE(B5:E5)</f>
        <v>40.308749999999996</v>
      </c>
      <c r="J5" s="13"/>
      <c r="L5" s="19" t="s">
        <v>50</v>
      </c>
      <c r="M5" s="23">
        <f>((5*F4)*(3600*8760))/1000000000</f>
        <v>2.073424621</v>
      </c>
    </row>
    <row r="6" spans="1:16" ht="15" thickBot="1" x14ac:dyDescent="0.25">
      <c r="A6" s="24"/>
      <c r="B6" s="25"/>
      <c r="C6" s="25"/>
      <c r="D6" s="25"/>
      <c r="E6" s="25"/>
      <c r="F6" s="25"/>
      <c r="G6" s="25"/>
      <c r="H6" s="25"/>
      <c r="I6" s="25"/>
      <c r="J6" s="18"/>
      <c r="L6" s="74" t="s">
        <v>51</v>
      </c>
      <c r="M6" s="86">
        <f>(5*F4)/1000</f>
        <v>6.5747863425925923E-2</v>
      </c>
    </row>
    <row r="10" spans="1:16" ht="15" x14ac:dyDescent="0.25">
      <c r="A10" s="114" t="s">
        <v>81</v>
      </c>
      <c r="B10" s="114" t="s">
        <v>82</v>
      </c>
      <c r="C10" s="114">
        <v>15</v>
      </c>
      <c r="D10" s="114" t="s">
        <v>83</v>
      </c>
      <c r="E10" s="114"/>
      <c r="F10" s="138" t="s">
        <v>91</v>
      </c>
    </row>
    <row r="11" spans="1:16" ht="15" x14ac:dyDescent="0.25">
      <c r="A11" s="114"/>
      <c r="B11" s="114" t="s">
        <v>84</v>
      </c>
      <c r="C11" s="114" t="s">
        <v>85</v>
      </c>
      <c r="D11" s="114" t="s">
        <v>86</v>
      </c>
      <c r="E11" s="114" t="s">
        <v>87</v>
      </c>
      <c r="F11" s="138"/>
    </row>
    <row r="12" spans="1:16" ht="15" x14ac:dyDescent="0.25">
      <c r="A12" s="114" t="s">
        <v>90</v>
      </c>
      <c r="B12" s="128">
        <f>(F3/100)*C10</f>
        <v>0.16016875</v>
      </c>
      <c r="C12" s="128">
        <f>(H3/100)*C10</f>
        <v>0.41999999999999993</v>
      </c>
      <c r="D12" s="115">
        <f>($C$10/100)*J3</f>
        <v>2.106150620020255E-3</v>
      </c>
      <c r="E12" s="114">
        <f>D12*(60*60*8760)/1000000</f>
        <v>6.6419565952958753E-2</v>
      </c>
      <c r="F12" s="138"/>
    </row>
  </sheetData>
  <mergeCells count="1">
    <mergeCell ref="F10:F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78876-73F6-477D-A1E9-EFD72339B189}">
  <dimension ref="A1:O27"/>
  <sheetViews>
    <sheetView showGridLines="0" workbookViewId="0">
      <selection activeCell="H5" sqref="H5"/>
    </sheetView>
  </sheetViews>
  <sheetFormatPr defaultColWidth="9.140625" defaultRowHeight="14.25" x14ac:dyDescent="0.2"/>
  <cols>
    <col min="1" max="1" width="31.85546875" style="9" customWidth="1"/>
    <col min="2" max="2" width="20.28515625" style="9" customWidth="1"/>
    <col min="3" max="3" width="12.5703125" style="9" customWidth="1"/>
    <col min="4" max="6" width="9.140625" style="9"/>
    <col min="7" max="7" width="18.42578125" style="9" bestFit="1" customWidth="1"/>
    <col min="8" max="8" width="17.5703125" style="9" bestFit="1" customWidth="1"/>
    <col min="9" max="9" width="13" style="9" customWidth="1"/>
    <col min="10" max="10" width="13.7109375" style="9" bestFit="1" customWidth="1"/>
    <col min="11" max="11" width="13.5703125" style="9" bestFit="1" customWidth="1"/>
    <col min="12" max="14" width="9.140625" style="9"/>
    <col min="15" max="15" width="14.85546875" style="9" customWidth="1"/>
    <col min="16" max="16384" width="9.140625" style="9"/>
  </cols>
  <sheetData>
    <row r="1" spans="1:15" ht="23.25" x14ac:dyDescent="0.35">
      <c r="A1" s="98" t="s">
        <v>107</v>
      </c>
      <c r="B1" s="99"/>
      <c r="C1" s="99"/>
      <c r="D1" s="99"/>
      <c r="E1" s="99"/>
      <c r="F1" s="99"/>
      <c r="G1" s="99"/>
      <c r="H1" s="99"/>
      <c r="I1" s="99"/>
      <c r="J1" s="99"/>
      <c r="K1" s="108"/>
      <c r="O1" s="80" t="s">
        <v>55</v>
      </c>
    </row>
    <row r="2" spans="1:15" ht="15.75" x14ac:dyDescent="0.25">
      <c r="A2" s="19"/>
      <c r="B2" s="20" t="s">
        <v>60</v>
      </c>
      <c r="C2" s="20" t="s">
        <v>33</v>
      </c>
      <c r="D2" s="20" t="s">
        <v>34</v>
      </c>
      <c r="E2" s="20" t="s">
        <v>35</v>
      </c>
      <c r="F2" s="20" t="s">
        <v>57</v>
      </c>
      <c r="G2" s="38" t="s">
        <v>37</v>
      </c>
      <c r="H2" s="38" t="s">
        <v>48</v>
      </c>
      <c r="I2" s="38" t="s">
        <v>36</v>
      </c>
      <c r="J2" s="38" t="s">
        <v>44</v>
      </c>
      <c r="K2" s="48" t="s">
        <v>47</v>
      </c>
      <c r="O2" s="81" t="s">
        <v>53</v>
      </c>
    </row>
    <row r="3" spans="1:15" ht="16.5" thickBot="1" x14ac:dyDescent="0.3">
      <c r="A3" s="113" t="s">
        <v>59</v>
      </c>
      <c r="B3" s="113">
        <v>100</v>
      </c>
      <c r="C3" s="11"/>
      <c r="D3" s="11">
        <v>92.6</v>
      </c>
      <c r="E3" s="22"/>
      <c r="F3" s="22"/>
      <c r="G3" s="79">
        <f>+AVERAGE(C3:F3)</f>
        <v>92.6</v>
      </c>
      <c r="H3" s="112">
        <f>(G3*G4*(3600*8760))/1000000000</f>
        <v>6.4002110870399989</v>
      </c>
      <c r="I3" s="79">
        <v>117</v>
      </c>
      <c r="J3" s="10">
        <f>H3*1000</f>
        <v>6400.2110870399993</v>
      </c>
      <c r="K3" s="85">
        <f>G3*G4/1000</f>
        <v>0.20294936222222218</v>
      </c>
      <c r="O3" s="82" t="s">
        <v>54</v>
      </c>
    </row>
    <row r="4" spans="1:15" ht="15.75" x14ac:dyDescent="0.25">
      <c r="A4" s="113" t="s">
        <v>5</v>
      </c>
      <c r="B4" s="113"/>
      <c r="C4" s="22"/>
      <c r="D4" s="11">
        <v>2.1916777777777776</v>
      </c>
      <c r="E4" s="22"/>
      <c r="F4" s="22"/>
      <c r="G4" s="22">
        <f>+AVERAGE(C4:F4)</f>
        <v>2.1916777777777776</v>
      </c>
      <c r="H4" s="112"/>
      <c r="I4" s="10"/>
      <c r="J4" s="10"/>
      <c r="K4" s="23"/>
    </row>
    <row r="5" spans="1:15" ht="15.75" x14ac:dyDescent="0.25">
      <c r="A5" s="113" t="s">
        <v>79</v>
      </c>
      <c r="B5" s="10"/>
      <c r="C5" s="10"/>
      <c r="D5" s="10">
        <v>150.19999999999999</v>
      </c>
      <c r="E5" s="10"/>
      <c r="F5" s="10"/>
      <c r="G5" s="10"/>
      <c r="K5" s="13"/>
    </row>
    <row r="6" spans="1:15" ht="15" thickBot="1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18"/>
    </row>
    <row r="8" spans="1:15" ht="15" thickBot="1" x14ac:dyDescent="0.25"/>
    <row r="9" spans="1:15" ht="15" x14ac:dyDescent="0.25">
      <c r="J9" s="54" t="s">
        <v>69</v>
      </c>
      <c r="K9" s="73" t="s">
        <v>39</v>
      </c>
    </row>
    <row r="10" spans="1:15" ht="14.1" customHeight="1" x14ac:dyDescent="0.2">
      <c r="D10" s="120"/>
      <c r="E10" s="120"/>
      <c r="F10" s="120"/>
      <c r="J10" s="19" t="s">
        <v>70</v>
      </c>
      <c r="K10" s="23"/>
    </row>
    <row r="11" spans="1:15" ht="14.1" customHeight="1" x14ac:dyDescent="0.2">
      <c r="D11" s="120"/>
      <c r="E11" s="120"/>
      <c r="F11" s="120"/>
      <c r="J11" s="19" t="s">
        <v>50</v>
      </c>
      <c r="K11" s="23">
        <f>((100*D3)*(3600*8760))/1000000000</f>
        <v>292.02336000000003</v>
      </c>
    </row>
    <row r="12" spans="1:15" ht="14.45" customHeight="1" thickBot="1" x14ac:dyDescent="0.25">
      <c r="D12" s="120"/>
      <c r="E12" s="120"/>
      <c r="F12" s="120"/>
      <c r="J12" s="74" t="s">
        <v>51</v>
      </c>
      <c r="K12" s="86">
        <f>(100*D4)/1000</f>
        <v>0.21916777777777777</v>
      </c>
    </row>
    <row r="13" spans="1:15" ht="14.1" customHeight="1" x14ac:dyDescent="0.2">
      <c r="D13" s="120"/>
      <c r="E13" s="120"/>
      <c r="F13" s="120"/>
    </row>
    <row r="14" spans="1:15" ht="14.1" customHeight="1" x14ac:dyDescent="0.2">
      <c r="D14" s="120"/>
      <c r="E14" s="120"/>
      <c r="F14" s="120"/>
    </row>
    <row r="16" spans="1:15" ht="14.1" customHeight="1" x14ac:dyDescent="0.2">
      <c r="D16" s="120"/>
      <c r="E16" s="120"/>
      <c r="F16" s="120"/>
    </row>
    <row r="17" spans="1:8" ht="14.1" customHeight="1" x14ac:dyDescent="0.2">
      <c r="D17" s="120"/>
      <c r="E17" s="120"/>
      <c r="F17" s="120"/>
    </row>
    <row r="18" spans="1:8" ht="14.1" customHeight="1" x14ac:dyDescent="0.2">
      <c r="D18" s="120"/>
      <c r="E18" s="120"/>
      <c r="F18" s="120"/>
      <c r="H18" s="88"/>
    </row>
    <row r="21" spans="1:8" ht="15" x14ac:dyDescent="0.25">
      <c r="A21" s="120"/>
      <c r="B21" s="120"/>
      <c r="D21" s="123"/>
      <c r="E21" s="123"/>
    </row>
    <row r="22" spans="1:8" ht="30.6" customHeight="1" x14ac:dyDescent="0.25">
      <c r="A22" s="120"/>
      <c r="B22" s="120"/>
      <c r="D22" s="121"/>
      <c r="E22" s="121"/>
    </row>
    <row r="23" spans="1:8" ht="15" x14ac:dyDescent="0.25">
      <c r="D23" s="121"/>
      <c r="E23" s="121"/>
    </row>
    <row r="24" spans="1:8" ht="30.95" customHeight="1" x14ac:dyDescent="0.25">
      <c r="A24" s="120"/>
      <c r="B24" s="120"/>
      <c r="D24" s="121"/>
      <c r="E24" s="121"/>
    </row>
    <row r="25" spans="1:8" ht="15" x14ac:dyDescent="0.25">
      <c r="D25" s="121"/>
      <c r="E25" s="121"/>
    </row>
    <row r="26" spans="1:8" ht="15" x14ac:dyDescent="0.25">
      <c r="D26" s="121"/>
      <c r="E26" s="121"/>
    </row>
    <row r="27" spans="1:8" ht="15" x14ac:dyDescent="0.25">
      <c r="D27" s="121"/>
      <c r="E27" s="122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45276-7D6F-47AA-B686-918B60A593F6}">
  <dimension ref="A1:O27"/>
  <sheetViews>
    <sheetView showGridLines="0" workbookViewId="0">
      <selection activeCell="D3" sqref="D3:D5"/>
    </sheetView>
  </sheetViews>
  <sheetFormatPr defaultColWidth="9.140625" defaultRowHeight="14.25" x14ac:dyDescent="0.2"/>
  <cols>
    <col min="1" max="1" width="31.85546875" style="9" customWidth="1"/>
    <col min="2" max="2" width="20.28515625" style="9" customWidth="1"/>
    <col min="3" max="3" width="12.5703125" style="9" customWidth="1"/>
    <col min="4" max="6" width="9.140625" style="9"/>
    <col min="7" max="7" width="18.42578125" style="9" bestFit="1" customWidth="1"/>
    <col min="8" max="8" width="17.5703125" style="9" bestFit="1" customWidth="1"/>
    <col min="9" max="9" width="13" style="9" customWidth="1"/>
    <col min="10" max="10" width="13.7109375" style="9" bestFit="1" customWidth="1"/>
    <col min="11" max="11" width="13.5703125" style="9" bestFit="1" customWidth="1"/>
    <col min="12" max="14" width="9.140625" style="9"/>
    <col min="15" max="15" width="14.85546875" style="9" customWidth="1"/>
    <col min="16" max="16384" width="9.140625" style="9"/>
  </cols>
  <sheetData>
    <row r="1" spans="1:15" ht="23.25" x14ac:dyDescent="0.35">
      <c r="A1" s="98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108"/>
      <c r="O1" s="80" t="s">
        <v>55</v>
      </c>
    </row>
    <row r="2" spans="1:15" ht="15.75" x14ac:dyDescent="0.25">
      <c r="A2" s="19"/>
      <c r="B2" s="20" t="s">
        <v>60</v>
      </c>
      <c r="C2" s="20" t="s">
        <v>33</v>
      </c>
      <c r="D2" s="20" t="s">
        <v>34</v>
      </c>
      <c r="E2" s="20" t="s">
        <v>35</v>
      </c>
      <c r="F2" s="20" t="s">
        <v>57</v>
      </c>
      <c r="G2" s="38" t="s">
        <v>37</v>
      </c>
      <c r="H2" s="38" t="s">
        <v>48</v>
      </c>
      <c r="I2" s="38" t="s">
        <v>36</v>
      </c>
      <c r="J2" s="38" t="s">
        <v>44</v>
      </c>
      <c r="K2" s="48" t="s">
        <v>47</v>
      </c>
      <c r="O2" s="81" t="s">
        <v>53</v>
      </c>
    </row>
    <row r="3" spans="1:15" ht="16.5" thickBot="1" x14ac:dyDescent="0.3">
      <c r="A3" s="113" t="s">
        <v>59</v>
      </c>
      <c r="B3" s="113">
        <v>100</v>
      </c>
      <c r="C3" s="11"/>
      <c r="D3" s="11">
        <v>50</v>
      </c>
      <c r="E3" s="22"/>
      <c r="F3" s="22"/>
      <c r="G3" s="79">
        <f>+AVERAGE(C3:F3)</f>
        <v>50</v>
      </c>
      <c r="H3" s="112">
        <f>(G3*G4*(3600*8760))/1000000000</f>
        <v>2.8382399999999999</v>
      </c>
      <c r="I3" s="79">
        <v>117</v>
      </c>
      <c r="J3" s="10">
        <f>H3*1000</f>
        <v>2838.24</v>
      </c>
      <c r="K3" s="85">
        <f>G3*G4/1000</f>
        <v>0.09</v>
      </c>
      <c r="O3" s="82" t="s">
        <v>54</v>
      </c>
    </row>
    <row r="4" spans="1:15" ht="15.75" x14ac:dyDescent="0.25">
      <c r="A4" s="113" t="s">
        <v>5</v>
      </c>
      <c r="B4" s="113"/>
      <c r="C4" s="22"/>
      <c r="D4" s="11">
        <v>1.8</v>
      </c>
      <c r="E4" s="22"/>
      <c r="F4" s="22"/>
      <c r="G4" s="22">
        <f>+AVERAGE(C4:F4)</f>
        <v>1.8</v>
      </c>
      <c r="H4" s="112"/>
      <c r="I4" s="10"/>
      <c r="J4" s="10"/>
      <c r="K4" s="23"/>
    </row>
    <row r="5" spans="1:15" ht="15.75" x14ac:dyDescent="0.25">
      <c r="A5" s="113" t="s">
        <v>79</v>
      </c>
      <c r="B5" s="10"/>
      <c r="C5" s="10"/>
      <c r="D5" s="10">
        <v>150.19999999999999</v>
      </c>
      <c r="E5" s="10"/>
      <c r="F5" s="10"/>
      <c r="G5" s="10"/>
      <c r="K5" s="13"/>
    </row>
    <row r="6" spans="1:15" ht="15" thickBot="1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18"/>
    </row>
    <row r="8" spans="1:15" ht="15" thickBot="1" x14ac:dyDescent="0.25"/>
    <row r="9" spans="1:15" ht="15" x14ac:dyDescent="0.25">
      <c r="J9" s="54" t="s">
        <v>69</v>
      </c>
      <c r="K9" s="73" t="s">
        <v>39</v>
      </c>
    </row>
    <row r="10" spans="1:15" ht="14.1" customHeight="1" x14ac:dyDescent="0.2">
      <c r="D10" s="120"/>
      <c r="E10" s="120"/>
      <c r="F10" s="120"/>
      <c r="J10" s="19" t="s">
        <v>70</v>
      </c>
      <c r="K10" s="23"/>
    </row>
    <row r="11" spans="1:15" ht="14.1" customHeight="1" x14ac:dyDescent="0.2">
      <c r="D11" s="120"/>
      <c r="E11" s="120"/>
      <c r="F11" s="120"/>
      <c r="J11" s="19" t="s">
        <v>50</v>
      </c>
      <c r="K11" s="23">
        <f>((100*D3)*(3600*8760))/1000000000</f>
        <v>157.68</v>
      </c>
    </row>
    <row r="12" spans="1:15" ht="14.45" customHeight="1" thickBot="1" x14ac:dyDescent="0.25">
      <c r="D12" s="120"/>
      <c r="E12" s="120"/>
      <c r="F12" s="120"/>
      <c r="J12" s="74" t="s">
        <v>51</v>
      </c>
      <c r="K12" s="86">
        <f>(100*D4)/1000</f>
        <v>0.18</v>
      </c>
    </row>
    <row r="13" spans="1:15" ht="14.1" customHeight="1" x14ac:dyDescent="0.2">
      <c r="D13" s="120"/>
      <c r="E13" s="120"/>
      <c r="F13" s="120"/>
    </row>
    <row r="14" spans="1:15" ht="14.1" customHeight="1" x14ac:dyDescent="0.2">
      <c r="D14" s="120"/>
      <c r="E14" s="120"/>
      <c r="F14" s="120"/>
    </row>
    <row r="16" spans="1:15" ht="14.1" customHeight="1" x14ac:dyDescent="0.2">
      <c r="D16" s="120"/>
      <c r="E16" s="120"/>
      <c r="F16" s="120"/>
    </row>
    <row r="17" spans="1:8" ht="14.1" customHeight="1" x14ac:dyDescent="0.2">
      <c r="D17" s="120"/>
      <c r="E17" s="120"/>
      <c r="F17" s="120"/>
    </row>
    <row r="18" spans="1:8" ht="14.1" customHeight="1" x14ac:dyDescent="0.2">
      <c r="D18" s="120"/>
      <c r="E18" s="120"/>
      <c r="F18" s="120"/>
      <c r="H18" s="88"/>
    </row>
    <row r="21" spans="1:8" ht="15" x14ac:dyDescent="0.25">
      <c r="A21" s="120"/>
      <c r="B21" s="120"/>
      <c r="D21" s="123"/>
      <c r="E21" s="123"/>
    </row>
    <row r="22" spans="1:8" ht="30.6" customHeight="1" x14ac:dyDescent="0.25">
      <c r="A22" s="120"/>
      <c r="B22" s="120"/>
      <c r="D22" s="121"/>
      <c r="E22" s="121"/>
    </row>
    <row r="23" spans="1:8" ht="15" x14ac:dyDescent="0.25">
      <c r="D23" s="121"/>
      <c r="E23" s="121"/>
    </row>
    <row r="24" spans="1:8" ht="30.95" customHeight="1" x14ac:dyDescent="0.25">
      <c r="A24" s="120"/>
      <c r="B24" s="120"/>
      <c r="D24" s="121"/>
      <c r="E24" s="121"/>
    </row>
    <row r="25" spans="1:8" ht="15" x14ac:dyDescent="0.25">
      <c r="D25" s="121"/>
      <c r="E25" s="121"/>
    </row>
    <row r="26" spans="1:8" ht="15" x14ac:dyDescent="0.25">
      <c r="D26" s="121"/>
      <c r="E26" s="121"/>
    </row>
    <row r="27" spans="1:8" ht="15" x14ac:dyDescent="0.25">
      <c r="D27" s="121"/>
      <c r="E27" s="1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E302-71FB-48DB-B951-C9C65F58A860}">
  <sheetPr>
    <tabColor theme="1"/>
  </sheetPr>
  <dimension ref="A1:E5"/>
  <sheetViews>
    <sheetView showGridLines="0" tabSelected="1" workbookViewId="0">
      <selection activeCell="A2" sqref="A2"/>
    </sheetView>
  </sheetViews>
  <sheetFormatPr defaultRowHeight="15" x14ac:dyDescent="0.25"/>
  <cols>
    <col min="1" max="1" width="4.5703125" customWidth="1"/>
    <col min="3" max="3" width="10.7109375" bestFit="1" customWidth="1"/>
    <col min="4" max="4" width="75.140625" customWidth="1"/>
  </cols>
  <sheetData>
    <row r="1" spans="1:5" s="129" customFormat="1" ht="18.75" x14ac:dyDescent="0.3">
      <c r="A1" s="130" t="s">
        <v>98</v>
      </c>
    </row>
    <row r="3" spans="1:5" x14ac:dyDescent="0.25">
      <c r="B3" s="131" t="s">
        <v>99</v>
      </c>
      <c r="C3" s="131" t="s">
        <v>100</v>
      </c>
      <c r="D3" s="131" t="s">
        <v>101</v>
      </c>
      <c r="E3" s="131" t="s">
        <v>65</v>
      </c>
    </row>
    <row r="4" spans="1:5" x14ac:dyDescent="0.25">
      <c r="B4" s="133">
        <v>1</v>
      </c>
      <c r="C4" s="132">
        <v>44692</v>
      </c>
      <c r="D4" s="95" t="s">
        <v>102</v>
      </c>
      <c r="E4" s="95" t="s">
        <v>103</v>
      </c>
    </row>
    <row r="5" spans="1:5" x14ac:dyDescent="0.25">
      <c r="B5" s="133" t="s">
        <v>104</v>
      </c>
      <c r="C5" s="132">
        <v>45083</v>
      </c>
      <c r="D5" s="95" t="s">
        <v>105</v>
      </c>
      <c r="E5" s="95" t="s">
        <v>106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P12"/>
  <sheetViews>
    <sheetView showGridLines="0" zoomScaleNormal="100" workbookViewId="0">
      <selection activeCell="A2" sqref="A2"/>
    </sheetView>
  </sheetViews>
  <sheetFormatPr defaultColWidth="9.140625" defaultRowHeight="14.25" x14ac:dyDescent="0.2"/>
  <cols>
    <col min="1" max="1" width="26.5703125" style="9" customWidth="1"/>
    <col min="2" max="2" width="12.5703125" style="9" customWidth="1"/>
    <col min="3" max="3" width="13.5703125" style="9" customWidth="1"/>
    <col min="4" max="4" width="9.140625" style="9"/>
    <col min="5" max="5" width="11" style="9" bestFit="1" customWidth="1"/>
    <col min="6" max="6" width="18.42578125" style="9" bestFit="1" customWidth="1"/>
    <col min="7" max="7" width="17.5703125" style="9" bestFit="1" customWidth="1"/>
    <col min="8" max="10" width="13.7109375" style="9" bestFit="1" customWidth="1"/>
    <col min="11" max="11" width="9.42578125" style="9" bestFit="1" customWidth="1"/>
    <col min="12" max="12" width="13.85546875" style="9" customWidth="1"/>
    <col min="13" max="13" width="25" style="9" bestFit="1" customWidth="1"/>
    <col min="14" max="14" width="15.5703125" style="9" bestFit="1" customWidth="1"/>
    <col min="15" max="15" width="9.140625" style="9"/>
    <col min="16" max="16" width="15.85546875" style="9" customWidth="1"/>
    <col min="17" max="17" width="14.5703125" style="9" customWidth="1"/>
    <col min="18" max="16384" width="9.140625" style="9"/>
  </cols>
  <sheetData>
    <row r="1" spans="1:16" ht="23.25" x14ac:dyDescent="0.35">
      <c r="A1" s="98" t="s">
        <v>77</v>
      </c>
      <c r="B1" s="99"/>
      <c r="C1" s="99"/>
      <c r="D1" s="99"/>
      <c r="E1" s="99"/>
      <c r="F1" s="99"/>
      <c r="G1" s="99"/>
      <c r="H1" s="99"/>
      <c r="I1" s="99"/>
      <c r="J1" s="100"/>
      <c r="K1" s="124"/>
      <c r="L1" s="125" t="s">
        <v>49</v>
      </c>
      <c r="M1" s="126" t="s">
        <v>39</v>
      </c>
      <c r="N1" s="127"/>
      <c r="P1" s="80" t="s">
        <v>55</v>
      </c>
    </row>
    <row r="2" spans="1:16" ht="15.75" x14ac:dyDescent="0.25">
      <c r="A2" s="40"/>
      <c r="B2" s="41" t="s">
        <v>33</v>
      </c>
      <c r="C2" s="41" t="s">
        <v>34</v>
      </c>
      <c r="D2" s="41" t="s">
        <v>56</v>
      </c>
      <c r="E2" s="41" t="s">
        <v>57</v>
      </c>
      <c r="F2" s="38" t="s">
        <v>37</v>
      </c>
      <c r="G2" s="38" t="s">
        <v>48</v>
      </c>
      <c r="H2" s="38" t="s">
        <v>36</v>
      </c>
      <c r="I2" s="38" t="s">
        <v>44</v>
      </c>
      <c r="J2" s="48" t="s">
        <v>47</v>
      </c>
      <c r="L2" s="40"/>
      <c r="M2" s="33" t="s">
        <v>80</v>
      </c>
      <c r="N2" s="35"/>
      <c r="P2" s="81" t="s">
        <v>53</v>
      </c>
    </row>
    <row r="3" spans="1:16" ht="16.5" thickBot="1" x14ac:dyDescent="0.3">
      <c r="A3" s="26" t="s">
        <v>4</v>
      </c>
      <c r="B3" s="43">
        <v>1.3849999999999998</v>
      </c>
      <c r="C3" s="43">
        <v>0.97250000000000003</v>
      </c>
      <c r="D3" s="44">
        <v>1.1460000000000001</v>
      </c>
      <c r="E3" s="44">
        <v>0.68666666666666665</v>
      </c>
      <c r="F3" s="75">
        <f>+AVERAGE(B3:E3)</f>
        <v>1.0475416666666666</v>
      </c>
      <c r="G3" s="109">
        <f>((F3*F4)*(3600*8760))/1000000000</f>
        <v>0.32671849280140003</v>
      </c>
      <c r="H3" s="75">
        <v>2.9</v>
      </c>
      <c r="I3" s="33">
        <f>G3*1000</f>
        <v>326.71849280140003</v>
      </c>
      <c r="J3" s="87">
        <f>F3*F4/1000</f>
        <v>1.0360175443981481E-2</v>
      </c>
      <c r="L3" s="52" t="s">
        <v>50</v>
      </c>
      <c r="M3" s="33">
        <f>((10*F4)*(3600*8760))/1000000000</f>
        <v>3.1189068959999999</v>
      </c>
      <c r="N3" s="35"/>
      <c r="P3" s="82" t="s">
        <v>54</v>
      </c>
    </row>
    <row r="4" spans="1:16" ht="16.5" thickBot="1" x14ac:dyDescent="0.3">
      <c r="A4" s="26" t="s">
        <v>5</v>
      </c>
      <c r="B4" s="44">
        <v>9.8266388888888887</v>
      </c>
      <c r="C4" s="43">
        <v>9.2624722222222218</v>
      </c>
      <c r="D4" s="44">
        <v>9.4278444444444425</v>
      </c>
      <c r="E4" s="44">
        <v>11.043000000000001</v>
      </c>
      <c r="F4" s="43">
        <f>+AVERAGE(B4:E4)</f>
        <v>9.8899888888888885</v>
      </c>
      <c r="G4" s="110"/>
      <c r="H4" s="49"/>
      <c r="I4" s="49"/>
      <c r="J4" s="50"/>
      <c r="L4" s="53" t="s">
        <v>51</v>
      </c>
      <c r="M4" s="107">
        <f>(5*F4)/1000</f>
        <v>4.9449944444444442E-2</v>
      </c>
      <c r="N4" s="47"/>
    </row>
    <row r="5" spans="1:16" ht="15.75" x14ac:dyDescent="0.25">
      <c r="A5" s="26" t="s">
        <v>79</v>
      </c>
      <c r="B5" s="10">
        <v>18.666666666666668</v>
      </c>
      <c r="C5" s="10">
        <v>27.233333333333334</v>
      </c>
      <c r="D5" s="10">
        <v>30.98</v>
      </c>
      <c r="E5" s="10">
        <v>14.15</v>
      </c>
      <c r="F5" s="43">
        <f>+AVERAGE(B5:E5)</f>
        <v>22.757500000000004</v>
      </c>
    </row>
    <row r="6" spans="1:16" ht="15.75" x14ac:dyDescent="0.25">
      <c r="A6" s="2"/>
      <c r="B6" s="3"/>
      <c r="C6" s="1"/>
      <c r="D6" s="1"/>
      <c r="E6" s="1"/>
      <c r="F6" s="1"/>
    </row>
    <row r="7" spans="1:16" ht="15.75" x14ac:dyDescent="0.25">
      <c r="A7" s="2"/>
      <c r="B7" s="3"/>
      <c r="C7" s="12"/>
      <c r="D7" s="12"/>
      <c r="E7" s="12"/>
      <c r="F7" s="12"/>
    </row>
    <row r="10" spans="1:16" ht="15" x14ac:dyDescent="0.25">
      <c r="A10" s="114" t="s">
        <v>81</v>
      </c>
      <c r="B10" s="114" t="s">
        <v>82</v>
      </c>
      <c r="C10" s="114">
        <v>15</v>
      </c>
      <c r="D10" s="114" t="s">
        <v>83</v>
      </c>
      <c r="E10" s="114"/>
      <c r="F10" s="138" t="s">
        <v>91</v>
      </c>
    </row>
    <row r="11" spans="1:16" ht="15" x14ac:dyDescent="0.25">
      <c r="A11" s="114"/>
      <c r="B11" s="114" t="s">
        <v>84</v>
      </c>
      <c r="C11" s="114" t="s">
        <v>85</v>
      </c>
      <c r="D11" s="114" t="s">
        <v>86</v>
      </c>
      <c r="E11" s="114" t="s">
        <v>87</v>
      </c>
      <c r="F11" s="138"/>
    </row>
    <row r="12" spans="1:16" ht="15" x14ac:dyDescent="0.25">
      <c r="A12" s="114" t="s">
        <v>88</v>
      </c>
      <c r="B12" s="128">
        <f>(F3/100)*C10</f>
        <v>0.15713125</v>
      </c>
      <c r="C12" s="128">
        <f>(H3/100)*C10</f>
        <v>0.43499999999999994</v>
      </c>
      <c r="D12" s="115">
        <f>($C$10/100)*J3</f>
        <v>1.5540263165972222E-3</v>
      </c>
      <c r="E12" s="114">
        <f>D12*(60*60*8760)/1000000</f>
        <v>4.9007773920209996E-2</v>
      </c>
      <c r="F12" s="138"/>
    </row>
  </sheetData>
  <mergeCells count="1">
    <mergeCell ref="F10:F12"/>
  </mergeCells>
  <phoneticPr fontId="9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D38"/>
  <sheetViews>
    <sheetView showGridLines="0" zoomScaleNormal="100" workbookViewId="0">
      <selection activeCell="A2" sqref="A2"/>
    </sheetView>
  </sheetViews>
  <sheetFormatPr defaultColWidth="9.140625" defaultRowHeight="14.25" x14ac:dyDescent="0.2"/>
  <cols>
    <col min="1" max="1" width="23.42578125" style="9" customWidth="1"/>
    <col min="2" max="4" width="9.140625" style="9"/>
    <col min="5" max="5" width="11.7109375" style="9" customWidth="1"/>
    <col min="6" max="13" width="9.140625" style="9"/>
    <col min="14" max="14" width="10.85546875" style="9" bestFit="1" customWidth="1"/>
    <col min="15" max="16" width="9.140625" style="9" customWidth="1"/>
    <col min="17" max="17" width="9.140625" style="9"/>
    <col min="18" max="18" width="18.42578125" style="9" bestFit="1" customWidth="1"/>
    <col min="19" max="19" width="19.42578125" style="9" bestFit="1" customWidth="1"/>
    <col min="20" max="20" width="13.7109375" style="9" bestFit="1" customWidth="1"/>
    <col min="21" max="21" width="13" style="9" bestFit="1" customWidth="1"/>
    <col min="22" max="22" width="13.140625" style="9" bestFit="1" customWidth="1"/>
    <col min="23" max="23" width="11.85546875" style="9" bestFit="1" customWidth="1"/>
    <col min="24" max="24" width="13.85546875" style="9" customWidth="1"/>
    <col min="25" max="25" width="9.42578125" style="9" customWidth="1"/>
    <col min="26" max="26" width="39.7109375" style="9" bestFit="1" customWidth="1"/>
    <col min="27" max="27" width="15.140625" style="9" customWidth="1"/>
    <col min="28" max="28" width="25.7109375" style="9" customWidth="1"/>
    <col min="29" max="29" width="25.42578125" style="9" customWidth="1"/>
    <col min="30" max="30" width="15" style="9" customWidth="1"/>
    <col min="31" max="16384" width="9.140625" style="9"/>
  </cols>
  <sheetData>
    <row r="1" spans="1:30" ht="23.25" x14ac:dyDescent="0.35">
      <c r="A1" s="105" t="s">
        <v>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99"/>
      <c r="T1" s="99"/>
      <c r="U1" s="99"/>
      <c r="V1" s="99"/>
      <c r="W1" s="99"/>
      <c r="X1" s="100"/>
      <c r="AA1" s="80" t="s">
        <v>55</v>
      </c>
    </row>
    <row r="2" spans="1:30" ht="15" x14ac:dyDescent="0.2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X2" s="13"/>
      <c r="AA2" s="81" t="s">
        <v>53</v>
      </c>
    </row>
    <row r="3" spans="1:30" ht="16.5" thickBot="1" x14ac:dyDescent="0.3">
      <c r="A3" s="32" t="s">
        <v>12</v>
      </c>
      <c r="B3" s="27" t="s">
        <v>13</v>
      </c>
      <c r="C3" s="27"/>
      <c r="D3" s="27"/>
      <c r="E3" s="27"/>
      <c r="F3" s="27" t="s">
        <v>0</v>
      </c>
      <c r="G3" s="27" t="s">
        <v>10</v>
      </c>
      <c r="H3" s="27" t="s">
        <v>8</v>
      </c>
      <c r="I3" s="27" t="s">
        <v>1</v>
      </c>
      <c r="J3" s="27" t="s">
        <v>9</v>
      </c>
      <c r="K3" s="27" t="s">
        <v>6</v>
      </c>
      <c r="L3" s="27" t="s">
        <v>2</v>
      </c>
      <c r="M3" s="27" t="s">
        <v>14</v>
      </c>
      <c r="N3" s="27" t="s">
        <v>11</v>
      </c>
      <c r="O3" s="27" t="s">
        <v>3</v>
      </c>
      <c r="P3" s="27" t="s">
        <v>15</v>
      </c>
      <c r="Q3" s="27" t="s">
        <v>7</v>
      </c>
      <c r="R3" s="1"/>
      <c r="X3" s="13"/>
      <c r="AA3" s="82" t="s">
        <v>54</v>
      </c>
    </row>
    <row r="4" spans="1:30" ht="15.75" x14ac:dyDescent="0.25">
      <c r="A4" s="21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1"/>
      <c r="X4" s="13"/>
    </row>
    <row r="5" spans="1:30" ht="16.5" thickBot="1" x14ac:dyDescent="0.3">
      <c r="A5" s="21"/>
      <c r="B5" s="26"/>
      <c r="C5" s="26"/>
      <c r="D5" s="26"/>
      <c r="E5" s="26"/>
      <c r="F5" s="26"/>
      <c r="G5" s="26"/>
      <c r="H5" s="26"/>
      <c r="I5" s="26"/>
      <c r="J5" s="26"/>
      <c r="K5" s="8"/>
      <c r="L5" s="26"/>
      <c r="M5" s="26"/>
      <c r="N5" s="26"/>
      <c r="O5" s="26"/>
      <c r="P5" s="26"/>
      <c r="Q5" s="26"/>
      <c r="R5" s="37" t="s">
        <v>37</v>
      </c>
      <c r="S5" s="70" t="s">
        <v>32</v>
      </c>
      <c r="T5" s="38" t="s">
        <v>36</v>
      </c>
      <c r="U5" s="38" t="s">
        <v>44</v>
      </c>
      <c r="V5" s="39" t="s">
        <v>41</v>
      </c>
      <c r="W5" s="39" t="s">
        <v>42</v>
      </c>
      <c r="X5" s="48" t="s">
        <v>43</v>
      </c>
      <c r="Y5" s="42"/>
      <c r="Z5" s="42"/>
      <c r="AA5" s="42"/>
      <c r="AB5" s="42"/>
      <c r="AC5" s="42"/>
    </row>
    <row r="6" spans="1:30" ht="18" x14ac:dyDescent="0.25">
      <c r="A6" s="21" t="s">
        <v>16</v>
      </c>
      <c r="B6" s="27" t="s">
        <v>17</v>
      </c>
      <c r="C6" s="28"/>
      <c r="D6" s="28"/>
      <c r="E6" s="29"/>
      <c r="F6" s="30"/>
      <c r="G6" s="30">
        <v>0.2</v>
      </c>
      <c r="H6" s="30">
        <v>1.0033333333333334</v>
      </c>
      <c r="I6" s="30"/>
      <c r="J6" s="30">
        <v>0.44000000000000006</v>
      </c>
      <c r="K6" s="30">
        <v>0.68</v>
      </c>
      <c r="L6" s="30">
        <v>0.28999999999999998</v>
      </c>
      <c r="M6" s="30">
        <v>1.3149999999999999</v>
      </c>
      <c r="N6" s="57"/>
      <c r="O6" s="30">
        <v>0.28999999999999998</v>
      </c>
      <c r="P6" s="30"/>
      <c r="Q6" s="30">
        <v>1.4933333333333334</v>
      </c>
      <c r="R6" s="78">
        <f>+AVERAGE(F6:Q6)</f>
        <v>0.71395833333333336</v>
      </c>
      <c r="S6" s="58">
        <f>(R6*$R$24*(8760))/1000000000</f>
        <v>0.27336305043604164</v>
      </c>
      <c r="T6" s="76">
        <v>2.4</v>
      </c>
      <c r="U6" s="58">
        <f>S6*1000</f>
        <v>273.36305043604165</v>
      </c>
      <c r="V6" s="36">
        <f t="shared" ref="V6:V15" si="0">U6/8760</f>
        <v>3.1205827675347221E-2</v>
      </c>
      <c r="W6" s="36">
        <f t="shared" ref="W6:W15" si="1">V6*1000</f>
        <v>31.205827675347223</v>
      </c>
      <c r="X6" s="45"/>
      <c r="Y6" s="42"/>
      <c r="Z6" s="66" t="s">
        <v>92</v>
      </c>
      <c r="AA6" s="71"/>
      <c r="AB6" s="42"/>
      <c r="AC6" s="42"/>
    </row>
    <row r="7" spans="1:30" ht="15.75" x14ac:dyDescent="0.25">
      <c r="A7" s="21" t="s">
        <v>18</v>
      </c>
      <c r="B7" s="27" t="s">
        <v>17</v>
      </c>
      <c r="C7" s="28"/>
      <c r="D7" s="28"/>
      <c r="E7" s="29"/>
      <c r="F7" s="30"/>
      <c r="G7" s="30">
        <v>0.94</v>
      </c>
      <c r="H7" s="30">
        <v>0.76</v>
      </c>
      <c r="I7" s="30"/>
      <c r="J7" s="30">
        <v>0.27</v>
      </c>
      <c r="K7" s="30">
        <v>2.8933333333333331</v>
      </c>
      <c r="L7" s="30">
        <v>0.33</v>
      </c>
      <c r="M7" s="30">
        <v>0.61</v>
      </c>
      <c r="N7" s="57"/>
      <c r="O7" s="30">
        <v>0.33</v>
      </c>
      <c r="P7" s="30"/>
      <c r="Q7" s="30">
        <v>0.30333333333333334</v>
      </c>
      <c r="R7" s="78">
        <f t="shared" ref="R7:R21" si="2">+AVERAGE(F7:Q7)</f>
        <v>0.80458333333333343</v>
      </c>
      <c r="S7" s="58">
        <f t="shared" ref="S7:S21" si="3">(R7*$R$24*(8760))/1000000000</f>
        <v>0.30806189109541665</v>
      </c>
      <c r="T7" s="76">
        <v>8.1999999999999993</v>
      </c>
      <c r="U7" s="58">
        <f t="shared" ref="U7:U21" si="4">S7*1000</f>
        <v>308.06189109541663</v>
      </c>
      <c r="V7" s="36">
        <f t="shared" si="0"/>
        <v>3.5166882545138882E-2</v>
      </c>
      <c r="W7" s="36">
        <f t="shared" si="1"/>
        <v>35.166882545138883</v>
      </c>
      <c r="X7" s="45"/>
      <c r="Y7" s="42"/>
      <c r="Z7" s="84"/>
      <c r="AA7" s="55">
        <v>0.20129411764705885</v>
      </c>
      <c r="AB7" s="42"/>
      <c r="AC7" s="42"/>
    </row>
    <row r="8" spans="1:30" ht="15.75" x14ac:dyDescent="0.25">
      <c r="A8" s="21" t="s">
        <v>19</v>
      </c>
      <c r="B8" s="27" t="s">
        <v>17</v>
      </c>
      <c r="C8" s="28"/>
      <c r="D8" s="28"/>
      <c r="E8" s="29"/>
      <c r="F8" s="30"/>
      <c r="G8" s="30">
        <v>1.4849999999999999</v>
      </c>
      <c r="H8" s="30">
        <v>0.30049999999999999</v>
      </c>
      <c r="I8" s="30"/>
      <c r="J8" s="30">
        <v>0.315</v>
      </c>
      <c r="K8" s="30">
        <v>1.6199999999999999</v>
      </c>
      <c r="L8" s="30">
        <v>0.23</v>
      </c>
      <c r="M8" s="30">
        <v>1.1000000000000001</v>
      </c>
      <c r="N8" s="57"/>
      <c r="O8" s="30">
        <v>0.23</v>
      </c>
      <c r="P8" s="30"/>
      <c r="Q8" s="30">
        <v>0.8833333333333333</v>
      </c>
      <c r="R8" s="78">
        <f t="shared" si="2"/>
        <v>0.7704791666666666</v>
      </c>
      <c r="S8" s="58">
        <f t="shared" si="3"/>
        <v>0.29500395956452086</v>
      </c>
      <c r="T8" s="76">
        <v>4.5999999999999996</v>
      </c>
      <c r="U8" s="58">
        <f t="shared" si="4"/>
        <v>295.00395956452087</v>
      </c>
      <c r="V8" s="36">
        <f t="shared" si="0"/>
        <v>3.3676251091840283E-2</v>
      </c>
      <c r="W8" s="36">
        <f t="shared" si="1"/>
        <v>33.676251091840285</v>
      </c>
      <c r="X8" s="45"/>
      <c r="Y8" s="42"/>
      <c r="Z8" s="40" t="s">
        <v>38</v>
      </c>
      <c r="AA8" s="67">
        <f>(+AVERAGE(AA7))/1000000</f>
        <v>2.0129411764705885E-7</v>
      </c>
      <c r="AB8" s="42"/>
      <c r="AC8" s="42"/>
      <c r="AD8" s="42"/>
    </row>
    <row r="9" spans="1:30" ht="15.75" x14ac:dyDescent="0.25">
      <c r="A9" s="21" t="s">
        <v>20</v>
      </c>
      <c r="B9" s="27" t="s">
        <v>17</v>
      </c>
      <c r="C9" s="28"/>
      <c r="D9" s="28"/>
      <c r="E9" s="29"/>
      <c r="F9" s="30"/>
      <c r="G9" s="30">
        <v>8.6</v>
      </c>
      <c r="H9" s="30">
        <v>1</v>
      </c>
      <c r="I9" s="30"/>
      <c r="J9" s="30">
        <v>1.0999999999999999E-2</v>
      </c>
      <c r="K9" s="30">
        <v>10.795</v>
      </c>
      <c r="L9" s="30"/>
      <c r="M9" s="30">
        <v>3.31</v>
      </c>
      <c r="N9" s="57"/>
      <c r="O9" s="30"/>
      <c r="P9" s="30"/>
      <c r="Q9" s="30">
        <v>3.3333333333333335</v>
      </c>
      <c r="R9" s="78">
        <f t="shared" si="2"/>
        <v>4.5082222222222219</v>
      </c>
      <c r="S9" s="58">
        <f t="shared" si="3"/>
        <v>1.7261250708517775</v>
      </c>
      <c r="T9" s="76">
        <v>20.6</v>
      </c>
      <c r="U9" s="58">
        <f t="shared" si="4"/>
        <v>1726.1250708517775</v>
      </c>
      <c r="V9" s="36">
        <f t="shared" si="0"/>
        <v>0.1970462409648148</v>
      </c>
      <c r="W9" s="36">
        <f t="shared" si="1"/>
        <v>197.04624096481479</v>
      </c>
      <c r="X9" s="45"/>
      <c r="Y9" s="42"/>
      <c r="Z9" s="40" t="s">
        <v>32</v>
      </c>
      <c r="AA9" s="67">
        <f>((AA8)*R24*(8760))/1000000000</f>
        <v>7.7072248429294115E-8</v>
      </c>
      <c r="AB9" s="42"/>
      <c r="AC9" s="42"/>
      <c r="AD9" s="42"/>
    </row>
    <row r="10" spans="1:30" ht="15.75" x14ac:dyDescent="0.25">
      <c r="A10" s="21" t="s">
        <v>21</v>
      </c>
      <c r="B10" s="27" t="s">
        <v>17</v>
      </c>
      <c r="C10" s="28"/>
      <c r="D10" s="28"/>
      <c r="E10" s="31"/>
      <c r="F10" s="30"/>
      <c r="G10" s="30">
        <v>0.84000000000000008</v>
      </c>
      <c r="H10" s="30">
        <v>0.2</v>
      </c>
      <c r="I10" s="30"/>
      <c r="J10" s="30">
        <v>0.21</v>
      </c>
      <c r="K10" s="30">
        <v>1.2749999999999999</v>
      </c>
      <c r="L10" s="30"/>
      <c r="M10" s="30">
        <v>0.54666666666666675</v>
      </c>
      <c r="N10" s="57"/>
      <c r="O10" s="30"/>
      <c r="P10" s="30"/>
      <c r="Q10" s="30">
        <v>0.30333333333333334</v>
      </c>
      <c r="R10" s="78">
        <f t="shared" si="2"/>
        <v>0.5625</v>
      </c>
      <c r="S10" s="58">
        <f t="shared" si="3"/>
        <v>0.21537211443750001</v>
      </c>
      <c r="T10" s="76">
        <v>2.4</v>
      </c>
      <c r="U10" s="58">
        <f t="shared" si="4"/>
        <v>215.37211443750002</v>
      </c>
      <c r="V10" s="36">
        <f t="shared" si="0"/>
        <v>2.45858578125E-2</v>
      </c>
      <c r="W10" s="36">
        <f t="shared" si="1"/>
        <v>24.585857812500002</v>
      </c>
      <c r="X10" s="45"/>
      <c r="Y10" s="42"/>
      <c r="Z10" s="68" t="s">
        <v>44</v>
      </c>
      <c r="AA10" s="67">
        <f>AA9*1000</f>
        <v>7.7072248429294114E-5</v>
      </c>
      <c r="AB10" s="42"/>
      <c r="AC10" s="42"/>
      <c r="AD10" s="42"/>
    </row>
    <row r="11" spans="1:30" ht="15.75" x14ac:dyDescent="0.25">
      <c r="A11" s="21" t="s">
        <v>22</v>
      </c>
      <c r="B11" s="27" t="s">
        <v>17</v>
      </c>
      <c r="C11" s="28"/>
      <c r="D11" s="28"/>
      <c r="E11" s="31"/>
      <c r="F11" s="30"/>
      <c r="G11" s="30">
        <v>0.72</v>
      </c>
      <c r="H11" s="30">
        <v>2.4</v>
      </c>
      <c r="I11" s="30"/>
      <c r="J11" s="30">
        <v>0.13</v>
      </c>
      <c r="K11" s="30">
        <v>3.0900000000000003</v>
      </c>
      <c r="L11" s="30"/>
      <c r="M11" s="30">
        <v>0.5</v>
      </c>
      <c r="N11" s="57"/>
      <c r="O11" s="30"/>
      <c r="P11" s="30"/>
      <c r="Q11" s="30">
        <v>0.5</v>
      </c>
      <c r="R11" s="78">
        <f t="shared" si="2"/>
        <v>1.2233333333333334</v>
      </c>
      <c r="S11" s="58">
        <f t="shared" si="3"/>
        <v>0.46839446517666666</v>
      </c>
      <c r="T11" s="76">
        <v>5.4</v>
      </c>
      <c r="U11" s="58">
        <f t="shared" si="4"/>
        <v>468.39446517666664</v>
      </c>
      <c r="V11" s="36">
        <f t="shared" si="0"/>
        <v>5.3469687805555555E-2</v>
      </c>
      <c r="W11" s="36">
        <f t="shared" si="1"/>
        <v>53.469687805555552</v>
      </c>
      <c r="X11" s="45"/>
      <c r="Y11" s="42"/>
      <c r="Z11" s="68" t="s">
        <v>41</v>
      </c>
      <c r="AA11" s="67">
        <f>AA10/8760</f>
        <v>8.7982018754901954E-9</v>
      </c>
      <c r="AB11" s="42"/>
      <c r="AC11" s="42"/>
      <c r="AD11" s="42"/>
    </row>
    <row r="12" spans="1:30" ht="15.75" x14ac:dyDescent="0.25">
      <c r="A12" s="21" t="s">
        <v>23</v>
      </c>
      <c r="B12" s="27" t="s">
        <v>17</v>
      </c>
      <c r="C12" s="28"/>
      <c r="D12" s="28"/>
      <c r="E12" s="31"/>
      <c r="F12" s="30"/>
      <c r="G12" s="30">
        <v>1.44</v>
      </c>
      <c r="H12" s="30">
        <v>0.2</v>
      </c>
      <c r="I12" s="30"/>
      <c r="J12" s="30">
        <v>0.21</v>
      </c>
      <c r="K12" s="30">
        <v>2.2750000000000004</v>
      </c>
      <c r="L12" s="30"/>
      <c r="M12" s="30">
        <v>0.79</v>
      </c>
      <c r="N12" s="57"/>
      <c r="O12" s="30"/>
      <c r="P12" s="30"/>
      <c r="Q12" s="30">
        <v>0.48666666666666664</v>
      </c>
      <c r="R12" s="78">
        <f t="shared" si="2"/>
        <v>0.90027777777777773</v>
      </c>
      <c r="S12" s="58">
        <f t="shared" si="3"/>
        <v>0.34470173969972218</v>
      </c>
      <c r="T12" s="76">
        <v>4.4000000000000004</v>
      </c>
      <c r="U12" s="58">
        <f t="shared" si="4"/>
        <v>344.70173969972217</v>
      </c>
      <c r="V12" s="36">
        <f t="shared" si="0"/>
        <v>3.9349513664351847E-2</v>
      </c>
      <c r="W12" s="36">
        <f t="shared" si="1"/>
        <v>39.349513664351846</v>
      </c>
      <c r="X12" s="45"/>
      <c r="Y12" s="42"/>
      <c r="Z12" s="68" t="s">
        <v>45</v>
      </c>
      <c r="AA12" s="67">
        <f>AA11/60</f>
        <v>1.466366979248366E-10</v>
      </c>
      <c r="AC12" s="42"/>
      <c r="AD12" s="42"/>
    </row>
    <row r="13" spans="1:30" ht="15.75" x14ac:dyDescent="0.25">
      <c r="A13" s="21" t="s">
        <v>24</v>
      </c>
      <c r="B13" s="27" t="s">
        <v>17</v>
      </c>
      <c r="C13" s="28"/>
      <c r="D13" s="28"/>
      <c r="E13" s="31"/>
      <c r="F13" s="30"/>
      <c r="G13" s="30">
        <v>2.2199999999999998</v>
      </c>
      <c r="H13" s="30">
        <v>1.7</v>
      </c>
      <c r="I13" s="30"/>
      <c r="J13" s="30">
        <v>0.31</v>
      </c>
      <c r="K13" s="30">
        <v>3.355</v>
      </c>
      <c r="L13" s="30"/>
      <c r="M13" s="30">
        <v>0.63666666666666671</v>
      </c>
      <c r="N13" s="57"/>
      <c r="O13" s="30"/>
      <c r="P13" s="30"/>
      <c r="Q13" s="30">
        <v>0.34</v>
      </c>
      <c r="R13" s="78">
        <f t="shared" si="2"/>
        <v>1.4269444444444443</v>
      </c>
      <c r="S13" s="58">
        <f t="shared" si="3"/>
        <v>0.54635385277305559</v>
      </c>
      <c r="T13" s="76">
        <v>6.5</v>
      </c>
      <c r="U13" s="58">
        <f t="shared" si="4"/>
        <v>546.35385277305556</v>
      </c>
      <c r="V13" s="36">
        <f t="shared" si="0"/>
        <v>6.2369161275462964E-2</v>
      </c>
      <c r="W13" s="36">
        <f t="shared" si="1"/>
        <v>62.369161275462965</v>
      </c>
      <c r="X13" s="45"/>
      <c r="Y13" s="42"/>
      <c r="Z13" s="68" t="s">
        <v>46</v>
      </c>
      <c r="AA13" s="67">
        <f>AA12/60</f>
        <v>2.4439449654139435E-12</v>
      </c>
      <c r="AC13" s="42"/>
      <c r="AD13" s="42"/>
    </row>
    <row r="14" spans="1:30" ht="16.5" thickBot="1" x14ac:dyDescent="0.3">
      <c r="A14" s="21" t="s">
        <v>25</v>
      </c>
      <c r="B14" s="27" t="s">
        <v>17</v>
      </c>
      <c r="C14" s="28"/>
      <c r="D14" s="28"/>
      <c r="E14" s="31"/>
      <c r="F14" s="30"/>
      <c r="G14" s="30">
        <v>3.0500000000000003</v>
      </c>
      <c r="H14" s="30">
        <v>4.2</v>
      </c>
      <c r="I14" s="30"/>
      <c r="J14" s="30">
        <v>0.94</v>
      </c>
      <c r="K14" s="30">
        <v>4.03</v>
      </c>
      <c r="L14" s="30"/>
      <c r="M14" s="30">
        <v>0.47666666666666674</v>
      </c>
      <c r="N14" s="57"/>
      <c r="O14" s="30"/>
      <c r="P14" s="30"/>
      <c r="Q14" s="30">
        <v>0.39000000000000007</v>
      </c>
      <c r="R14" s="78">
        <f t="shared" si="2"/>
        <v>2.181111111111111</v>
      </c>
      <c r="S14" s="58">
        <f t="shared" si="3"/>
        <v>0.83511202101888882</v>
      </c>
      <c r="T14" s="76">
        <v>7.6</v>
      </c>
      <c r="U14" s="58">
        <f t="shared" si="4"/>
        <v>835.11202101888887</v>
      </c>
      <c r="V14" s="36">
        <f t="shared" si="0"/>
        <v>9.533242249074074E-2</v>
      </c>
      <c r="W14" s="36">
        <f t="shared" si="1"/>
        <v>95.33242249074074</v>
      </c>
      <c r="X14" s="45"/>
      <c r="Y14" s="42"/>
      <c r="Z14" s="69" t="s">
        <v>47</v>
      </c>
      <c r="AA14" s="77">
        <f>AA13*1000</f>
        <v>2.4439449654139433E-9</v>
      </c>
      <c r="AC14" s="42"/>
      <c r="AD14" s="42"/>
    </row>
    <row r="15" spans="1:30" ht="16.5" thickBot="1" x14ac:dyDescent="0.3">
      <c r="A15" s="21" t="s">
        <v>26</v>
      </c>
      <c r="B15" s="27" t="s">
        <v>17</v>
      </c>
      <c r="C15" s="28"/>
      <c r="D15" s="28"/>
      <c r="E15" s="31"/>
      <c r="F15" s="30"/>
      <c r="G15" s="30">
        <v>2</v>
      </c>
      <c r="H15" s="30">
        <v>1.4</v>
      </c>
      <c r="I15" s="30"/>
      <c r="J15" s="30">
        <v>0</v>
      </c>
      <c r="K15" s="30">
        <v>2.0300000000000002</v>
      </c>
      <c r="L15" s="30"/>
      <c r="M15" s="30">
        <v>1.51</v>
      </c>
      <c r="N15" s="57"/>
      <c r="O15" s="30"/>
      <c r="P15" s="30"/>
      <c r="Q15" s="30">
        <v>0.55999999999999994</v>
      </c>
      <c r="R15" s="78">
        <f t="shared" si="2"/>
        <v>1.2499999999999998</v>
      </c>
      <c r="S15" s="58">
        <f t="shared" si="3"/>
        <v>0.47860469874999989</v>
      </c>
      <c r="T15" s="76">
        <v>3.8</v>
      </c>
      <c r="U15" s="58">
        <f t="shared" si="4"/>
        <v>478.6046987499999</v>
      </c>
      <c r="V15" s="36">
        <f t="shared" si="0"/>
        <v>5.4635239583333321E-2</v>
      </c>
      <c r="W15" s="36">
        <f t="shared" si="1"/>
        <v>54.635239583333323</v>
      </c>
      <c r="X15" s="45"/>
      <c r="Y15" s="42"/>
      <c r="Z15" s="42"/>
    </row>
    <row r="16" spans="1:30" ht="15.75" x14ac:dyDescent="0.25">
      <c r="A16" s="21"/>
      <c r="B16" s="27"/>
      <c r="C16" s="28"/>
      <c r="D16" s="28"/>
      <c r="E16" s="31"/>
      <c r="F16" s="30"/>
      <c r="G16" s="30"/>
      <c r="H16" s="30"/>
      <c r="I16" s="30"/>
      <c r="J16" s="30"/>
      <c r="K16" s="30"/>
      <c r="L16" s="30"/>
      <c r="M16" s="30"/>
      <c r="N16" s="57"/>
      <c r="O16" s="30"/>
      <c r="P16" s="30"/>
      <c r="Q16" s="30"/>
      <c r="R16" s="78" t="e">
        <f t="shared" si="2"/>
        <v>#DIV/0!</v>
      </c>
      <c r="S16" s="58" t="e">
        <f t="shared" si="3"/>
        <v>#DIV/0!</v>
      </c>
      <c r="T16" s="76">
        <f t="shared" ref="T16:T20" si="5">+MAX(F16:Q16)</f>
        <v>0</v>
      </c>
      <c r="U16" s="33"/>
      <c r="V16" s="59"/>
      <c r="W16" s="59"/>
      <c r="X16" s="45"/>
      <c r="Y16" s="42"/>
      <c r="Z16" s="51" t="s">
        <v>40</v>
      </c>
      <c r="AA16" s="72"/>
      <c r="AB16" s="12"/>
    </row>
    <row r="17" spans="1:30" ht="15.75" x14ac:dyDescent="0.25">
      <c r="A17" s="21" t="s">
        <v>27</v>
      </c>
      <c r="B17" s="27" t="s">
        <v>28</v>
      </c>
      <c r="C17" s="28"/>
      <c r="D17" s="28"/>
      <c r="E17" s="60"/>
      <c r="F17" s="30">
        <v>0.14000000000000001</v>
      </c>
      <c r="G17" s="30"/>
      <c r="H17" s="30"/>
      <c r="I17" s="30"/>
      <c r="J17" s="30">
        <v>0.12</v>
      </c>
      <c r="K17" s="30">
        <v>0.20200000000000004</v>
      </c>
      <c r="L17" s="30"/>
      <c r="M17" s="30"/>
      <c r="N17" s="57"/>
      <c r="O17" s="30">
        <v>0.61</v>
      </c>
      <c r="P17" s="30"/>
      <c r="Q17" s="30"/>
      <c r="R17" s="101">
        <f>+AVERAGE(F17:Q17)/1000000</f>
        <v>2.6800000000000002E-7</v>
      </c>
      <c r="S17" s="58">
        <f>(R17*$R$24*(8760))/1000000000</f>
        <v>1.02612847412E-7</v>
      </c>
      <c r="T17" s="76">
        <v>0.61</v>
      </c>
      <c r="U17" s="64">
        <f t="shared" si="4"/>
        <v>1.02612847412E-4</v>
      </c>
      <c r="V17" s="65">
        <f>U17/8760</f>
        <v>1.1713795366666667E-8</v>
      </c>
      <c r="W17" s="65">
        <f>V17*1000</f>
        <v>1.1713795366666667E-5</v>
      </c>
      <c r="X17" s="55">
        <f>R17*R24*8760</f>
        <v>102.61284741199999</v>
      </c>
      <c r="Y17" s="42"/>
      <c r="Z17" s="40" t="s">
        <v>93</v>
      </c>
      <c r="AA17" s="45">
        <v>0.3</v>
      </c>
      <c r="AB17" s="12"/>
    </row>
    <row r="18" spans="1:30" ht="15.75" x14ac:dyDescent="0.25">
      <c r="A18" s="21"/>
      <c r="B18" s="27"/>
      <c r="C18" s="28"/>
      <c r="D18" s="28"/>
      <c r="E18" s="31"/>
      <c r="F18" s="30"/>
      <c r="G18" s="30"/>
      <c r="H18" s="30"/>
      <c r="I18" s="30"/>
      <c r="J18" s="30"/>
      <c r="K18" s="30"/>
      <c r="L18" s="30"/>
      <c r="M18" s="30"/>
      <c r="N18" s="57"/>
      <c r="O18" s="30"/>
      <c r="P18" s="30"/>
      <c r="Q18" s="30"/>
      <c r="R18" s="78" t="e">
        <f t="shared" si="2"/>
        <v>#DIV/0!</v>
      </c>
      <c r="S18" s="58" t="e">
        <f t="shared" si="3"/>
        <v>#DIV/0!</v>
      </c>
      <c r="T18" s="76">
        <f t="shared" si="5"/>
        <v>0</v>
      </c>
      <c r="U18" s="33"/>
      <c r="V18" s="59"/>
      <c r="W18" s="59"/>
      <c r="X18" s="45"/>
      <c r="Y18" s="42"/>
      <c r="Z18" s="40" t="s">
        <v>38</v>
      </c>
      <c r="AA18" s="67">
        <f>(+AVERAGE(AA17))/1000000</f>
        <v>2.9999999999999999E-7</v>
      </c>
    </row>
    <row r="19" spans="1:30" ht="15.75" x14ac:dyDescent="0.25">
      <c r="A19" s="21" t="s">
        <v>29</v>
      </c>
      <c r="B19" s="27" t="s">
        <v>17</v>
      </c>
      <c r="C19" s="28"/>
      <c r="D19" s="28"/>
      <c r="E19" s="29"/>
      <c r="F19" s="30"/>
      <c r="G19" s="30">
        <v>11.600000000000001</v>
      </c>
      <c r="H19" s="30">
        <v>1.95</v>
      </c>
      <c r="I19" s="30"/>
      <c r="J19" s="30">
        <v>9.2805</v>
      </c>
      <c r="K19" s="30">
        <v>11.889999999999999</v>
      </c>
      <c r="L19" s="30">
        <v>4.3</v>
      </c>
      <c r="M19" s="30">
        <v>4.335</v>
      </c>
      <c r="N19" s="57"/>
      <c r="O19" s="30">
        <v>4.3</v>
      </c>
      <c r="P19" s="30"/>
      <c r="Q19" s="30">
        <v>4.6233333333333322</v>
      </c>
      <c r="R19" s="78">
        <f t="shared" si="2"/>
        <v>6.5348541666666664</v>
      </c>
      <c r="S19" s="58">
        <f t="shared" si="3"/>
        <v>2.5020895278501452</v>
      </c>
      <c r="T19" s="76">
        <v>32.799999999999997</v>
      </c>
      <c r="U19" s="58">
        <f t="shared" si="4"/>
        <v>2502.0895278501453</v>
      </c>
      <c r="V19" s="36">
        <f>U19/8760</f>
        <v>0.28562665843038187</v>
      </c>
      <c r="W19" s="36">
        <f>V19*1000</f>
        <v>285.62665843038189</v>
      </c>
      <c r="X19" s="45"/>
      <c r="Y19" s="42"/>
      <c r="Z19" s="40" t="s">
        <v>32</v>
      </c>
      <c r="AA19" s="67">
        <f>((AA18)*R24*(8760))/1000000000</f>
        <v>1.1486512769999999E-7</v>
      </c>
    </row>
    <row r="20" spans="1:30" ht="15.75" x14ac:dyDescent="0.25">
      <c r="A20" s="21"/>
      <c r="B20" s="27"/>
      <c r="C20" s="28"/>
      <c r="D20" s="28"/>
      <c r="E20" s="31"/>
      <c r="F20" s="30"/>
      <c r="G20" s="30"/>
      <c r="H20" s="30"/>
      <c r="I20" s="30"/>
      <c r="J20" s="30"/>
      <c r="K20" s="30"/>
      <c r="L20" s="30"/>
      <c r="M20" s="30"/>
      <c r="N20" s="57"/>
      <c r="O20" s="30"/>
      <c r="P20" s="30"/>
      <c r="Q20" s="30"/>
      <c r="R20" s="78" t="e">
        <f t="shared" si="2"/>
        <v>#DIV/0!</v>
      </c>
      <c r="S20" s="58" t="e">
        <f t="shared" si="3"/>
        <v>#DIV/0!</v>
      </c>
      <c r="T20" s="76">
        <f t="shared" si="5"/>
        <v>0</v>
      </c>
      <c r="U20" s="33"/>
      <c r="V20" s="59"/>
      <c r="W20" s="59"/>
      <c r="X20" s="45"/>
      <c r="Y20" s="42"/>
      <c r="Z20" s="68" t="s">
        <v>44</v>
      </c>
      <c r="AA20" s="67">
        <f>AA19*1000</f>
        <v>1.1486512769999999E-4</v>
      </c>
    </row>
    <row r="21" spans="1:30" ht="15.75" x14ac:dyDescent="0.25">
      <c r="A21" s="21" t="s">
        <v>30</v>
      </c>
      <c r="B21" s="27" t="s">
        <v>17</v>
      </c>
      <c r="C21" s="28"/>
      <c r="D21" s="28"/>
      <c r="E21" s="29"/>
      <c r="F21" s="30"/>
      <c r="G21" s="30">
        <v>7.27</v>
      </c>
      <c r="H21" s="30">
        <v>3.7050000000000005</v>
      </c>
      <c r="I21" s="30"/>
      <c r="J21" s="30">
        <v>0.995</v>
      </c>
      <c r="K21" s="30">
        <v>6.71</v>
      </c>
      <c r="L21" s="30">
        <v>0.74</v>
      </c>
      <c r="M21" s="30">
        <v>4.0925000000000002</v>
      </c>
      <c r="N21" s="57"/>
      <c r="O21" s="30">
        <v>0</v>
      </c>
      <c r="P21" s="30"/>
      <c r="Q21" s="30">
        <v>1.2899999999999998</v>
      </c>
      <c r="R21" s="78">
        <f t="shared" si="2"/>
        <v>3.1003124999999998</v>
      </c>
      <c r="S21" s="58">
        <f t="shared" si="3"/>
        <v>1.1870593040746875</v>
      </c>
      <c r="T21" s="76">
        <v>17.7</v>
      </c>
      <c r="U21" s="58">
        <f t="shared" si="4"/>
        <v>1187.0593040746876</v>
      </c>
      <c r="V21" s="36">
        <f>U21/8760</f>
        <v>0.13550905297656252</v>
      </c>
      <c r="W21" s="36">
        <f>V21*1000</f>
        <v>135.50905297656251</v>
      </c>
      <c r="X21" s="45"/>
      <c r="Y21" s="42"/>
      <c r="Z21" s="68" t="s">
        <v>41</v>
      </c>
      <c r="AA21" s="67">
        <f>AA20/8760</f>
        <v>1.3112457499999999E-8</v>
      </c>
    </row>
    <row r="22" spans="1:30" ht="15" x14ac:dyDescent="0.2">
      <c r="A22" s="14"/>
      <c r="B22" s="1"/>
      <c r="C22" s="1"/>
      <c r="D22" s="1"/>
      <c r="E22" s="1"/>
      <c r="F22" s="7"/>
      <c r="G22" s="7"/>
      <c r="H22" s="7"/>
      <c r="I22" s="7"/>
      <c r="J22" s="7"/>
      <c r="K22" s="7"/>
      <c r="L22" s="7"/>
      <c r="M22" s="7"/>
      <c r="N22" s="6"/>
      <c r="O22" s="7"/>
      <c r="P22" s="7"/>
      <c r="Q22" s="7"/>
      <c r="R22" s="1"/>
      <c r="S22" s="42"/>
      <c r="T22" s="42"/>
      <c r="U22" s="42"/>
      <c r="V22" s="42"/>
      <c r="W22" s="42"/>
      <c r="X22" s="34"/>
      <c r="Y22" s="56"/>
      <c r="Z22" s="68" t="s">
        <v>45</v>
      </c>
      <c r="AA22" s="67">
        <f>AA21/60</f>
        <v>2.1854095833333331E-10</v>
      </c>
    </row>
    <row r="23" spans="1:30" ht="15" x14ac:dyDescent="0.2">
      <c r="A23" s="1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42"/>
      <c r="T23" s="42"/>
      <c r="U23" s="42"/>
      <c r="V23" s="42"/>
      <c r="W23" s="42"/>
      <c r="X23" s="35"/>
      <c r="Y23" s="42"/>
      <c r="Z23" s="68" t="s">
        <v>46</v>
      </c>
      <c r="AA23" s="67">
        <f>AA22/60</f>
        <v>3.6423493055555555E-12</v>
      </c>
    </row>
    <row r="24" spans="1:30" ht="16.5" thickBot="1" x14ac:dyDescent="0.3">
      <c r="A24" s="14"/>
      <c r="B24" s="1"/>
      <c r="C24" s="1"/>
      <c r="D24" s="61" t="s">
        <v>31</v>
      </c>
      <c r="E24" s="62"/>
      <c r="F24" s="4"/>
      <c r="G24" s="4"/>
      <c r="H24" s="4">
        <v>44707.1</v>
      </c>
      <c r="I24" s="4"/>
      <c r="J24" s="4"/>
      <c r="K24" s="4">
        <v>50323.799999999996</v>
      </c>
      <c r="L24" s="4"/>
      <c r="M24" s="4">
        <v>37641.800000000003</v>
      </c>
      <c r="N24" s="4"/>
      <c r="O24" s="4"/>
      <c r="P24" s="4"/>
      <c r="Q24" s="4">
        <v>42160.066666666666</v>
      </c>
      <c r="R24" s="63">
        <f>AVERAGE(F24:Q24)</f>
        <v>43708.191666666666</v>
      </c>
      <c r="S24" s="42"/>
      <c r="T24" s="42"/>
      <c r="U24" s="42"/>
      <c r="V24" s="42"/>
      <c r="W24" s="42"/>
      <c r="X24" s="35"/>
      <c r="Y24" s="42"/>
      <c r="Z24" s="69" t="s">
        <v>47</v>
      </c>
      <c r="AA24" s="77">
        <f>AA23*1000</f>
        <v>3.6423493055555556E-9</v>
      </c>
      <c r="AC24" s="42"/>
      <c r="AD24" s="42"/>
    </row>
    <row r="25" spans="1:30" ht="16.5" thickBot="1" x14ac:dyDescent="0.3">
      <c r="A25" s="16"/>
      <c r="B25" s="17"/>
      <c r="C25" s="17"/>
      <c r="D25" s="2"/>
      <c r="E25" s="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5"/>
      <c r="S25" s="46"/>
      <c r="T25" s="46"/>
      <c r="U25" s="46"/>
      <c r="V25" s="46"/>
      <c r="W25" s="25"/>
      <c r="X25" s="18"/>
      <c r="Y25" s="42"/>
      <c r="AC25" s="42"/>
      <c r="AD25" s="42"/>
    </row>
    <row r="26" spans="1:30" ht="16.5" thickBot="1" x14ac:dyDescent="0.3">
      <c r="A26" s="1"/>
      <c r="B26" s="1"/>
      <c r="C26" s="1"/>
      <c r="D26" s="10" t="s">
        <v>79</v>
      </c>
      <c r="E26" s="10"/>
      <c r="F26" s="10"/>
      <c r="G26" s="10"/>
      <c r="H26" s="10">
        <v>48.024999999999999</v>
      </c>
      <c r="I26" s="10"/>
      <c r="J26" s="10"/>
      <c r="K26" s="10">
        <v>49.666666666666664</v>
      </c>
      <c r="L26" s="10"/>
      <c r="M26" s="10">
        <v>49</v>
      </c>
      <c r="N26" s="10"/>
      <c r="O26" s="10"/>
      <c r="P26" s="10"/>
      <c r="Q26" s="10">
        <v>48.699999999999996</v>
      </c>
      <c r="R26" s="63">
        <f>AVERAGE(F26:Q26)</f>
        <v>48.847916666666663</v>
      </c>
      <c r="S26" s="42"/>
      <c r="T26" s="42"/>
      <c r="U26" s="42"/>
      <c r="V26" s="42"/>
      <c r="Y26" s="42"/>
      <c r="AC26" s="42"/>
      <c r="AD26" s="42"/>
    </row>
    <row r="27" spans="1:30" ht="15" x14ac:dyDescent="0.2">
      <c r="R27" s="102"/>
    </row>
    <row r="28" spans="1:30" ht="15" x14ac:dyDescent="0.2">
      <c r="R28" s="102"/>
      <c r="S28" s="103"/>
      <c r="T28" s="103"/>
      <c r="U28" s="103"/>
      <c r="V28" s="104"/>
      <c r="W28" s="104"/>
    </row>
    <row r="29" spans="1:30" ht="15" x14ac:dyDescent="0.2">
      <c r="R29" s="102"/>
      <c r="S29" s="103"/>
      <c r="T29" s="103"/>
      <c r="U29" s="103"/>
      <c r="V29" s="104"/>
      <c r="W29" s="104"/>
    </row>
    <row r="30" spans="1:30" ht="15" x14ac:dyDescent="0.2">
      <c r="R30" s="102"/>
      <c r="S30" s="103"/>
      <c r="T30" s="103"/>
      <c r="U30" s="103"/>
      <c r="V30" s="104"/>
      <c r="W30" s="104"/>
    </row>
    <row r="31" spans="1:30" ht="15" x14ac:dyDescent="0.2">
      <c r="R31" s="102"/>
      <c r="S31" s="103"/>
      <c r="T31" s="103"/>
      <c r="U31" s="103"/>
      <c r="V31" s="104"/>
      <c r="W31" s="104"/>
    </row>
    <row r="32" spans="1:30" ht="15" x14ac:dyDescent="0.2">
      <c r="R32" s="102"/>
      <c r="S32" s="103"/>
      <c r="T32" s="103"/>
      <c r="U32" s="103"/>
      <c r="V32" s="104"/>
      <c r="W32" s="104"/>
    </row>
    <row r="33" spans="18:23" ht="15" x14ac:dyDescent="0.2">
      <c r="R33" s="102"/>
      <c r="S33" s="103"/>
      <c r="T33" s="103"/>
      <c r="U33" s="103"/>
      <c r="V33" s="104"/>
      <c r="W33" s="104"/>
    </row>
    <row r="34" spans="18:23" ht="15" x14ac:dyDescent="0.2">
      <c r="R34" s="102"/>
      <c r="S34" s="103"/>
      <c r="T34" s="103"/>
      <c r="U34" s="103"/>
      <c r="V34" s="104"/>
      <c r="W34" s="104"/>
    </row>
    <row r="35" spans="18:23" ht="15" x14ac:dyDescent="0.2">
      <c r="R35" s="102"/>
      <c r="S35" s="103"/>
      <c r="T35" s="103"/>
      <c r="U35" s="103"/>
      <c r="V35" s="104"/>
      <c r="W35" s="104"/>
    </row>
    <row r="36" spans="18:23" ht="15" x14ac:dyDescent="0.2">
      <c r="R36" s="102"/>
      <c r="S36" s="103"/>
      <c r="T36" s="103"/>
      <c r="U36" s="103"/>
      <c r="V36" s="104"/>
      <c r="W36" s="104"/>
    </row>
    <row r="37" spans="18:23" ht="15" x14ac:dyDescent="0.2">
      <c r="R37" s="102"/>
      <c r="S37" s="103"/>
      <c r="T37" s="103"/>
      <c r="U37" s="103"/>
      <c r="V37" s="104"/>
      <c r="W37" s="104"/>
    </row>
    <row r="38" spans="18:23" ht="15" x14ac:dyDescent="0.2">
      <c r="S38" s="103"/>
      <c r="T38" s="103"/>
      <c r="U38" s="103"/>
      <c r="V38" s="104"/>
      <c r="W38" s="104"/>
    </row>
  </sheetData>
  <phoneticPr fontId="9" type="noConversion"/>
  <conditionalFormatting sqref="F22:Q22">
    <cfRule type="cellIs" dxfId="2" priority="55" stopIfTrue="1" operator="greaterThan">
      <formula>$E$6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P12"/>
  <sheetViews>
    <sheetView showGridLines="0" zoomScaleNormal="100" workbookViewId="0">
      <selection activeCell="K1" sqref="K1"/>
    </sheetView>
  </sheetViews>
  <sheetFormatPr defaultColWidth="9.140625" defaultRowHeight="14.25" x14ac:dyDescent="0.2"/>
  <cols>
    <col min="1" max="1" width="20.28515625" style="9" customWidth="1"/>
    <col min="2" max="2" width="12.5703125" style="9" customWidth="1"/>
    <col min="3" max="5" width="9.140625" style="9"/>
    <col min="6" max="6" width="18.42578125" style="9" bestFit="1" customWidth="1"/>
    <col min="7" max="7" width="17.5703125" style="9" bestFit="1" customWidth="1"/>
    <col min="8" max="8" width="14" style="9" customWidth="1"/>
    <col min="9" max="9" width="13.7109375" style="9" bestFit="1" customWidth="1"/>
    <col min="10" max="10" width="13.5703125" style="9" bestFit="1" customWidth="1"/>
    <col min="11" max="11" width="9.140625" style="9"/>
    <col min="12" max="12" width="16.5703125" style="9" customWidth="1"/>
    <col min="13" max="13" width="13.7109375" style="9" bestFit="1" customWidth="1"/>
    <col min="14" max="15" width="9.140625" style="9"/>
    <col min="16" max="16" width="14.85546875" style="9" customWidth="1"/>
    <col min="17" max="16384" width="9.140625" style="9"/>
  </cols>
  <sheetData>
    <row r="1" spans="1:16" ht="23.25" x14ac:dyDescent="0.35">
      <c r="A1" s="98" t="s">
        <v>77</v>
      </c>
      <c r="B1" s="99"/>
      <c r="C1" s="99"/>
      <c r="D1" s="99"/>
      <c r="E1" s="99"/>
      <c r="F1" s="99"/>
      <c r="G1" s="99"/>
      <c r="H1" s="99"/>
      <c r="I1" s="99"/>
      <c r="J1" s="100"/>
      <c r="P1" s="80" t="s">
        <v>55</v>
      </c>
    </row>
    <row r="2" spans="1:16" ht="16.5" thickBot="1" x14ac:dyDescent="0.3">
      <c r="A2" s="19"/>
      <c r="B2" s="20" t="s">
        <v>33</v>
      </c>
      <c r="C2" s="20" t="s">
        <v>34</v>
      </c>
      <c r="D2" s="20" t="s">
        <v>35</v>
      </c>
      <c r="E2" s="20" t="s">
        <v>57</v>
      </c>
      <c r="F2" s="38" t="s">
        <v>37</v>
      </c>
      <c r="G2" s="38" t="s">
        <v>48</v>
      </c>
      <c r="H2" s="38" t="s">
        <v>36</v>
      </c>
      <c r="I2" s="38" t="s">
        <v>44</v>
      </c>
      <c r="J2" s="48" t="s">
        <v>47</v>
      </c>
      <c r="P2" s="81" t="s">
        <v>53</v>
      </c>
    </row>
    <row r="3" spans="1:16" ht="16.5" thickBot="1" x14ac:dyDescent="0.3">
      <c r="A3" s="21" t="s">
        <v>4</v>
      </c>
      <c r="B3" s="11">
        <v>1.21</v>
      </c>
      <c r="C3" s="11">
        <v>1.0640000000000001</v>
      </c>
      <c r="D3" s="22">
        <v>0.64600000000000002</v>
      </c>
      <c r="E3" s="22">
        <v>0.72499999999999998</v>
      </c>
      <c r="F3" s="79">
        <f>+AVERAGE(B3:E3)</f>
        <v>0.91125</v>
      </c>
      <c r="G3" s="10">
        <f>(F3*F4*(3600*8760))/1000000000</f>
        <v>0.238569343061625</v>
      </c>
      <c r="H3" s="79">
        <v>3.2</v>
      </c>
      <c r="I3" s="10">
        <f>G3*1000</f>
        <v>238.56934306162501</v>
      </c>
      <c r="J3" s="85">
        <f>F3*F4/1000</f>
        <v>7.5649842421875004E-3</v>
      </c>
      <c r="L3" s="54" t="s">
        <v>52</v>
      </c>
      <c r="M3" s="73" t="s">
        <v>39</v>
      </c>
      <c r="P3" s="82" t="s">
        <v>54</v>
      </c>
    </row>
    <row r="4" spans="1:16" ht="15.75" x14ac:dyDescent="0.25">
      <c r="A4" s="21" t="s">
        <v>5</v>
      </c>
      <c r="B4" s="22">
        <v>7.7340777777777774</v>
      </c>
      <c r="C4" s="11">
        <v>8.9028777777777783</v>
      </c>
      <c r="D4" s="22">
        <v>8.894400000000001</v>
      </c>
      <c r="E4" s="22">
        <v>7.6757083333333336</v>
      </c>
      <c r="F4" s="11">
        <f>+AVERAGE(B4:E4)</f>
        <v>8.3017659722222223</v>
      </c>
      <c r="G4" s="10"/>
      <c r="H4" s="10"/>
      <c r="I4" s="10"/>
      <c r="J4" s="23"/>
      <c r="L4" s="19" t="s">
        <v>58</v>
      </c>
      <c r="M4" s="23"/>
    </row>
    <row r="5" spans="1:16" ht="15.75" x14ac:dyDescent="0.25">
      <c r="A5" s="21" t="s">
        <v>79</v>
      </c>
      <c r="B5" s="10">
        <v>29.18</v>
      </c>
      <c r="C5" s="10">
        <v>37.86</v>
      </c>
      <c r="D5" s="10">
        <v>33.6</v>
      </c>
      <c r="E5" s="10">
        <v>28.274999999999999</v>
      </c>
      <c r="F5" s="22">
        <f>+AVERAGE(B5:E5)</f>
        <v>32.228749999999998</v>
      </c>
      <c r="J5" s="13"/>
      <c r="L5" s="19" t="s">
        <v>50</v>
      </c>
      <c r="M5" s="23">
        <f>((10*F4)*(3600*8760))/1000000000</f>
        <v>2.6180449170000002</v>
      </c>
    </row>
    <row r="6" spans="1:16" ht="15" thickBot="1" x14ac:dyDescent="0.25">
      <c r="A6" s="24"/>
      <c r="B6" s="25"/>
      <c r="C6" s="25"/>
      <c r="D6" s="25"/>
      <c r="E6" s="25"/>
      <c r="F6" s="25"/>
      <c r="G6" s="25"/>
      <c r="H6" s="25"/>
      <c r="I6" s="25"/>
      <c r="J6" s="18"/>
      <c r="L6" s="74" t="s">
        <v>51</v>
      </c>
      <c r="M6" s="86">
        <f>(5*F4)/1000</f>
        <v>4.150882986111111E-2</v>
      </c>
    </row>
    <row r="10" spans="1:16" ht="15" x14ac:dyDescent="0.25">
      <c r="A10" s="114" t="s">
        <v>81</v>
      </c>
      <c r="B10" s="114" t="s">
        <v>82</v>
      </c>
      <c r="C10" s="114">
        <v>15</v>
      </c>
      <c r="D10" s="114" t="s">
        <v>83</v>
      </c>
      <c r="E10" s="114"/>
      <c r="F10" s="138" t="s">
        <v>91</v>
      </c>
    </row>
    <row r="11" spans="1:16" ht="15" x14ac:dyDescent="0.25">
      <c r="A11" s="114"/>
      <c r="B11" s="114" t="s">
        <v>84</v>
      </c>
      <c r="C11" s="114" t="s">
        <v>85</v>
      </c>
      <c r="D11" s="114" t="s">
        <v>86</v>
      </c>
      <c r="E11" s="114" t="s">
        <v>87</v>
      </c>
      <c r="F11" s="138"/>
    </row>
    <row r="12" spans="1:16" ht="15" x14ac:dyDescent="0.25">
      <c r="A12" s="114" t="s">
        <v>89</v>
      </c>
      <c r="B12" s="128">
        <f>(F3/100)*C10</f>
        <v>0.13668750000000002</v>
      </c>
      <c r="C12" s="128">
        <f>(H3/100)*C10</f>
        <v>0.48</v>
      </c>
      <c r="D12" s="115">
        <f>($C$10/100)*J3</f>
        <v>1.1347476363281249E-3</v>
      </c>
      <c r="E12" s="114">
        <f>D12*(60*60*8760)/1000000</f>
        <v>3.5785401459243749E-2</v>
      </c>
      <c r="F12" s="138"/>
    </row>
  </sheetData>
  <mergeCells count="1">
    <mergeCell ref="F10:F12"/>
  </mergeCells>
  <phoneticPr fontId="9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9FC7D-0A0B-44D1-8DA4-9CAC7FFDBC0E}">
  <sheetPr codeName="Sheet4"/>
  <dimension ref="A1:AD40"/>
  <sheetViews>
    <sheetView showGridLines="0" zoomScaleNormal="100" workbookViewId="0">
      <selection activeCell="A2" sqref="A2"/>
    </sheetView>
  </sheetViews>
  <sheetFormatPr defaultColWidth="9.140625" defaultRowHeight="14.25" x14ac:dyDescent="0.2"/>
  <cols>
    <col min="1" max="1" width="23.42578125" style="9" customWidth="1"/>
    <col min="2" max="4" width="9.140625" style="9"/>
    <col min="5" max="5" width="17.5703125" style="9" customWidth="1"/>
    <col min="6" max="13" width="9.140625" style="9"/>
    <col min="14" max="14" width="10.85546875" style="9" bestFit="1" customWidth="1"/>
    <col min="15" max="17" width="9.140625" style="9"/>
    <col min="18" max="18" width="18.42578125" style="9" bestFit="1" customWidth="1"/>
    <col min="19" max="19" width="19.42578125" style="9" bestFit="1" customWidth="1"/>
    <col min="20" max="20" width="13.7109375" style="9" bestFit="1" customWidth="1"/>
    <col min="21" max="21" width="13" style="9" bestFit="1" customWidth="1"/>
    <col min="22" max="22" width="13.140625" style="9" bestFit="1" customWidth="1"/>
    <col min="23" max="23" width="11.85546875" style="9" bestFit="1" customWidth="1"/>
    <col min="24" max="24" width="13.85546875" style="9" bestFit="1" customWidth="1"/>
    <col min="25" max="25" width="9.42578125" style="9" customWidth="1"/>
    <col min="26" max="26" width="51.42578125" style="9" customWidth="1"/>
    <col min="27" max="27" width="15.140625" style="9" customWidth="1"/>
    <col min="28" max="28" width="25.7109375" style="9" customWidth="1"/>
    <col min="29" max="29" width="25.42578125" style="9" customWidth="1"/>
    <col min="30" max="30" width="15" style="9" customWidth="1"/>
    <col min="31" max="16384" width="9.140625" style="9"/>
  </cols>
  <sheetData>
    <row r="1" spans="1:30" ht="23.25" x14ac:dyDescent="0.35">
      <c r="A1" s="105" t="s">
        <v>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99"/>
      <c r="T1" s="99"/>
      <c r="U1" s="99"/>
      <c r="V1" s="99"/>
      <c r="W1" s="99"/>
      <c r="X1" s="100"/>
      <c r="AA1" s="80" t="s">
        <v>55</v>
      </c>
    </row>
    <row r="2" spans="1:30" ht="15" x14ac:dyDescent="0.2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X2" s="13"/>
      <c r="AA2" s="81" t="s">
        <v>53</v>
      </c>
    </row>
    <row r="3" spans="1:30" ht="16.5" thickBot="1" x14ac:dyDescent="0.3">
      <c r="A3" s="32" t="s">
        <v>12</v>
      </c>
      <c r="B3" s="27" t="s">
        <v>13</v>
      </c>
      <c r="C3" s="27"/>
      <c r="D3" s="27"/>
      <c r="E3" s="27"/>
      <c r="F3" s="27" t="s">
        <v>0</v>
      </c>
      <c r="G3" s="27" t="s">
        <v>10</v>
      </c>
      <c r="H3" s="27" t="s">
        <v>8</v>
      </c>
      <c r="I3" s="27" t="s">
        <v>1</v>
      </c>
      <c r="J3" s="27" t="s">
        <v>9</v>
      </c>
      <c r="K3" s="27" t="s">
        <v>6</v>
      </c>
      <c r="L3" s="27" t="s">
        <v>2</v>
      </c>
      <c r="M3" s="27" t="s">
        <v>14</v>
      </c>
      <c r="N3" s="27" t="s">
        <v>11</v>
      </c>
      <c r="O3" s="27" t="s">
        <v>3</v>
      </c>
      <c r="P3" s="27" t="s">
        <v>15</v>
      </c>
      <c r="Q3" s="27" t="s">
        <v>7</v>
      </c>
      <c r="R3" s="1"/>
      <c r="X3" s="13"/>
      <c r="AA3" s="82" t="s">
        <v>54</v>
      </c>
    </row>
    <row r="4" spans="1:30" ht="15.75" x14ac:dyDescent="0.25">
      <c r="A4" s="21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1"/>
      <c r="X4" s="13"/>
    </row>
    <row r="5" spans="1:30" ht="18" x14ac:dyDescent="0.25">
      <c r="A5" s="21"/>
      <c r="B5" s="26"/>
      <c r="C5" s="26"/>
      <c r="D5" s="26"/>
      <c r="E5" s="26"/>
      <c r="F5" s="26"/>
      <c r="G5" s="26"/>
      <c r="H5" s="26"/>
      <c r="I5" s="26"/>
      <c r="J5" s="26"/>
      <c r="K5" s="8"/>
      <c r="L5" s="26"/>
      <c r="M5" s="26"/>
      <c r="N5" s="26"/>
      <c r="O5" s="26"/>
      <c r="P5" s="26"/>
      <c r="Q5" s="26"/>
      <c r="R5" s="37" t="s">
        <v>37</v>
      </c>
      <c r="S5" s="70" t="s">
        <v>32</v>
      </c>
      <c r="T5" s="38" t="s">
        <v>36</v>
      </c>
      <c r="U5" s="38" t="s">
        <v>44</v>
      </c>
      <c r="V5" s="39" t="s">
        <v>41</v>
      </c>
      <c r="W5" s="39" t="s">
        <v>42</v>
      </c>
      <c r="X5" s="48" t="s">
        <v>43</v>
      </c>
      <c r="Y5" s="42"/>
      <c r="Z5" s="116"/>
      <c r="AA5" s="116"/>
      <c r="AB5" s="42"/>
      <c r="AC5" s="42"/>
    </row>
    <row r="6" spans="1:30" ht="15.75" x14ac:dyDescent="0.25">
      <c r="A6" s="21" t="s">
        <v>16</v>
      </c>
      <c r="B6" s="27" t="s">
        <v>17</v>
      </c>
      <c r="C6" s="28"/>
      <c r="D6" s="28"/>
      <c r="E6" s="29"/>
      <c r="F6" s="30"/>
      <c r="G6" s="30">
        <v>1.7</v>
      </c>
      <c r="H6" s="30">
        <v>0.75500000000000012</v>
      </c>
      <c r="I6" s="30"/>
      <c r="J6" s="30">
        <v>0.27</v>
      </c>
      <c r="K6" s="30">
        <v>3.3633333333333333</v>
      </c>
      <c r="L6" s="30"/>
      <c r="M6" s="30">
        <v>4.2933333333333339</v>
      </c>
      <c r="N6" s="57"/>
      <c r="O6" s="30">
        <v>2.7</v>
      </c>
      <c r="P6" s="30"/>
      <c r="Q6" s="30">
        <v>2.5066666666666668</v>
      </c>
      <c r="R6" s="78">
        <f>+AVERAGE(F6:Q6)</f>
        <v>2.2269047619047622</v>
      </c>
      <c r="S6" s="58">
        <f>(R6*$R$24*(8760))/1000000000</f>
        <v>0.96428132382595244</v>
      </c>
      <c r="T6" s="76">
        <v>8.5</v>
      </c>
      <c r="U6" s="58">
        <f>S6*1000</f>
        <v>964.28132382595243</v>
      </c>
      <c r="V6" s="36">
        <f t="shared" ref="V6:V15" si="0">U6/8760</f>
        <v>0.11007777669246033</v>
      </c>
      <c r="W6" s="36">
        <f t="shared" ref="W6:W15" si="1">V6*1000</f>
        <v>110.07777669246033</v>
      </c>
      <c r="X6" s="45"/>
      <c r="Y6" s="42"/>
      <c r="Z6" s="117"/>
      <c r="AA6" s="117"/>
      <c r="AB6" s="117"/>
      <c r="AC6" s="42"/>
    </row>
    <row r="7" spans="1:30" ht="15.75" x14ac:dyDescent="0.25">
      <c r="A7" s="21" t="s">
        <v>18</v>
      </c>
      <c r="B7" s="27" t="s">
        <v>17</v>
      </c>
      <c r="C7" s="28"/>
      <c r="D7" s="28"/>
      <c r="E7" s="29"/>
      <c r="F7" s="30"/>
      <c r="G7" s="30">
        <v>0.41</v>
      </c>
      <c r="H7" s="30">
        <v>0.43333333333333329</v>
      </c>
      <c r="I7" s="30"/>
      <c r="J7" s="30">
        <v>0.33</v>
      </c>
      <c r="K7" s="30">
        <v>1.9933333333333334</v>
      </c>
      <c r="L7" s="30"/>
      <c r="M7" s="30">
        <v>1.7666666666666668</v>
      </c>
      <c r="N7" s="57"/>
      <c r="O7" s="30">
        <v>0.83</v>
      </c>
      <c r="P7" s="30"/>
      <c r="Q7" s="30">
        <v>0.32666666666666666</v>
      </c>
      <c r="R7" s="78">
        <f t="shared" ref="R7:R21" si="2">+AVERAGE(F7:Q7)</f>
        <v>0.87</v>
      </c>
      <c r="S7" s="58">
        <f t="shared" ref="S7:S21" si="3">(R7*$R$24*(8760))/1000000000</f>
        <v>0.37672233050999993</v>
      </c>
      <c r="T7" s="76">
        <v>5.5</v>
      </c>
      <c r="U7" s="58">
        <f t="shared" ref="U7:U21" si="4">S7*1000</f>
        <v>376.72233050999995</v>
      </c>
      <c r="V7" s="36">
        <f t="shared" si="0"/>
        <v>4.3004832249999993E-2</v>
      </c>
      <c r="W7" s="36">
        <f t="shared" si="1"/>
        <v>43.004832249999993</v>
      </c>
      <c r="X7" s="45"/>
      <c r="Y7" s="42"/>
      <c r="Z7" s="103"/>
      <c r="AA7" s="104"/>
      <c r="AB7" s="103"/>
      <c r="AC7" s="42"/>
    </row>
    <row r="8" spans="1:30" ht="15.75" x14ac:dyDescent="0.25">
      <c r="A8" s="21" t="s">
        <v>19</v>
      </c>
      <c r="B8" s="27" t="s">
        <v>17</v>
      </c>
      <c r="C8" s="28"/>
      <c r="D8" s="28"/>
      <c r="E8" s="29"/>
      <c r="F8" s="30"/>
      <c r="G8" s="30">
        <v>0.54</v>
      </c>
      <c r="H8" s="30">
        <v>0.6343333333333333</v>
      </c>
      <c r="I8" s="30"/>
      <c r="J8" s="30">
        <v>0.23</v>
      </c>
      <c r="K8" s="30">
        <v>0.54999999999999993</v>
      </c>
      <c r="L8" s="30"/>
      <c r="M8" s="30">
        <v>0.78333333333333333</v>
      </c>
      <c r="N8" s="57"/>
      <c r="O8" s="30">
        <v>0.03</v>
      </c>
      <c r="P8" s="30"/>
      <c r="Q8" s="30">
        <v>0.77666666666666673</v>
      </c>
      <c r="R8" s="78">
        <f t="shared" si="2"/>
        <v>0.5063333333333333</v>
      </c>
      <c r="S8" s="58">
        <f t="shared" si="3"/>
        <v>0.21924950959566661</v>
      </c>
      <c r="T8" s="76">
        <v>1.7</v>
      </c>
      <c r="U8" s="58">
        <f t="shared" si="4"/>
        <v>219.24950959566661</v>
      </c>
      <c r="V8" s="36">
        <f t="shared" si="0"/>
        <v>2.5028482830555549E-2</v>
      </c>
      <c r="W8" s="36">
        <f t="shared" si="1"/>
        <v>25.02848283055555</v>
      </c>
      <c r="X8" s="45"/>
      <c r="Y8" s="42"/>
      <c r="Z8" s="117"/>
      <c r="AA8" s="117"/>
      <c r="AB8" s="42"/>
      <c r="AC8" s="42"/>
      <c r="AD8" s="42"/>
    </row>
    <row r="9" spans="1:30" ht="15.75" x14ac:dyDescent="0.25">
      <c r="A9" s="21" t="s">
        <v>20</v>
      </c>
      <c r="B9" s="27" t="s">
        <v>17</v>
      </c>
      <c r="C9" s="28"/>
      <c r="D9" s="28"/>
      <c r="E9" s="29"/>
      <c r="F9" s="30"/>
      <c r="G9" s="30">
        <v>12</v>
      </c>
      <c r="H9" s="30">
        <v>3</v>
      </c>
      <c r="I9" s="30"/>
      <c r="J9" s="30"/>
      <c r="K9" s="30">
        <v>14.9</v>
      </c>
      <c r="L9" s="30"/>
      <c r="M9" s="30">
        <v>6.0600000000000005</v>
      </c>
      <c r="N9" s="57"/>
      <c r="O9" s="30"/>
      <c r="P9" s="30"/>
      <c r="Q9" s="30">
        <v>8.4499999999999993</v>
      </c>
      <c r="R9" s="78">
        <f t="shared" si="2"/>
        <v>8.8819999999999997</v>
      </c>
      <c r="S9" s="58">
        <f t="shared" si="3"/>
        <v>3.8460318845859991</v>
      </c>
      <c r="T9" s="76">
        <v>28.5</v>
      </c>
      <c r="U9" s="58">
        <f t="shared" si="4"/>
        <v>3846.0318845859993</v>
      </c>
      <c r="V9" s="36">
        <f t="shared" si="0"/>
        <v>0.43904473568333324</v>
      </c>
      <c r="W9" s="36">
        <f t="shared" si="1"/>
        <v>439.04473568333322</v>
      </c>
      <c r="X9" s="45"/>
      <c r="Y9" s="42"/>
      <c r="Z9" s="103"/>
      <c r="AA9" s="104"/>
      <c r="AB9" s="42"/>
      <c r="AC9" s="42"/>
      <c r="AD9" s="42"/>
    </row>
    <row r="10" spans="1:30" ht="15.75" x14ac:dyDescent="0.25">
      <c r="A10" s="21" t="s">
        <v>21</v>
      </c>
      <c r="B10" s="27" t="s">
        <v>17</v>
      </c>
      <c r="C10" s="28"/>
      <c r="D10" s="28"/>
      <c r="E10" s="31"/>
      <c r="F10" s="30"/>
      <c r="G10" s="30">
        <v>0.41</v>
      </c>
      <c r="H10" s="30">
        <v>0.19500000000000001</v>
      </c>
      <c r="I10" s="30"/>
      <c r="J10" s="30"/>
      <c r="K10" s="30">
        <v>1.8049999999999999</v>
      </c>
      <c r="L10" s="30"/>
      <c r="M10" s="30">
        <v>0.54</v>
      </c>
      <c r="N10" s="57"/>
      <c r="O10" s="30"/>
      <c r="P10" s="30"/>
      <c r="Q10" s="30">
        <v>0.32500000000000001</v>
      </c>
      <c r="R10" s="78">
        <f t="shared" si="2"/>
        <v>0.65500000000000003</v>
      </c>
      <c r="S10" s="58">
        <f t="shared" si="3"/>
        <v>0.283624283315</v>
      </c>
      <c r="T10" s="76">
        <v>3.5</v>
      </c>
      <c r="U10" s="58">
        <f t="shared" si="4"/>
        <v>283.62428331500001</v>
      </c>
      <c r="V10" s="36">
        <f t="shared" si="0"/>
        <v>3.2377201291666671E-2</v>
      </c>
      <c r="W10" s="36">
        <f t="shared" si="1"/>
        <v>32.377201291666672</v>
      </c>
      <c r="X10" s="45"/>
      <c r="Y10" s="42"/>
      <c r="Z10" s="117"/>
      <c r="AA10" s="117"/>
      <c r="AB10" s="42"/>
      <c r="AC10" s="42"/>
      <c r="AD10" s="42"/>
    </row>
    <row r="11" spans="1:30" ht="15.75" x14ac:dyDescent="0.25">
      <c r="A11" s="21" t="s">
        <v>22</v>
      </c>
      <c r="B11" s="27" t="s">
        <v>17</v>
      </c>
      <c r="C11" s="28"/>
      <c r="D11" s="28"/>
      <c r="E11" s="31"/>
      <c r="F11" s="30"/>
      <c r="G11" s="30">
        <v>2.4300000000000002</v>
      </c>
      <c r="H11" s="30">
        <v>0.49</v>
      </c>
      <c r="I11" s="30"/>
      <c r="J11" s="30"/>
      <c r="K11" s="30">
        <v>8</v>
      </c>
      <c r="L11" s="30"/>
      <c r="M11" s="30">
        <v>0.67500000000000004</v>
      </c>
      <c r="N11" s="57"/>
      <c r="O11" s="30"/>
      <c r="P11" s="30"/>
      <c r="Q11" s="30">
        <v>0.62000000000000011</v>
      </c>
      <c r="R11" s="78">
        <f t="shared" si="2"/>
        <v>2.4430000000000001</v>
      </c>
      <c r="S11" s="58">
        <f t="shared" si="3"/>
        <v>1.057853624639</v>
      </c>
      <c r="T11" s="76">
        <v>13.8</v>
      </c>
      <c r="U11" s="58">
        <f t="shared" si="4"/>
        <v>1057.8536246389999</v>
      </c>
      <c r="V11" s="36">
        <f t="shared" si="0"/>
        <v>0.12075954619166666</v>
      </c>
      <c r="W11" s="36">
        <f t="shared" si="1"/>
        <v>120.75954619166666</v>
      </c>
      <c r="X11" s="45"/>
      <c r="Y11" s="42"/>
      <c r="Z11" s="103"/>
      <c r="AA11" s="104"/>
      <c r="AB11" s="42"/>
      <c r="AC11" s="42"/>
      <c r="AD11" s="42"/>
    </row>
    <row r="12" spans="1:30" ht="15.75" x14ac:dyDescent="0.25">
      <c r="A12" s="21" t="s">
        <v>23</v>
      </c>
      <c r="B12" s="27" t="s">
        <v>17</v>
      </c>
      <c r="C12" s="28"/>
      <c r="D12" s="28"/>
      <c r="E12" s="31"/>
      <c r="F12" s="30"/>
      <c r="G12" s="30">
        <v>0.41</v>
      </c>
      <c r="H12" s="30">
        <v>0.27</v>
      </c>
      <c r="I12" s="30"/>
      <c r="J12" s="30"/>
      <c r="K12" s="30">
        <v>3.605</v>
      </c>
      <c r="L12" s="30"/>
      <c r="M12" s="30">
        <v>1.895</v>
      </c>
      <c r="N12" s="57"/>
      <c r="O12" s="30"/>
      <c r="P12" s="30"/>
      <c r="Q12" s="30">
        <v>0.54</v>
      </c>
      <c r="R12" s="78">
        <f t="shared" si="2"/>
        <v>1.3439999999999999</v>
      </c>
      <c r="S12" s="58">
        <f t="shared" si="3"/>
        <v>0.58197104851199988</v>
      </c>
      <c r="T12" s="76">
        <v>7.1</v>
      </c>
      <c r="U12" s="58">
        <f t="shared" si="4"/>
        <v>581.97104851199992</v>
      </c>
      <c r="V12" s="36">
        <f t="shared" si="0"/>
        <v>6.6435051199999998E-2</v>
      </c>
      <c r="W12" s="36">
        <f t="shared" si="1"/>
        <v>66.435051200000004</v>
      </c>
      <c r="X12" s="45"/>
      <c r="Y12" s="42"/>
      <c r="Z12" s="117"/>
      <c r="AA12" s="117"/>
      <c r="AB12" s="42"/>
      <c r="AC12" s="42"/>
      <c r="AD12" s="42"/>
    </row>
    <row r="13" spans="1:30" ht="15.75" x14ac:dyDescent="0.25">
      <c r="A13" s="21" t="s">
        <v>24</v>
      </c>
      <c r="B13" s="27" t="s">
        <v>17</v>
      </c>
      <c r="C13" s="28"/>
      <c r="D13" s="28"/>
      <c r="E13" s="31"/>
      <c r="F13" s="30"/>
      <c r="G13" s="30">
        <v>0.57999999999999996</v>
      </c>
      <c r="H13" s="30">
        <v>0.65</v>
      </c>
      <c r="I13" s="30"/>
      <c r="J13" s="30"/>
      <c r="K13" s="30">
        <v>14.18</v>
      </c>
      <c r="L13" s="30"/>
      <c r="M13" s="30">
        <v>1.75</v>
      </c>
      <c r="N13" s="57"/>
      <c r="O13" s="30"/>
      <c r="P13" s="30"/>
      <c r="Q13" s="30">
        <v>1.0150000000000001</v>
      </c>
      <c r="R13" s="78">
        <f t="shared" si="2"/>
        <v>3.6350000000000002</v>
      </c>
      <c r="S13" s="58">
        <f t="shared" si="3"/>
        <v>1.5740065188549999</v>
      </c>
      <c r="T13" s="76">
        <v>28.2</v>
      </c>
      <c r="U13" s="58">
        <f t="shared" si="4"/>
        <v>1574.006518855</v>
      </c>
      <c r="V13" s="36">
        <f t="shared" si="0"/>
        <v>0.17968110945833332</v>
      </c>
      <c r="W13" s="36">
        <f t="shared" si="1"/>
        <v>179.68110945833331</v>
      </c>
      <c r="X13" s="45"/>
      <c r="Y13" s="42"/>
      <c r="Z13" s="103"/>
      <c r="AA13" s="104"/>
      <c r="AB13" s="42"/>
      <c r="AC13" s="42"/>
      <c r="AD13" s="42"/>
    </row>
    <row r="14" spans="1:30" ht="16.5" thickBot="1" x14ac:dyDescent="0.3">
      <c r="A14" s="21" t="s">
        <v>25</v>
      </c>
      <c r="B14" s="27" t="s">
        <v>17</v>
      </c>
      <c r="C14" s="28"/>
      <c r="D14" s="28"/>
      <c r="E14" s="31"/>
      <c r="F14" s="30"/>
      <c r="G14" s="30">
        <v>2.6</v>
      </c>
      <c r="H14" s="30">
        <v>2.19</v>
      </c>
      <c r="I14" s="30"/>
      <c r="J14" s="30"/>
      <c r="K14" s="30">
        <v>17.7</v>
      </c>
      <c r="L14" s="30"/>
      <c r="M14" s="30">
        <v>2.7</v>
      </c>
      <c r="N14" s="57"/>
      <c r="O14" s="30"/>
      <c r="P14" s="30"/>
      <c r="Q14" s="30">
        <v>1.04</v>
      </c>
      <c r="R14" s="78">
        <f t="shared" si="2"/>
        <v>5.2459999999999996</v>
      </c>
      <c r="S14" s="58">
        <f t="shared" si="3"/>
        <v>2.2715923515579997</v>
      </c>
      <c r="T14" s="76">
        <v>34.799999999999997</v>
      </c>
      <c r="U14" s="58">
        <f t="shared" si="4"/>
        <v>2271.5923515579998</v>
      </c>
      <c r="V14" s="36">
        <f t="shared" si="0"/>
        <v>0.25931419538333333</v>
      </c>
      <c r="W14" s="36">
        <f t="shared" si="1"/>
        <v>259.31419538333336</v>
      </c>
      <c r="X14" s="45"/>
      <c r="Y14" s="42"/>
      <c r="Z14" s="42"/>
      <c r="AA14" s="42"/>
      <c r="AB14" s="42"/>
      <c r="AC14" s="42"/>
      <c r="AD14" s="42"/>
    </row>
    <row r="15" spans="1:30" ht="18" x14ac:dyDescent="0.25">
      <c r="A15" s="21" t="s">
        <v>26</v>
      </c>
      <c r="B15" s="27" t="s">
        <v>17</v>
      </c>
      <c r="C15" s="28"/>
      <c r="D15" s="28"/>
      <c r="E15" s="31"/>
      <c r="F15" s="30"/>
      <c r="G15" s="30">
        <v>7.5</v>
      </c>
      <c r="H15" s="30">
        <v>3.63</v>
      </c>
      <c r="I15" s="30"/>
      <c r="J15" s="30"/>
      <c r="K15" s="30">
        <v>5.29</v>
      </c>
      <c r="L15" s="30"/>
      <c r="M15" s="30">
        <v>3.18</v>
      </c>
      <c r="N15" s="57"/>
      <c r="O15" s="30"/>
      <c r="P15" s="30"/>
      <c r="Q15" s="30">
        <v>4.5500000000000007</v>
      </c>
      <c r="R15" s="78">
        <f t="shared" si="2"/>
        <v>4.83</v>
      </c>
      <c r="S15" s="58">
        <f t="shared" si="3"/>
        <v>2.0914584555899998</v>
      </c>
      <c r="T15" s="76">
        <v>10.1</v>
      </c>
      <c r="U15" s="58">
        <f t="shared" si="4"/>
        <v>2091.4584555899996</v>
      </c>
      <c r="V15" s="36">
        <f t="shared" si="0"/>
        <v>0.23875096524999995</v>
      </c>
      <c r="W15" s="36">
        <f t="shared" si="1"/>
        <v>238.75096524999995</v>
      </c>
      <c r="X15" s="45"/>
      <c r="Y15" s="42"/>
      <c r="Z15" s="66" t="s">
        <v>92</v>
      </c>
      <c r="AA15" s="71">
        <v>8.7999999999999995E-2</v>
      </c>
      <c r="AB15" s="42"/>
    </row>
    <row r="16" spans="1:30" ht="15.75" x14ac:dyDescent="0.25">
      <c r="A16" s="21"/>
      <c r="B16" s="27"/>
      <c r="C16" s="28"/>
      <c r="D16" s="28"/>
      <c r="E16" s="31"/>
      <c r="F16" s="30"/>
      <c r="G16" s="30"/>
      <c r="H16" s="30"/>
      <c r="I16" s="30"/>
      <c r="J16" s="30"/>
      <c r="K16" s="30"/>
      <c r="L16" s="30"/>
      <c r="M16" s="30"/>
      <c r="N16" s="57"/>
      <c r="O16" s="30"/>
      <c r="P16" s="30"/>
      <c r="Q16" s="30"/>
      <c r="R16" s="78"/>
      <c r="S16" s="58"/>
      <c r="T16" s="76"/>
      <c r="U16" s="33"/>
      <c r="V16" s="59"/>
      <c r="W16" s="59"/>
      <c r="X16" s="45"/>
      <c r="Y16" s="42"/>
      <c r="Z16" s="40" t="s">
        <v>38</v>
      </c>
      <c r="AA16" s="67">
        <f>(+AVERAGE(AA15))/1000000</f>
        <v>8.7999999999999994E-8</v>
      </c>
      <c r="AB16" s="42"/>
    </row>
    <row r="17" spans="1:30" ht="15.75" x14ac:dyDescent="0.25">
      <c r="A17" s="21" t="s">
        <v>27</v>
      </c>
      <c r="B17" s="27" t="s">
        <v>28</v>
      </c>
      <c r="C17" s="28"/>
      <c r="D17" s="28"/>
      <c r="E17" s="60"/>
      <c r="F17" s="30"/>
      <c r="G17" s="30"/>
      <c r="H17" s="30"/>
      <c r="I17" s="30"/>
      <c r="J17" s="30"/>
      <c r="K17" s="30">
        <v>9.7500000000000003E-2</v>
      </c>
      <c r="L17" s="30"/>
      <c r="M17" s="30"/>
      <c r="N17" s="57"/>
      <c r="O17" s="30"/>
      <c r="P17" s="30"/>
      <c r="Q17" s="30"/>
      <c r="R17" s="101">
        <f>+AVERAGE(F17:Q17)/1000000</f>
        <v>9.7500000000000006E-8</v>
      </c>
      <c r="S17" s="58">
        <f>(R17*$R$24*(8760))/1000000000</f>
        <v>4.2218881867499997E-8</v>
      </c>
      <c r="T17" s="76">
        <v>0.18</v>
      </c>
      <c r="U17" s="64">
        <f t="shared" si="4"/>
        <v>4.2218881867499999E-5</v>
      </c>
      <c r="V17" s="65">
        <f>U17/8760</f>
        <v>4.8195070624999997E-9</v>
      </c>
      <c r="W17" s="65">
        <f>V17*1000</f>
        <v>4.8195070624999999E-6</v>
      </c>
      <c r="X17" s="55">
        <f>R17*R24*8760</f>
        <v>42.218881867499995</v>
      </c>
      <c r="Y17" s="42"/>
      <c r="Z17" s="40" t="s">
        <v>32</v>
      </c>
      <c r="AA17" s="67">
        <f>((AA16)*R24*(8760))/1000000000</f>
        <v>3.8105247223999992E-8</v>
      </c>
      <c r="AB17" s="42"/>
    </row>
    <row r="18" spans="1:30" ht="15.75" x14ac:dyDescent="0.25">
      <c r="A18" s="21"/>
      <c r="B18" s="27"/>
      <c r="C18" s="28"/>
      <c r="D18" s="28"/>
      <c r="E18" s="31"/>
      <c r="F18" s="30"/>
      <c r="G18" s="30"/>
      <c r="H18" s="30"/>
      <c r="I18" s="30"/>
      <c r="J18" s="30"/>
      <c r="K18" s="30"/>
      <c r="L18" s="30"/>
      <c r="M18" s="30"/>
      <c r="N18" s="57"/>
      <c r="O18" s="30"/>
      <c r="P18" s="30"/>
      <c r="Q18" s="30"/>
      <c r="R18" s="78"/>
      <c r="S18" s="58"/>
      <c r="T18" s="76"/>
      <c r="U18" s="33"/>
      <c r="V18" s="59"/>
      <c r="W18" s="59"/>
      <c r="X18" s="45"/>
      <c r="Y18" s="42"/>
      <c r="Z18" s="68" t="s">
        <v>44</v>
      </c>
      <c r="AA18" s="67">
        <f>AA17*1000</f>
        <v>3.8105247223999995E-5</v>
      </c>
      <c r="AB18" s="42"/>
    </row>
    <row r="19" spans="1:30" ht="15.75" x14ac:dyDescent="0.25">
      <c r="A19" s="21" t="s">
        <v>29</v>
      </c>
      <c r="B19" s="27" t="s">
        <v>17</v>
      </c>
      <c r="C19" s="28"/>
      <c r="D19" s="28"/>
      <c r="E19" s="29"/>
      <c r="F19" s="30"/>
      <c r="G19" s="30">
        <v>15.25</v>
      </c>
      <c r="H19" s="30">
        <v>4.003333333333333</v>
      </c>
      <c r="I19" s="30"/>
      <c r="J19" s="30">
        <v>1.1000000000000001</v>
      </c>
      <c r="K19" s="30">
        <v>19.273333333333333</v>
      </c>
      <c r="L19" s="30"/>
      <c r="M19" s="30">
        <v>9.3800000000000008</v>
      </c>
      <c r="N19" s="57"/>
      <c r="O19" s="30"/>
      <c r="P19" s="30"/>
      <c r="Q19" s="30">
        <v>8.5566666666666666</v>
      </c>
      <c r="R19" s="78">
        <f t="shared" si="2"/>
        <v>9.5938888888888894</v>
      </c>
      <c r="S19" s="58">
        <f t="shared" si="3"/>
        <v>4.1542898630761105</v>
      </c>
      <c r="T19" s="76">
        <v>52.9</v>
      </c>
      <c r="U19" s="58">
        <f t="shared" si="4"/>
        <v>4154.2898630761101</v>
      </c>
      <c r="V19" s="36">
        <f>U19/8760</f>
        <v>0.47423400263425913</v>
      </c>
      <c r="W19" s="36">
        <f>V19*1000</f>
        <v>474.23400263425913</v>
      </c>
      <c r="X19" s="45"/>
      <c r="Y19" s="42"/>
      <c r="Z19" s="68" t="s">
        <v>41</v>
      </c>
      <c r="AA19" s="67">
        <f>AA18/8760</f>
        <v>4.3499140666666661E-9</v>
      </c>
      <c r="AB19" s="42"/>
    </row>
    <row r="20" spans="1:30" ht="15.75" x14ac:dyDescent="0.25">
      <c r="A20" s="21"/>
      <c r="B20" s="27"/>
      <c r="C20" s="28"/>
      <c r="D20" s="28"/>
      <c r="E20" s="31"/>
      <c r="F20" s="30"/>
      <c r="G20" s="30"/>
      <c r="H20" s="30"/>
      <c r="I20" s="30"/>
      <c r="J20" s="30"/>
      <c r="K20" s="30"/>
      <c r="L20" s="30"/>
      <c r="M20" s="30"/>
      <c r="N20" s="57"/>
      <c r="O20" s="30"/>
      <c r="P20" s="30"/>
      <c r="Q20" s="30"/>
      <c r="R20" s="78"/>
      <c r="S20" s="58"/>
      <c r="T20" s="76"/>
      <c r="U20" s="33"/>
      <c r="V20" s="59"/>
      <c r="W20" s="59"/>
      <c r="X20" s="45"/>
      <c r="Y20" s="42"/>
      <c r="Z20" s="68" t="s">
        <v>45</v>
      </c>
      <c r="AA20" s="67">
        <f>AA19/60</f>
        <v>7.2498567777777769E-11</v>
      </c>
      <c r="AB20" s="42"/>
    </row>
    <row r="21" spans="1:30" ht="15.75" x14ac:dyDescent="0.25">
      <c r="A21" s="21" t="s">
        <v>30</v>
      </c>
      <c r="B21" s="27" t="s">
        <v>17</v>
      </c>
      <c r="C21" s="28"/>
      <c r="D21" s="28"/>
      <c r="E21" s="29"/>
      <c r="F21" s="30"/>
      <c r="G21" s="30">
        <v>10.68</v>
      </c>
      <c r="H21" s="30">
        <v>5.1133333333333342</v>
      </c>
      <c r="I21" s="30"/>
      <c r="J21" s="30">
        <v>2.4</v>
      </c>
      <c r="K21" s="30">
        <v>25.279999999999998</v>
      </c>
      <c r="L21" s="30"/>
      <c r="M21" s="30">
        <v>6.7866666666666662</v>
      </c>
      <c r="N21" s="57"/>
      <c r="O21" s="30"/>
      <c r="P21" s="30"/>
      <c r="Q21" s="30">
        <v>6.3366666666666669</v>
      </c>
      <c r="R21" s="78">
        <f t="shared" si="2"/>
        <v>9.4327777777777779</v>
      </c>
      <c r="S21" s="58">
        <f t="shared" si="3"/>
        <v>4.0845264685372218</v>
      </c>
      <c r="T21" s="76">
        <v>73.099999999999994</v>
      </c>
      <c r="U21" s="58">
        <f t="shared" si="4"/>
        <v>4084.5264685372217</v>
      </c>
      <c r="V21" s="36">
        <f>U21/8760</f>
        <v>0.46627014481018514</v>
      </c>
      <c r="W21" s="36">
        <f>V21*1000</f>
        <v>466.27014481018512</v>
      </c>
      <c r="X21" s="45"/>
      <c r="Y21" s="42"/>
      <c r="Z21" s="68" t="s">
        <v>46</v>
      </c>
      <c r="AA21" s="67">
        <f>AA20/60</f>
        <v>1.2083094629629629E-12</v>
      </c>
    </row>
    <row r="22" spans="1:30" ht="15.75" thickBot="1" x14ac:dyDescent="0.25">
      <c r="A22" s="14"/>
      <c r="B22" s="1"/>
      <c r="C22" s="1"/>
      <c r="D22" s="1"/>
      <c r="E22" s="1"/>
      <c r="F22" s="7"/>
      <c r="G22" s="7"/>
      <c r="H22" s="7"/>
      <c r="I22" s="7"/>
      <c r="J22" s="7"/>
      <c r="K22" s="7"/>
      <c r="L22" s="7"/>
      <c r="M22" s="7"/>
      <c r="N22" s="6"/>
      <c r="O22" s="7"/>
      <c r="P22" s="7"/>
      <c r="Q22" s="7"/>
      <c r="R22" s="1"/>
      <c r="S22" s="42"/>
      <c r="T22" s="42"/>
      <c r="U22" s="42"/>
      <c r="V22" s="42"/>
      <c r="W22" s="42"/>
      <c r="X22" s="34"/>
      <c r="Y22" s="56"/>
      <c r="Z22" s="69" t="s">
        <v>47</v>
      </c>
      <c r="AA22" s="77">
        <f>AA21*1000</f>
        <v>1.2083094629629628E-9</v>
      </c>
    </row>
    <row r="23" spans="1:30" ht="15.75" thickBot="1" x14ac:dyDescent="0.25">
      <c r="A23" s="1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42"/>
      <c r="T23" s="42"/>
      <c r="U23" s="42"/>
      <c r="V23" s="42"/>
      <c r="W23" s="42"/>
      <c r="X23" s="35"/>
      <c r="Y23" s="42"/>
      <c r="Z23" s="42"/>
    </row>
    <row r="24" spans="1:30" ht="16.5" thickBot="1" x14ac:dyDescent="0.3">
      <c r="A24" s="14"/>
      <c r="B24" s="1"/>
      <c r="C24" s="1"/>
      <c r="D24" s="61" t="s">
        <v>31</v>
      </c>
      <c r="E24" s="62"/>
      <c r="F24" s="4"/>
      <c r="G24" s="4"/>
      <c r="H24" s="4">
        <v>50687.5</v>
      </c>
      <c r="I24" s="4"/>
      <c r="J24" s="4"/>
      <c r="K24" s="83">
        <v>50357.533333333333</v>
      </c>
      <c r="L24" s="4"/>
      <c r="M24" s="4">
        <v>44455.666666666664</v>
      </c>
      <c r="N24" s="4"/>
      <c r="O24" s="4"/>
      <c r="P24" s="4"/>
      <c r="Q24" s="4">
        <v>52222.666666666664</v>
      </c>
      <c r="R24" s="63">
        <f>AVERAGE(F24:Q24)</f>
        <v>49430.84166666666</v>
      </c>
      <c r="S24" s="42"/>
      <c r="T24" s="42"/>
      <c r="U24" s="42"/>
      <c r="V24" s="42"/>
      <c r="W24" s="42"/>
      <c r="X24" s="35"/>
      <c r="Y24" s="42"/>
      <c r="Z24" s="51" t="s">
        <v>40</v>
      </c>
      <c r="AA24" s="72"/>
      <c r="AC24" s="42"/>
      <c r="AD24" s="42"/>
    </row>
    <row r="25" spans="1:30" ht="16.5" thickBot="1" x14ac:dyDescent="0.3">
      <c r="A25" s="16"/>
      <c r="B25" s="17"/>
      <c r="C25" s="17"/>
      <c r="D25" s="2"/>
      <c r="E25" s="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5"/>
      <c r="S25" s="46"/>
      <c r="T25" s="46"/>
      <c r="U25" s="46"/>
      <c r="V25" s="46"/>
      <c r="W25" s="25"/>
      <c r="X25" s="18"/>
      <c r="Y25" s="42"/>
      <c r="Z25" s="40" t="s">
        <v>93</v>
      </c>
      <c r="AA25" s="45">
        <v>0.3</v>
      </c>
      <c r="AB25" s="12"/>
      <c r="AC25" s="42"/>
      <c r="AD25" s="42"/>
    </row>
    <row r="26" spans="1:30" ht="16.5" thickBot="1" x14ac:dyDescent="0.3">
      <c r="A26" s="1"/>
      <c r="B26" s="1"/>
      <c r="C26" s="1"/>
      <c r="D26" s="10" t="s">
        <v>79</v>
      </c>
      <c r="E26" s="10"/>
      <c r="F26" s="10"/>
      <c r="G26" s="10"/>
      <c r="H26" s="10">
        <v>44.975000000000001</v>
      </c>
      <c r="I26" s="10"/>
      <c r="J26" s="10"/>
      <c r="K26" s="10">
        <v>45.9</v>
      </c>
      <c r="L26" s="10"/>
      <c r="M26" s="10">
        <v>46.733333333333327</v>
      </c>
      <c r="N26" s="10"/>
      <c r="O26" s="10"/>
      <c r="P26" s="10"/>
      <c r="Q26" s="10">
        <v>43.066666666666663</v>
      </c>
      <c r="R26" s="63">
        <f>AVERAGE(F26:Q26)</f>
        <v>45.168749999999996</v>
      </c>
      <c r="S26" s="42"/>
      <c r="T26" s="42"/>
      <c r="U26" s="42"/>
      <c r="V26" s="42"/>
      <c r="Y26" s="42"/>
      <c r="Z26" s="40" t="s">
        <v>38</v>
      </c>
      <c r="AA26" s="67">
        <f>(+AVERAGE(AA25))/1000000</f>
        <v>2.9999999999999999E-7</v>
      </c>
      <c r="AB26" s="12"/>
      <c r="AC26" s="42"/>
      <c r="AD26" s="42"/>
    </row>
    <row r="27" spans="1:30" ht="15" x14ac:dyDescent="0.2">
      <c r="R27" s="102"/>
      <c r="Z27" s="40" t="s">
        <v>32</v>
      </c>
      <c r="AA27" s="67">
        <f>((AA26)*R24*(8760))/1000000000</f>
        <v>1.2990425189999996E-7</v>
      </c>
    </row>
    <row r="28" spans="1:30" ht="15" x14ac:dyDescent="0.2">
      <c r="R28" s="102"/>
      <c r="S28" s="103"/>
      <c r="T28" s="103"/>
      <c r="U28" s="103"/>
      <c r="V28" s="104"/>
      <c r="W28" s="104"/>
      <c r="X28" s="42"/>
      <c r="Z28" s="68" t="s">
        <v>44</v>
      </c>
      <c r="AA28" s="67">
        <f>AA27*1000</f>
        <v>1.2990425189999996E-4</v>
      </c>
    </row>
    <row r="29" spans="1:30" ht="15" x14ac:dyDescent="0.2">
      <c r="R29" s="102"/>
      <c r="S29" s="103"/>
      <c r="T29" s="103"/>
      <c r="U29" s="103"/>
      <c r="V29" s="104"/>
      <c r="W29" s="104"/>
      <c r="X29" s="42"/>
      <c r="Z29" s="68" t="s">
        <v>41</v>
      </c>
      <c r="AA29" s="67">
        <f>AA28/8760</f>
        <v>1.4829252499999996E-8</v>
      </c>
    </row>
    <row r="30" spans="1:30" ht="15" x14ac:dyDescent="0.2">
      <c r="R30" s="102"/>
      <c r="S30" s="103"/>
      <c r="T30" s="103"/>
      <c r="U30" s="103"/>
      <c r="V30" s="104"/>
      <c r="W30" s="104"/>
      <c r="X30" s="42"/>
      <c r="Z30" s="68" t="s">
        <v>45</v>
      </c>
      <c r="AA30" s="67">
        <f>AA29/60</f>
        <v>2.4715420833333328E-10</v>
      </c>
    </row>
    <row r="31" spans="1:30" ht="15" x14ac:dyDescent="0.2">
      <c r="R31" s="102"/>
      <c r="S31" s="103"/>
      <c r="T31" s="103"/>
      <c r="U31" s="103"/>
      <c r="V31" s="104"/>
      <c r="W31" s="104"/>
      <c r="X31" s="42"/>
      <c r="Z31" s="68" t="s">
        <v>46</v>
      </c>
      <c r="AA31" s="67">
        <f>AA30/60</f>
        <v>4.1192368055555549E-12</v>
      </c>
    </row>
    <row r="32" spans="1:30" ht="15.75" thickBot="1" x14ac:dyDescent="0.25">
      <c r="R32" s="102"/>
      <c r="S32" s="103"/>
      <c r="T32" s="103"/>
      <c r="U32" s="103"/>
      <c r="V32" s="104"/>
      <c r="W32" s="104"/>
      <c r="X32" s="42"/>
      <c r="Z32" s="69" t="s">
        <v>47</v>
      </c>
      <c r="AA32" s="77">
        <f>AA31*1000</f>
        <v>4.1192368055555548E-9</v>
      </c>
    </row>
    <row r="33" spans="18:24" ht="15" x14ac:dyDescent="0.2">
      <c r="R33" s="102"/>
      <c r="S33" s="103"/>
      <c r="T33" s="103"/>
      <c r="U33" s="103"/>
      <c r="V33" s="104"/>
      <c r="W33" s="104"/>
      <c r="X33" s="42"/>
    </row>
    <row r="34" spans="18:24" ht="15" x14ac:dyDescent="0.2">
      <c r="R34" s="102"/>
      <c r="S34" s="103"/>
      <c r="T34" s="103"/>
      <c r="U34" s="103"/>
      <c r="V34" s="104"/>
      <c r="W34" s="104"/>
      <c r="X34" s="42"/>
    </row>
    <row r="35" spans="18:24" ht="15" x14ac:dyDescent="0.2">
      <c r="R35" s="102"/>
      <c r="S35" s="103"/>
      <c r="T35" s="103"/>
      <c r="U35" s="103"/>
      <c r="V35" s="104"/>
      <c r="W35" s="104"/>
      <c r="X35" s="42"/>
    </row>
    <row r="36" spans="18:24" ht="15" x14ac:dyDescent="0.2">
      <c r="R36" s="102"/>
      <c r="S36" s="103"/>
      <c r="T36" s="103"/>
      <c r="U36" s="103"/>
      <c r="V36" s="104"/>
      <c r="W36" s="104"/>
      <c r="X36" s="42"/>
    </row>
    <row r="37" spans="18:24" ht="15" x14ac:dyDescent="0.2">
      <c r="R37" s="102"/>
      <c r="S37" s="103"/>
      <c r="T37" s="103"/>
      <c r="U37" s="103"/>
      <c r="V37" s="104"/>
      <c r="W37" s="104"/>
      <c r="X37" s="42"/>
    </row>
    <row r="38" spans="18:24" ht="15" x14ac:dyDescent="0.2">
      <c r="R38" s="102"/>
      <c r="S38" s="103"/>
      <c r="T38" s="103"/>
      <c r="U38" s="103"/>
      <c r="V38" s="104"/>
      <c r="W38" s="104"/>
      <c r="X38" s="42"/>
    </row>
    <row r="39" spans="18:24" ht="15" x14ac:dyDescent="0.2">
      <c r="R39" s="102"/>
      <c r="S39" s="103"/>
      <c r="T39" s="103"/>
      <c r="U39" s="103"/>
      <c r="V39" s="104"/>
      <c r="W39" s="104"/>
      <c r="X39" s="42"/>
    </row>
    <row r="40" spans="18:24" ht="15" x14ac:dyDescent="0.2">
      <c r="S40" s="103"/>
      <c r="T40" s="103"/>
      <c r="U40" s="103"/>
      <c r="V40" s="104"/>
      <c r="W40" s="104"/>
      <c r="X40" s="42"/>
    </row>
  </sheetData>
  <conditionalFormatting sqref="F22:Q22">
    <cfRule type="cellIs" dxfId="1" priority="3" stopIfTrue="1" operator="greaterThan">
      <formula>$E$6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CE181-E20B-4D41-8958-694437F6A495}">
  <sheetPr codeName="Sheet5"/>
  <dimension ref="A1:P12"/>
  <sheetViews>
    <sheetView showGridLines="0" zoomScaleNormal="100" workbookViewId="0">
      <selection activeCell="K1" sqref="K1"/>
    </sheetView>
  </sheetViews>
  <sheetFormatPr defaultColWidth="9.140625" defaultRowHeight="14.25" x14ac:dyDescent="0.2"/>
  <cols>
    <col min="1" max="1" width="20.28515625" style="9" customWidth="1"/>
    <col min="2" max="2" width="12.5703125" style="9" customWidth="1"/>
    <col min="3" max="5" width="9.140625" style="9"/>
    <col min="6" max="6" width="18.42578125" style="9" bestFit="1" customWidth="1"/>
    <col min="7" max="7" width="17.5703125" style="9" bestFit="1" customWidth="1"/>
    <col min="8" max="8" width="13" style="9" customWidth="1"/>
    <col min="9" max="9" width="13.7109375" style="9" bestFit="1" customWidth="1"/>
    <col min="10" max="10" width="13.5703125" style="9" bestFit="1" customWidth="1"/>
    <col min="11" max="11" width="9.140625" style="9"/>
    <col min="12" max="12" width="16.5703125" style="9" customWidth="1"/>
    <col min="13" max="13" width="13.7109375" style="9" bestFit="1" customWidth="1"/>
    <col min="14" max="15" width="9.140625" style="9"/>
    <col min="16" max="16" width="14.85546875" style="9" customWidth="1"/>
    <col min="17" max="16384" width="9.140625" style="9"/>
  </cols>
  <sheetData>
    <row r="1" spans="1:16" ht="23.25" x14ac:dyDescent="0.35">
      <c r="A1" s="98" t="s">
        <v>77</v>
      </c>
      <c r="B1" s="99"/>
      <c r="C1" s="99"/>
      <c r="D1" s="99"/>
      <c r="E1" s="99"/>
      <c r="F1" s="99"/>
      <c r="G1" s="99"/>
      <c r="H1" s="99"/>
      <c r="I1" s="99"/>
      <c r="J1" s="100"/>
      <c r="P1" s="80" t="s">
        <v>55</v>
      </c>
    </row>
    <row r="2" spans="1:16" ht="16.5" thickBot="1" x14ac:dyDescent="0.3">
      <c r="A2" s="19"/>
      <c r="B2" s="20" t="s">
        <v>33</v>
      </c>
      <c r="C2" s="20" t="s">
        <v>34</v>
      </c>
      <c r="D2" s="20" t="s">
        <v>35</v>
      </c>
      <c r="E2" s="20" t="s">
        <v>57</v>
      </c>
      <c r="F2" s="38" t="s">
        <v>37</v>
      </c>
      <c r="G2" s="38" t="s">
        <v>48</v>
      </c>
      <c r="H2" s="38" t="s">
        <v>36</v>
      </c>
      <c r="I2" s="38" t="s">
        <v>44</v>
      </c>
      <c r="J2" s="48" t="s">
        <v>47</v>
      </c>
      <c r="P2" s="81" t="s">
        <v>53</v>
      </c>
    </row>
    <row r="3" spans="1:16" ht="16.5" thickBot="1" x14ac:dyDescent="0.3">
      <c r="A3" s="21" t="s">
        <v>4</v>
      </c>
      <c r="B3" s="11">
        <v>0.97200000000000009</v>
      </c>
      <c r="C3" s="11">
        <v>1.3875</v>
      </c>
      <c r="D3" s="22">
        <v>0.95499999999999996</v>
      </c>
      <c r="E3" s="22">
        <v>0.95666666666666667</v>
      </c>
      <c r="F3" s="79">
        <f>+AVERAGE(B3:E3)</f>
        <v>1.0677916666666667</v>
      </c>
      <c r="G3" s="10">
        <f>(F3*F4*(3600*8760))/1000000000</f>
        <v>0.44279710635305841</v>
      </c>
      <c r="H3" s="79">
        <v>2.8</v>
      </c>
      <c r="I3" s="10">
        <f>G3*1000</f>
        <v>442.79710635305844</v>
      </c>
      <c r="J3" s="85">
        <f>F3*F4/1000</f>
        <v>1.4041004133468366E-2</v>
      </c>
      <c r="L3" s="54" t="s">
        <v>52</v>
      </c>
      <c r="M3" s="73" t="s">
        <v>39</v>
      </c>
      <c r="P3" s="82" t="s">
        <v>54</v>
      </c>
    </row>
    <row r="4" spans="1:16" ht="15.75" x14ac:dyDescent="0.25">
      <c r="A4" s="21" t="s">
        <v>5</v>
      </c>
      <c r="B4" s="22">
        <v>11.543633333333334</v>
      </c>
      <c r="C4" s="11">
        <v>13.510930555555555</v>
      </c>
      <c r="D4" s="22">
        <v>13.250319444444445</v>
      </c>
      <c r="E4" s="22">
        <v>14.293407407407408</v>
      </c>
      <c r="F4" s="22">
        <f>+AVERAGE(B4:E4)</f>
        <v>13.149572685185186</v>
      </c>
      <c r="G4" s="10"/>
      <c r="H4" s="10"/>
      <c r="I4" s="10"/>
      <c r="J4" s="23"/>
      <c r="L4" s="19" t="s">
        <v>58</v>
      </c>
      <c r="M4" s="23"/>
    </row>
    <row r="5" spans="1:16" ht="15.75" x14ac:dyDescent="0.25">
      <c r="A5" s="21" t="s">
        <v>79</v>
      </c>
      <c r="B5" s="10">
        <v>35.46</v>
      </c>
      <c r="C5" s="10">
        <v>43.774999999999999</v>
      </c>
      <c r="D5" s="10">
        <v>46.3</v>
      </c>
      <c r="E5" s="10">
        <v>35.699999999999996</v>
      </c>
      <c r="F5" s="22">
        <f>+AVERAGE(B5:E5)</f>
        <v>40.308749999999996</v>
      </c>
      <c r="J5" s="13"/>
      <c r="L5" s="19" t="s">
        <v>50</v>
      </c>
      <c r="M5" s="23">
        <f>((5*F4)*(3600*8760))/1000000000</f>
        <v>2.073424621</v>
      </c>
    </row>
    <row r="6" spans="1:16" ht="15" thickBot="1" x14ac:dyDescent="0.25">
      <c r="A6" s="24"/>
      <c r="B6" s="25"/>
      <c r="C6" s="25"/>
      <c r="D6" s="25"/>
      <c r="E6" s="25"/>
      <c r="F6" s="25"/>
      <c r="G6" s="25"/>
      <c r="H6" s="25"/>
      <c r="I6" s="25"/>
      <c r="J6" s="18"/>
      <c r="L6" s="74" t="s">
        <v>51</v>
      </c>
      <c r="M6" s="86">
        <f>(5*F4)/1000</f>
        <v>6.5747863425925923E-2</v>
      </c>
    </row>
    <row r="10" spans="1:16" ht="15" x14ac:dyDescent="0.25">
      <c r="A10" s="114" t="s">
        <v>81</v>
      </c>
      <c r="B10" s="114" t="s">
        <v>82</v>
      </c>
      <c r="C10" s="114">
        <v>15</v>
      </c>
      <c r="D10" s="114" t="s">
        <v>83</v>
      </c>
      <c r="E10" s="114"/>
      <c r="F10" s="138" t="s">
        <v>91</v>
      </c>
    </row>
    <row r="11" spans="1:16" ht="15" x14ac:dyDescent="0.25">
      <c r="A11" s="114"/>
      <c r="B11" s="114" t="s">
        <v>84</v>
      </c>
      <c r="C11" s="114" t="s">
        <v>85</v>
      </c>
      <c r="D11" s="114" t="s">
        <v>86</v>
      </c>
      <c r="E11" s="114" t="s">
        <v>87</v>
      </c>
      <c r="F11" s="138"/>
    </row>
    <row r="12" spans="1:16" ht="15" x14ac:dyDescent="0.25">
      <c r="A12" s="114" t="s">
        <v>90</v>
      </c>
      <c r="B12" s="128">
        <f>(F3/100)*C10</f>
        <v>0.16016875</v>
      </c>
      <c r="C12" s="128">
        <f>(H3/100)*C10</f>
        <v>0.41999999999999993</v>
      </c>
      <c r="D12" s="115">
        <f>($C$10/100)*J3</f>
        <v>2.106150620020255E-3</v>
      </c>
      <c r="E12" s="114">
        <f>D12*(60*60*8760)/1000000</f>
        <v>6.6419565952958753E-2</v>
      </c>
      <c r="F12" s="138"/>
    </row>
  </sheetData>
  <mergeCells count="1">
    <mergeCell ref="F10:F1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4B1D6-540B-408F-AFA1-EF342B163C33}">
  <sheetPr codeName="Sheet7"/>
  <dimension ref="A1:O26"/>
  <sheetViews>
    <sheetView showGridLines="0" workbookViewId="0">
      <selection activeCell="L1" sqref="L1"/>
    </sheetView>
  </sheetViews>
  <sheetFormatPr defaultColWidth="9.140625" defaultRowHeight="14.25" x14ac:dyDescent="0.2"/>
  <cols>
    <col min="1" max="1" width="31.85546875" style="9" customWidth="1"/>
    <col min="2" max="2" width="20.28515625" style="9" customWidth="1"/>
    <col min="3" max="3" width="12.5703125" style="9" customWidth="1"/>
    <col min="4" max="6" width="9.140625" style="9"/>
    <col min="7" max="7" width="18.42578125" style="9" bestFit="1" customWidth="1"/>
    <col min="8" max="8" width="17.5703125" style="9" bestFit="1" customWidth="1"/>
    <col min="9" max="9" width="13" style="9" customWidth="1"/>
    <col min="10" max="10" width="13.7109375" style="9" bestFit="1" customWidth="1"/>
    <col min="11" max="11" width="13.5703125" style="9" bestFit="1" customWidth="1"/>
    <col min="12" max="12" width="9.140625" style="9"/>
    <col min="13" max="13" width="11.85546875" style="9" customWidth="1"/>
    <col min="14" max="14" width="13.42578125" style="9" customWidth="1"/>
    <col min="15" max="15" width="14.85546875" style="9" customWidth="1"/>
    <col min="16" max="16384" width="9.140625" style="9"/>
  </cols>
  <sheetData>
    <row r="1" spans="1:15" ht="23.25" x14ac:dyDescent="0.35">
      <c r="A1" s="98" t="s">
        <v>77</v>
      </c>
      <c r="B1" s="99"/>
      <c r="C1" s="99"/>
      <c r="D1" s="99"/>
      <c r="E1" s="99"/>
      <c r="F1" s="99"/>
      <c r="G1" s="99"/>
      <c r="H1" s="99"/>
      <c r="I1" s="99"/>
      <c r="J1" s="100"/>
      <c r="K1" s="108"/>
      <c r="O1" s="80" t="s">
        <v>55</v>
      </c>
    </row>
    <row r="2" spans="1:15" ht="15.75" x14ac:dyDescent="0.25">
      <c r="A2" s="19"/>
      <c r="B2" s="20" t="s">
        <v>60</v>
      </c>
      <c r="C2" s="20" t="s">
        <v>33</v>
      </c>
      <c r="D2" s="20" t="s">
        <v>34</v>
      </c>
      <c r="E2" s="20" t="s">
        <v>35</v>
      </c>
      <c r="F2" s="20" t="s">
        <v>57</v>
      </c>
      <c r="G2" s="38" t="s">
        <v>37</v>
      </c>
      <c r="H2" s="38" t="s">
        <v>48</v>
      </c>
      <c r="I2" s="38" t="s">
        <v>36</v>
      </c>
      <c r="J2" s="38" t="s">
        <v>44</v>
      </c>
      <c r="K2" s="48" t="s">
        <v>47</v>
      </c>
      <c r="O2" s="81" t="s">
        <v>53</v>
      </c>
    </row>
    <row r="3" spans="1:15" ht="16.5" thickBot="1" x14ac:dyDescent="0.3">
      <c r="A3" s="111" t="s">
        <v>59</v>
      </c>
      <c r="B3" s="113">
        <v>140</v>
      </c>
      <c r="C3" s="11"/>
      <c r="D3" s="11">
        <v>119.2</v>
      </c>
      <c r="E3" s="22"/>
      <c r="F3" s="22"/>
      <c r="G3" s="79">
        <f>+AVERAGE(C3:F3)</f>
        <v>119.2</v>
      </c>
      <c r="H3" s="112">
        <f>(G3*G4*(3600*8760))/1000000000</f>
        <v>3.0210980620800001</v>
      </c>
      <c r="I3" s="79">
        <v>152</v>
      </c>
      <c r="J3" s="10">
        <f>H3*1000</f>
        <v>3021.0980620800001</v>
      </c>
      <c r="K3" s="85">
        <f>G3*G4/1000</f>
        <v>9.5798391111111103E-2</v>
      </c>
      <c r="O3" s="82" t="s">
        <v>54</v>
      </c>
    </row>
    <row r="4" spans="1:15" ht="15.75" x14ac:dyDescent="0.25">
      <c r="A4" s="111" t="s">
        <v>5</v>
      </c>
      <c r="B4" s="113"/>
      <c r="C4" s="22"/>
      <c r="D4" s="11">
        <v>0.80367777777777771</v>
      </c>
      <c r="E4" s="22"/>
      <c r="F4" s="22"/>
      <c r="G4" s="22">
        <f>+AVERAGE(C4:F4)</f>
        <v>0.80367777777777771</v>
      </c>
      <c r="H4" s="112"/>
      <c r="I4" s="10"/>
      <c r="J4" s="10"/>
      <c r="K4" s="23"/>
    </row>
    <row r="5" spans="1:15" ht="15.75" x14ac:dyDescent="0.25">
      <c r="A5" s="111" t="s">
        <v>79</v>
      </c>
      <c r="B5" s="10"/>
      <c r="C5" s="10"/>
      <c r="D5" s="10">
        <v>140.19999999999999</v>
      </c>
      <c r="E5" s="10"/>
      <c r="F5" s="10"/>
      <c r="G5" s="22">
        <f>+AVERAGE(C5:F5)</f>
        <v>140.19999999999999</v>
      </c>
      <c r="K5" s="13"/>
    </row>
    <row r="6" spans="1:15" ht="15" thickBot="1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18"/>
    </row>
    <row r="7" spans="1:15" ht="15" thickBot="1" x14ac:dyDescent="0.25"/>
    <row r="8" spans="1:15" ht="15" x14ac:dyDescent="0.25">
      <c r="M8" s="54" t="s">
        <v>69</v>
      </c>
      <c r="N8" s="73" t="s">
        <v>39</v>
      </c>
    </row>
    <row r="9" spans="1:15" x14ac:dyDescent="0.2">
      <c r="M9" s="19" t="s">
        <v>68</v>
      </c>
      <c r="N9" s="23"/>
    </row>
    <row r="10" spans="1:15" ht="14.1" customHeight="1" x14ac:dyDescent="0.2">
      <c r="E10" s="120"/>
      <c r="F10" s="120"/>
      <c r="G10" s="120"/>
      <c r="M10" s="19" t="s">
        <v>50</v>
      </c>
      <c r="N10" s="23">
        <f>((140*G4)*(3600*8760))/1000000000</f>
        <v>3.5482695359999994</v>
      </c>
    </row>
    <row r="11" spans="1:15" ht="14.45" customHeight="1" thickBot="1" x14ac:dyDescent="0.25">
      <c r="E11" s="120"/>
      <c r="F11" s="120"/>
      <c r="G11" s="120"/>
      <c r="M11" s="74" t="s">
        <v>51</v>
      </c>
      <c r="N11" s="86">
        <f>(140*G4)/1000</f>
        <v>0.11251488888888887</v>
      </c>
    </row>
    <row r="12" spans="1:15" ht="14.1" customHeight="1" x14ac:dyDescent="0.2">
      <c r="E12" s="120"/>
      <c r="F12" s="120"/>
      <c r="G12" s="120"/>
    </row>
    <row r="13" spans="1:15" ht="14.1" customHeight="1" x14ac:dyDescent="0.2">
      <c r="E13" s="120"/>
      <c r="F13" s="120"/>
      <c r="G13" s="120"/>
    </row>
    <row r="14" spans="1:15" ht="14.1" customHeight="1" x14ac:dyDescent="0.2">
      <c r="E14" s="120"/>
      <c r="F14" s="120"/>
      <c r="G14" s="120"/>
    </row>
    <row r="15" spans="1:15" ht="14.1" customHeight="1" x14ac:dyDescent="0.2">
      <c r="E15" s="120"/>
      <c r="F15" s="120"/>
      <c r="G15" s="120"/>
    </row>
    <row r="16" spans="1:15" ht="14.1" customHeight="1" x14ac:dyDescent="0.2">
      <c r="E16" s="120"/>
      <c r="F16" s="120"/>
      <c r="G16" s="120"/>
    </row>
    <row r="17" spans="1:7" ht="14.1" customHeight="1" x14ac:dyDescent="0.2">
      <c r="E17" s="120"/>
      <c r="F17" s="120"/>
      <c r="G17" s="120"/>
    </row>
    <row r="20" spans="1:7" ht="15" x14ac:dyDescent="0.25">
      <c r="E20" s="123"/>
      <c r="F20" s="123"/>
    </row>
    <row r="21" spans="1:7" ht="14.1" customHeight="1" x14ac:dyDescent="0.25">
      <c r="E21" s="121"/>
      <c r="F21" s="122"/>
    </row>
    <row r="22" spans="1:7" ht="30" customHeight="1" x14ac:dyDescent="0.25">
      <c r="E22" s="121"/>
      <c r="F22" s="121"/>
    </row>
    <row r="23" spans="1:7" ht="15" x14ac:dyDescent="0.25">
      <c r="E23" s="121"/>
      <c r="F23" s="121"/>
    </row>
    <row r="24" spans="1:7" ht="35.1" customHeight="1" x14ac:dyDescent="0.25">
      <c r="A24" s="139"/>
      <c r="B24" s="139"/>
      <c r="E24" s="121"/>
      <c r="F24" s="121"/>
    </row>
    <row r="25" spans="1:7" ht="15" x14ac:dyDescent="0.25">
      <c r="E25" s="121"/>
      <c r="F25" s="121"/>
    </row>
    <row r="26" spans="1:7" ht="15" x14ac:dyDescent="0.25">
      <c r="E26" s="121"/>
      <c r="F26" s="122"/>
    </row>
  </sheetData>
  <mergeCells count="1">
    <mergeCell ref="A24:B24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77F06-FEF9-4B41-9094-2B632A74319E}">
  <sheetPr codeName="Sheet9"/>
  <dimension ref="A1:O27"/>
  <sheetViews>
    <sheetView showGridLines="0" workbookViewId="0">
      <selection activeCell="A2" sqref="A2"/>
    </sheetView>
  </sheetViews>
  <sheetFormatPr defaultColWidth="9.140625" defaultRowHeight="14.25" x14ac:dyDescent="0.2"/>
  <cols>
    <col min="1" max="1" width="31.85546875" style="9" customWidth="1"/>
    <col min="2" max="2" width="20.28515625" style="9" customWidth="1"/>
    <col min="3" max="3" width="12.5703125" style="9" customWidth="1"/>
    <col min="4" max="6" width="9.140625" style="9"/>
    <col min="7" max="7" width="18.42578125" style="9" bestFit="1" customWidth="1"/>
    <col min="8" max="8" width="17.5703125" style="9" bestFit="1" customWidth="1"/>
    <col min="9" max="9" width="13" style="9" customWidth="1"/>
    <col min="10" max="10" width="13.7109375" style="9" bestFit="1" customWidth="1"/>
    <col min="11" max="11" width="13.5703125" style="9" bestFit="1" customWidth="1"/>
    <col min="12" max="14" width="9.140625" style="9"/>
    <col min="15" max="15" width="14.85546875" style="9" customWidth="1"/>
    <col min="16" max="16384" width="9.140625" style="9"/>
  </cols>
  <sheetData>
    <row r="1" spans="1:15" ht="23.25" x14ac:dyDescent="0.35">
      <c r="A1" s="98" t="s">
        <v>108</v>
      </c>
      <c r="B1" s="99"/>
      <c r="C1" s="99"/>
      <c r="D1" s="99"/>
      <c r="E1" s="99"/>
      <c r="F1" s="99"/>
      <c r="G1" s="99"/>
      <c r="H1" s="99"/>
      <c r="I1" s="99"/>
      <c r="J1" s="99"/>
      <c r="K1" s="108"/>
      <c r="O1" s="80" t="s">
        <v>55</v>
      </c>
    </row>
    <row r="2" spans="1:15" ht="15.75" x14ac:dyDescent="0.25">
      <c r="A2" s="19"/>
      <c r="B2" s="20" t="s">
        <v>60</v>
      </c>
      <c r="C2" s="20" t="s">
        <v>33</v>
      </c>
      <c r="D2" s="20" t="s">
        <v>34</v>
      </c>
      <c r="E2" s="20" t="s">
        <v>35</v>
      </c>
      <c r="F2" s="20" t="s">
        <v>57</v>
      </c>
      <c r="G2" s="38" t="s">
        <v>37</v>
      </c>
      <c r="H2" s="38" t="s">
        <v>48</v>
      </c>
      <c r="I2" s="38" t="s">
        <v>36</v>
      </c>
      <c r="J2" s="38" t="s">
        <v>44</v>
      </c>
      <c r="K2" s="48" t="s">
        <v>47</v>
      </c>
      <c r="O2" s="81" t="s">
        <v>53</v>
      </c>
    </row>
    <row r="3" spans="1:15" ht="16.5" thickBot="1" x14ac:dyDescent="0.3">
      <c r="A3" s="113" t="s">
        <v>59</v>
      </c>
      <c r="B3" s="113">
        <v>100</v>
      </c>
      <c r="C3" s="11"/>
      <c r="D3" s="11">
        <v>92.6</v>
      </c>
      <c r="E3" s="22"/>
      <c r="F3" s="22"/>
      <c r="G3" s="79">
        <f>+AVERAGE(C3:F3)</f>
        <v>92.6</v>
      </c>
      <c r="H3" s="112">
        <f>(G3*G4*(3600*8760))/1000000000</f>
        <v>6.4002110870399989</v>
      </c>
      <c r="I3" s="79">
        <v>117</v>
      </c>
      <c r="J3" s="10">
        <f>H3*1000</f>
        <v>6400.2110870399993</v>
      </c>
      <c r="K3" s="85">
        <f>G3*G4/1000</f>
        <v>0.20294936222222218</v>
      </c>
      <c r="O3" s="82" t="s">
        <v>54</v>
      </c>
    </row>
    <row r="4" spans="1:15" ht="15.75" x14ac:dyDescent="0.25">
      <c r="A4" s="113" t="s">
        <v>5</v>
      </c>
      <c r="B4" s="113"/>
      <c r="C4" s="22"/>
      <c r="D4" s="11">
        <v>2.1916777777777776</v>
      </c>
      <c r="E4" s="22"/>
      <c r="F4" s="22"/>
      <c r="G4" s="22">
        <f>+AVERAGE(C4:F4)</f>
        <v>2.1916777777777776</v>
      </c>
      <c r="H4" s="112"/>
      <c r="I4" s="10"/>
      <c r="J4" s="10"/>
      <c r="K4" s="23"/>
    </row>
    <row r="5" spans="1:15" ht="15.75" x14ac:dyDescent="0.25">
      <c r="A5" s="113" t="s">
        <v>79</v>
      </c>
      <c r="B5" s="10"/>
      <c r="C5" s="10"/>
      <c r="D5" s="10">
        <v>150.19999999999999</v>
      </c>
      <c r="E5" s="10"/>
      <c r="F5" s="10"/>
      <c r="G5" s="10"/>
      <c r="K5" s="13"/>
    </row>
    <row r="6" spans="1:15" ht="15" thickBot="1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18"/>
    </row>
    <row r="8" spans="1:15" ht="15" thickBot="1" x14ac:dyDescent="0.25"/>
    <row r="9" spans="1:15" ht="15" x14ac:dyDescent="0.25">
      <c r="J9" s="54" t="s">
        <v>69</v>
      </c>
      <c r="K9" s="73" t="s">
        <v>39</v>
      </c>
    </row>
    <row r="10" spans="1:15" ht="14.1" customHeight="1" x14ac:dyDescent="0.2">
      <c r="D10" s="120"/>
      <c r="E10" s="120"/>
      <c r="F10" s="120"/>
      <c r="J10" s="19" t="s">
        <v>70</v>
      </c>
      <c r="K10" s="23"/>
    </row>
    <row r="11" spans="1:15" ht="14.1" customHeight="1" x14ac:dyDescent="0.2">
      <c r="D11" s="120"/>
      <c r="E11" s="120"/>
      <c r="F11" s="120"/>
      <c r="J11" s="19" t="s">
        <v>50</v>
      </c>
      <c r="K11" s="23">
        <f>((100*D3)*(3600*8760))/1000000000</f>
        <v>292.02336000000003</v>
      </c>
    </row>
    <row r="12" spans="1:15" ht="14.45" customHeight="1" thickBot="1" x14ac:dyDescent="0.25">
      <c r="D12" s="120"/>
      <c r="E12" s="120"/>
      <c r="F12" s="120"/>
      <c r="J12" s="74" t="s">
        <v>51</v>
      </c>
      <c r="K12" s="86">
        <f>(100*D4)/1000</f>
        <v>0.21916777777777777</v>
      </c>
    </row>
    <row r="13" spans="1:15" ht="14.1" customHeight="1" x14ac:dyDescent="0.2">
      <c r="D13" s="120"/>
      <c r="E13" s="120"/>
      <c r="F13" s="120"/>
    </row>
    <row r="14" spans="1:15" ht="14.1" customHeight="1" x14ac:dyDescent="0.2">
      <c r="D14" s="120"/>
      <c r="E14" s="120"/>
      <c r="F14" s="120"/>
    </row>
    <row r="16" spans="1:15" ht="14.1" customHeight="1" x14ac:dyDescent="0.2">
      <c r="D16" s="120"/>
      <c r="E16" s="120"/>
      <c r="F16" s="120"/>
    </row>
    <row r="17" spans="1:8" ht="14.1" customHeight="1" x14ac:dyDescent="0.2">
      <c r="D17" s="120"/>
      <c r="E17" s="120"/>
      <c r="F17" s="120"/>
    </row>
    <row r="18" spans="1:8" ht="14.1" customHeight="1" x14ac:dyDescent="0.2">
      <c r="D18" s="120"/>
      <c r="E18" s="120"/>
      <c r="F18" s="120"/>
      <c r="H18" s="88"/>
    </row>
    <row r="21" spans="1:8" ht="15" x14ac:dyDescent="0.25">
      <c r="A21" s="120"/>
      <c r="B21" s="120"/>
      <c r="D21" s="123"/>
      <c r="E21" s="123"/>
    </row>
    <row r="22" spans="1:8" ht="30.6" customHeight="1" x14ac:dyDescent="0.25">
      <c r="A22" s="120"/>
      <c r="B22" s="120"/>
      <c r="D22" s="121"/>
      <c r="E22" s="121"/>
    </row>
    <row r="23" spans="1:8" ht="15" x14ac:dyDescent="0.25">
      <c r="D23" s="121"/>
      <c r="E23" s="121"/>
    </row>
    <row r="24" spans="1:8" ht="30.95" customHeight="1" x14ac:dyDescent="0.25">
      <c r="A24" s="120"/>
      <c r="B24" s="120"/>
      <c r="D24" s="121"/>
      <c r="E24" s="121"/>
    </row>
    <row r="25" spans="1:8" ht="15" x14ac:dyDescent="0.25">
      <c r="D25" s="121"/>
      <c r="E25" s="121"/>
    </row>
    <row r="26" spans="1:8" ht="15" x14ac:dyDescent="0.25">
      <c r="D26" s="121"/>
      <c r="E26" s="121"/>
    </row>
    <row r="27" spans="1:8" ht="15" x14ac:dyDescent="0.25">
      <c r="D27" s="121"/>
      <c r="E27" s="122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C3656D857B5D9C429CE9F0F73EC66B9E" ma:contentTypeVersion="45" ma:contentTypeDescription="Create a new document." ma:contentTypeScope="" ma:versionID="392915072395f8e43bfc55be6f5088fd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80f5caf5-7450-4d58-83d0-abf759ca00c0" targetNamespace="http://schemas.microsoft.com/office/2006/metadata/properties" ma:root="true" ma:fieldsID="93ee3885f2e2a0789629c3e7bbfb36c2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80f5caf5-7450-4d58-83d0-abf759ca00c0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0981305-d081-4950-be5f-f720c05b9668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0981305-d081-4950-be5f-f720c05b9668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5caf5-7450-4d58-83d0-abf759ca00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2023-06-14T23:00:00+00:00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epr-xp3533cb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-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2023-06-14T23:00:00+00:00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lcf76f155ced4ddcb4097134ff3c332f xmlns="80f5caf5-7450-4d58-83d0-abf759ca00c0">
      <Terms xmlns="http://schemas.microsoft.com/office/infopath/2007/PartnerControls"/>
    </lcf76f155ced4ddcb4097134ff3c332f>
    <EPRNumber xmlns="eebef177-55b5-4448-a5fb-28ea454417ee">-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WA8 0US</FacilityAddressPostcode>
    <TaxCatchAll xmlns="662745e8-e224-48e8-a2e3-254862b8c2f5">
      <Value>12</Value>
      <Value>19</Value>
      <Value>9</Value>
      <Value>21</Value>
      <Value>63</Value>
    </TaxCatchAll>
    <ExternalAuthor xmlns="eebef177-55b5-4448-a5fb-28ea454417ee">Alkegen</ExternalAuthor>
    <SiteName xmlns="eebef177-55b5-4448-a5fb-28ea454417ee">Widnes Alumina Fibres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Pilkington Sullivan Site  Tanhouse Lane  Widnes  Cheshire  WA8 0US</FacilityAddr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F03DC8-9B49-4686-91D7-DCEFAAA0A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5a0ec-c146-4eeb-925a-270f4bc4be63"/>
    <ds:schemaRef ds:uri="662745e8-e224-48e8-a2e3-254862b8c2f5"/>
    <ds:schemaRef ds:uri="eebef177-55b5-4448-a5fb-28ea454417ee"/>
    <ds:schemaRef ds:uri="5ffd8e36-f429-4edc-ab50-c5be84842779"/>
    <ds:schemaRef ds:uri="80f5caf5-7450-4d58-83d0-abf759ca0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46A398-9385-46FF-92CD-4D872485A5DA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eebef177-55b5-4448-a5fb-28ea454417ee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80f5caf5-7450-4d58-83d0-abf759ca00c0"/>
    <ds:schemaRef ds:uri="5ffd8e36-f429-4edc-ab50-c5be84842779"/>
    <ds:schemaRef ds:uri="662745e8-e224-48e8-a2e3-254862b8c2f5"/>
    <ds:schemaRef ds:uri="8595a0ec-c146-4eeb-925a-270f4bc4be63"/>
  </ds:schemaRefs>
</ds:datastoreItem>
</file>

<file path=customXml/itemProps3.xml><?xml version="1.0" encoding="utf-8"?>
<ds:datastoreItem xmlns:ds="http://schemas.openxmlformats.org/officeDocument/2006/customXml" ds:itemID="{96DC2A1A-669E-444B-9DCF-FFAFE14A93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Modifications Record</vt:lpstr>
      <vt:lpstr>Document History</vt:lpstr>
      <vt:lpstr>A2</vt:lpstr>
      <vt:lpstr>A3 (stack 2)</vt:lpstr>
      <vt:lpstr>A4</vt:lpstr>
      <vt:lpstr>A5 (stack 3)</vt:lpstr>
      <vt:lpstr>A6</vt:lpstr>
      <vt:lpstr>A7</vt:lpstr>
      <vt:lpstr>A9</vt:lpstr>
      <vt:lpstr>Background Data</vt:lpstr>
      <vt:lpstr>A11 (stack 4)</vt:lpstr>
      <vt:lpstr>A12a</vt:lpstr>
      <vt:lpstr>A12b</vt:lpstr>
      <vt:lpstr>A13</vt:lpstr>
      <vt:lpstr>A14</vt:lpstr>
    </vt:vector>
  </TitlesOfParts>
  <Company>PN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rachelstanley</dc:creator>
  <cp:lastModifiedBy>Clark, Wayne</cp:lastModifiedBy>
  <dcterms:created xsi:type="dcterms:W3CDTF">2011-06-02T14:09:43Z</dcterms:created>
  <dcterms:modified xsi:type="dcterms:W3CDTF">2023-08-01T09:10:13Z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0x0101000E9AD557692E154F9D2697C8C6432F7600C3656D857B5D9C429CE9F0F73EC66B9E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9;#N/A - Do not select for New Permits|0430e4c2-ee0a-4b2d-9af6-df735aafbcb2</vt:lpwstr>
  </property>
  <property fmtid="{D5CDD505-2E9C-101B-9397-08002B2CF9AE}" pid="6" name="DisclosureStatus">
    <vt:lpwstr>63;#Public Register|f1fcf6a6-5d97-4f1d-964e-a2f916eb1f18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12;#Application ＆ Associated Docs|5eadfd3c-6deb-44e1-b7e1-16accd427bec</vt:lpwstr>
  </property>
  <property fmtid="{D5CDD505-2E9C-101B-9397-08002B2CF9AE}" pid="10" name="RegulatedActivityClass">
    <vt:lpwstr>21;#Installations|645f1c9c-65df-490a-9ce3-4a2aa7c5ff7f</vt:lpwstr>
  </property>
  <property fmtid="{D5CDD505-2E9C-101B-9397-08002B2CF9AE}" pid="11" name="Catchment">
    <vt:lpwstr/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19;#EPR|0e5af97d-1a8c-4d8f-a20b-528a11cab1f6</vt:lpwstr>
  </property>
</Properties>
</file>