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efra-my.sharepoint.com/personal/nicola_waller1_environment-agency_gov_uk/Documents/Desktop/Waste Consult &amp; Publicise - EPR KP3427ST A001 19.05.2025/Documents to Upload/"/>
    </mc:Choice>
  </mc:AlternateContent>
  <xr:revisionPtr revIDLastSave="0" documentId="8_{EE56DDA8-AF3E-4745-84F5-D260863C7AB1}" xr6:coauthVersionLast="47" xr6:coauthVersionMax="47" xr10:uidLastSave="{00000000-0000-0000-0000-000000000000}"/>
  <bookViews>
    <workbookView xWindow="-120" yWindow="-120" windowWidth="29040" windowHeight="15720" activeTab="1" xr2:uid="{3C973843-E17C-4D2E-8619-1BFC3A9B02F9}"/>
  </bookViews>
  <sheets>
    <sheet name="Summary Sheet" sheetId="7" r:id="rId1"/>
    <sheet name="100% Re-use" sheetId="3" r:id="rId2"/>
    <sheet name="No Re-use" sheetId="5" r:id="rId3"/>
    <sheet name="Original AG Costs" sheetId="8" r:id="rId4"/>
    <sheet name="Volume Estimates" sheetId="9"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5" l="1"/>
  <c r="B51" i="5"/>
  <c r="B50" i="5"/>
  <c r="B49" i="5"/>
  <c r="B37" i="3"/>
  <c r="B19" i="3"/>
  <c r="B13" i="3"/>
  <c r="B19" i="5"/>
  <c r="B37" i="5"/>
  <c r="B13" i="5"/>
  <c r="B36" i="5"/>
  <c r="B52" i="3"/>
  <c r="B6" i="7" s="1"/>
  <c r="D6" i="7" s="1"/>
  <c r="B51" i="3"/>
  <c r="B49" i="3"/>
  <c r="B47" i="3"/>
  <c r="C20" i="8"/>
  <c r="D31" i="9"/>
  <c r="E31" i="9" s="1"/>
  <c r="D30" i="9"/>
  <c r="E30" i="9" s="1"/>
  <c r="E29" i="9"/>
  <c r="D28" i="9"/>
  <c r="C33" i="9" s="1"/>
  <c r="E12" i="9"/>
  <c r="E48" i="9" s="1"/>
  <c r="D12" i="9"/>
  <c r="D48" i="9" s="1"/>
  <c r="C12" i="9"/>
  <c r="C48" i="9" s="1"/>
  <c r="B12" i="9"/>
  <c r="I9" i="9" l="1"/>
  <c r="H10" i="9" s="1"/>
  <c r="E28" i="9"/>
  <c r="B48" i="9"/>
  <c r="C34" i="9"/>
  <c r="D5" i="8"/>
  <c r="F5" i="8"/>
  <c r="I5" i="8"/>
  <c r="D6" i="8"/>
  <c r="B9" i="8"/>
  <c r="D9" i="8"/>
  <c r="D11" i="8" s="1"/>
  <c r="F9" i="8"/>
  <c r="F11" i="8" s="1"/>
  <c r="B11" i="8"/>
  <c r="B12" i="8"/>
  <c r="D12" i="8"/>
  <c r="F12" i="8"/>
  <c r="B17" i="8"/>
  <c r="B23" i="8" s="1"/>
  <c r="C17" i="8"/>
  <c r="D17" i="8"/>
  <c r="D23" i="8" s="1"/>
  <c r="B18" i="8"/>
  <c r="C18" i="8"/>
  <c r="D18" i="8"/>
  <c r="B19" i="8"/>
  <c r="C19" i="8"/>
  <c r="D19" i="8"/>
  <c r="D20" i="8"/>
  <c r="B21" i="8"/>
  <c r="C21" i="8"/>
  <c r="D21" i="8"/>
  <c r="G21" i="8"/>
  <c r="C22" i="8"/>
  <c r="D22" i="8"/>
  <c r="C23" i="8"/>
  <c r="N28" i="8"/>
  <c r="D29" i="8"/>
  <c r="D30" i="8"/>
  <c r="D33" i="8" s="1"/>
  <c r="I30" i="8"/>
  <c r="D31" i="8"/>
  <c r="D32" i="8"/>
  <c r="F32" i="8"/>
  <c r="D34" i="8"/>
  <c r="D38" i="8"/>
  <c r="D40" i="8"/>
  <c r="F40" i="8"/>
  <c r="F42" i="8"/>
  <c r="I42" i="8"/>
  <c r="I43" i="8" s="1"/>
  <c r="I44" i="8" s="1"/>
  <c r="B5" i="3"/>
  <c r="B35" i="3"/>
  <c r="B36" i="3"/>
  <c r="B27" i="5"/>
  <c r="B35" i="5"/>
  <c r="B5" i="5"/>
  <c r="B7" i="5" s="1"/>
  <c r="B38" i="5"/>
  <c r="B40" i="5" s="1"/>
  <c r="B20" i="5"/>
  <c r="B14" i="5"/>
  <c r="B11" i="5"/>
  <c r="C24" i="8" l="1"/>
  <c r="D24" i="8"/>
  <c r="B44" i="5"/>
  <c r="C5" i="7" s="1"/>
  <c r="B42" i="5"/>
  <c r="B43" i="5" s="1"/>
  <c r="B9" i="5"/>
  <c r="B12" i="5" s="1"/>
  <c r="B28" i="5"/>
  <c r="B32" i="5" s="1"/>
  <c r="C4" i="7" s="1"/>
  <c r="B20" i="3"/>
  <c r="B14" i="3"/>
  <c r="B11" i="3"/>
  <c r="B7" i="3"/>
  <c r="B27" i="3" s="1"/>
  <c r="B28" i="3" s="1"/>
  <c r="B17" i="5" l="1"/>
  <c r="B38" i="3"/>
  <c r="B40" i="3" s="1"/>
  <c r="B32" i="3"/>
  <c r="B9" i="3"/>
  <c r="B4" i="7" l="1"/>
  <c r="B21" i="5"/>
  <c r="B22" i="5" s="1"/>
  <c r="B18" i="5"/>
  <c r="B44" i="3"/>
  <c r="B5" i="7" s="1"/>
  <c r="D5" i="7" s="1"/>
  <c r="B42" i="3"/>
  <c r="B43" i="3" s="1"/>
  <c r="B12" i="3"/>
  <c r="D4" i="7" l="1"/>
  <c r="B46" i="5"/>
  <c r="C3" i="7"/>
  <c r="B17" i="3"/>
  <c r="C7" i="7" l="1"/>
  <c r="B18" i="3"/>
  <c r="B21" i="3" s="1"/>
  <c r="B22" i="3" s="1"/>
  <c r="B3" i="7" l="1"/>
  <c r="B54" i="3"/>
  <c r="B7" i="7" l="1"/>
  <c r="D3" i="7"/>
  <c r="D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Graham, Angela</author>
  </authors>
  <commentList>
    <comment ref="B11" authorId="0" shapeId="0" xr:uid="{9FAD58E3-7521-409B-B6C0-E6C88A6A91F0}">
      <text>
        <r>
          <rPr>
            <b/>
            <sz val="9"/>
            <color indexed="81"/>
            <rFont val="Tahoma"/>
            <family val="2"/>
          </rPr>
          <t>Graham, Angela:</t>
        </r>
        <r>
          <rPr>
            <sz val="9"/>
            <color indexed="81"/>
            <rFont val="Tahoma"/>
            <family val="2"/>
          </rPr>
          <t xml:space="preserve">
assumed average 20T per bulk wagon load</t>
        </r>
      </text>
    </comment>
    <comment ref="D11" authorId="0" shapeId="0" xr:uid="{89160CF6-95AA-49BD-A911-4C8BBAF50607}">
      <text>
        <r>
          <rPr>
            <b/>
            <sz val="9"/>
            <color indexed="81"/>
            <rFont val="Tahoma"/>
            <family val="2"/>
          </rPr>
          <t>Graham, Angela:</t>
        </r>
        <r>
          <rPr>
            <sz val="9"/>
            <color indexed="81"/>
            <rFont val="Tahoma"/>
            <family val="2"/>
          </rPr>
          <t xml:space="preserve">
assumed average 20T per bulk wagon load</t>
        </r>
      </text>
    </comment>
    <comment ref="F11" authorId="0" shapeId="0" xr:uid="{1F92191D-AB25-452C-B4F7-4C9D333A3AF2}">
      <text>
        <r>
          <rPr>
            <b/>
            <sz val="9"/>
            <color indexed="81"/>
            <rFont val="Tahoma"/>
            <family val="2"/>
          </rPr>
          <t>Graham, Angela:</t>
        </r>
        <r>
          <rPr>
            <sz val="9"/>
            <color indexed="81"/>
            <rFont val="Tahoma"/>
            <family val="2"/>
          </rPr>
          <t xml:space="preserve">
assumed average 20T per bulk wagon load</t>
        </r>
      </text>
    </comment>
    <comment ref="B12" authorId="0" shapeId="0" xr:uid="{3FB75016-EF04-4ABC-808C-F49E7A0653FC}">
      <text>
        <r>
          <rPr>
            <b/>
            <sz val="9"/>
            <color indexed="81"/>
            <rFont val="Tahoma"/>
            <family val="2"/>
          </rPr>
          <t>Graham, Angela:</t>
        </r>
        <r>
          <rPr>
            <sz val="9"/>
            <color indexed="81"/>
            <rFont val="Tahoma"/>
            <family val="2"/>
          </rPr>
          <t xml:space="preserve">
assumed average 20T per bulk wagon load</t>
        </r>
      </text>
    </comment>
    <comment ref="D12" authorId="0" shapeId="0" xr:uid="{C47886EE-33D6-4B3A-B807-DDE11410F766}">
      <text>
        <r>
          <rPr>
            <b/>
            <sz val="9"/>
            <color indexed="81"/>
            <rFont val="Tahoma"/>
            <family val="2"/>
          </rPr>
          <t>Graham, Angela:</t>
        </r>
        <r>
          <rPr>
            <sz val="9"/>
            <color indexed="81"/>
            <rFont val="Tahoma"/>
            <family val="2"/>
          </rPr>
          <t xml:space="preserve">
assumed average 20T per bulk wagon load</t>
        </r>
      </text>
    </comment>
    <comment ref="F12" authorId="0" shapeId="0" xr:uid="{F8D1968D-4D90-44C6-B086-05C3C8A37301}">
      <text>
        <r>
          <rPr>
            <b/>
            <sz val="9"/>
            <color indexed="81"/>
            <rFont val="Tahoma"/>
            <family val="2"/>
          </rPr>
          <t>Graham, Angela:</t>
        </r>
        <r>
          <rPr>
            <sz val="9"/>
            <color indexed="81"/>
            <rFont val="Tahoma"/>
            <family val="2"/>
          </rPr>
          <t xml:space="preserve">
assumed average 20T per bulk wagon load</t>
        </r>
      </text>
    </comment>
  </commentList>
</comments>
</file>

<file path=xl/sharedStrings.xml><?xml version="1.0" encoding="utf-8"?>
<sst xmlns="http://schemas.openxmlformats.org/spreadsheetml/2006/main" count="312" uniqueCount="169">
  <si>
    <t>Reuse of Waste</t>
  </si>
  <si>
    <t>Difference</t>
  </si>
  <si>
    <t>Transportation and Plant Costs</t>
  </si>
  <si>
    <t>Disposal Costs</t>
  </si>
  <si>
    <t>Import Costs</t>
  </si>
  <si>
    <t>Other Costs</t>
  </si>
  <si>
    <t xml:space="preserve">TOTAL </t>
  </si>
  <si>
    <t>Total Volume of Excavation</t>
  </si>
  <si>
    <r>
      <t>m</t>
    </r>
    <r>
      <rPr>
        <vertAlign val="superscript"/>
        <sz val="14"/>
        <color theme="1"/>
        <rFont val="Calibri"/>
        <family val="2"/>
        <scheme val="minor"/>
      </rPr>
      <t>3</t>
    </r>
  </si>
  <si>
    <t>Assumed Volume of  Re-use</t>
  </si>
  <si>
    <t>Transportation Costs and Plant Hire</t>
  </si>
  <si>
    <t>Values</t>
  </si>
  <si>
    <t>Units</t>
  </si>
  <si>
    <t>Comments</t>
  </si>
  <si>
    <t>Volume</t>
  </si>
  <si>
    <r>
      <t>m</t>
    </r>
    <r>
      <rPr>
        <vertAlign val="superscript"/>
        <sz val="11"/>
        <color theme="1"/>
        <rFont val="Calibri"/>
        <family val="2"/>
        <scheme val="minor"/>
      </rPr>
      <t>3</t>
    </r>
  </si>
  <si>
    <r>
      <t>Assumes disposal of 100,000m</t>
    </r>
    <r>
      <rPr>
        <vertAlign val="superscript"/>
        <sz val="11"/>
        <color theme="1"/>
        <rFont val="Calibri"/>
        <family val="2"/>
        <scheme val="minor"/>
      </rPr>
      <t xml:space="preserve">3 </t>
    </r>
    <r>
      <rPr>
        <sz val="11"/>
        <color theme="1"/>
        <rFont val="Calibri"/>
        <family val="2"/>
        <scheme val="minor"/>
      </rPr>
      <t>of waste, with 100,000m</t>
    </r>
    <r>
      <rPr>
        <vertAlign val="superscript"/>
        <sz val="11"/>
        <color theme="1"/>
        <rFont val="Calibri"/>
        <family val="2"/>
        <scheme val="minor"/>
      </rPr>
      <t>3</t>
    </r>
    <r>
      <rPr>
        <sz val="11"/>
        <color theme="1"/>
        <rFont val="Calibri"/>
        <family val="2"/>
        <scheme val="minor"/>
      </rPr>
      <t xml:space="preserve"> reused under DfR</t>
    </r>
  </si>
  <si>
    <t>Specific density</t>
  </si>
  <si>
    <t>tonnes / m3</t>
  </si>
  <si>
    <t>Assumed specific density for slag</t>
  </si>
  <si>
    <t>Weight</t>
  </si>
  <si>
    <t>Tonnes per truckload</t>
  </si>
  <si>
    <t>tonnes</t>
  </si>
  <si>
    <t>Truck Movements</t>
  </si>
  <si>
    <t>Hours per trip (including loading / offloading)</t>
  </si>
  <si>
    <t>hours</t>
  </si>
  <si>
    <t>Based on 1.5 hour round trip (assumes Augean Port Clarence landfill) plus 1 hour for loading / offloading</t>
  </si>
  <si>
    <t>Complete trips per day</t>
  </si>
  <si>
    <t>No of truck days</t>
  </si>
  <si>
    <t>days</t>
  </si>
  <si>
    <t>Hourly rate for truck and driver</t>
  </si>
  <si>
    <t>From SPONS (includes fuel)</t>
  </si>
  <si>
    <t>Daily Rate for truck and driver</t>
  </si>
  <si>
    <t>Assumes 8 hour days</t>
  </si>
  <si>
    <t>No of trucks received at landfill</t>
  </si>
  <si>
    <t>Assumes 4 trucks per hour from site</t>
  </si>
  <si>
    <t>Working days per year</t>
  </si>
  <si>
    <t>5 days a week, (except 2 week shutdown over XMAS), assumes roads are trafficable in wet weather and snow</t>
  </si>
  <si>
    <t>Days to remove stockpile</t>
  </si>
  <si>
    <t>Total Period of Hire</t>
  </si>
  <si>
    <t>Hourly Rate for Tracked Excavator</t>
  </si>
  <si>
    <t xml:space="preserve"> / hour</t>
  </si>
  <si>
    <t>Assumes 30 tonne tracked 360 excavator</t>
  </si>
  <si>
    <t>Day rate for Tracked Excavator</t>
  </si>
  <si>
    <t>/ day</t>
  </si>
  <si>
    <t>Excavator Hire</t>
  </si>
  <si>
    <t>Estimated Transportation Costs</t>
  </si>
  <si>
    <t>Percentage Inert Waste</t>
  </si>
  <si>
    <t>Inert Waste Volume</t>
  </si>
  <si>
    <t>Hazardous Waste</t>
  </si>
  <si>
    <t>Landfill Tax (Haz / Non Haz Waste)</t>
  </si>
  <si>
    <t>/ tonne</t>
  </si>
  <si>
    <t>Landfill Tax (Inert Waste)</t>
  </si>
  <si>
    <t>Gate Fees</t>
  </si>
  <si>
    <t>From WRAP</t>
  </si>
  <si>
    <t>Estimated Disposal Costs</t>
  </si>
  <si>
    <t>Import Costs for Clean Fill</t>
  </si>
  <si>
    <t>Volume of Import Fill</t>
  </si>
  <si>
    <t>Weight of Import Fill</t>
  </si>
  <si>
    <t>Costs for Type 2 fill</t>
  </si>
  <si>
    <t>No of truck movements</t>
  </si>
  <si>
    <t>No. of truck days</t>
  </si>
  <si>
    <t>No of truckloads to site per day</t>
  </si>
  <si>
    <t>Duration of works</t>
  </si>
  <si>
    <t>Estimated Import Costs</t>
  </si>
  <si>
    <t>Permitting Costs</t>
  </si>
  <si>
    <t>CHECK ASSUMPTIONS</t>
  </si>
  <si>
    <t>Soils Testing Rate</t>
  </si>
  <si>
    <t>/sample</t>
  </si>
  <si>
    <t>Soils Testing Costs (1/1500t)</t>
  </si>
  <si>
    <t>Assume 1 sample / 1500 tonnes</t>
  </si>
  <si>
    <t>Daily Rate for Technically Competent Manager</t>
  </si>
  <si>
    <t>/day</t>
  </si>
  <si>
    <t>Assumed daily rate for TCM including accomodation and expenses</t>
  </si>
  <si>
    <t>Estimated Other Costs</t>
  </si>
  <si>
    <t>Assumed Re-use</t>
  </si>
  <si>
    <t>Parameters</t>
  </si>
  <si>
    <t>/ hour</t>
  </si>
  <si>
    <t>TOTAL Transportation Costs</t>
  </si>
  <si>
    <t>TOTAL Disposal Costs</t>
  </si>
  <si>
    <t>TOTAL Import Costs</t>
  </si>
  <si>
    <t>No Reuse</t>
  </si>
  <si>
    <t>Max Reuse</t>
  </si>
  <si>
    <t>44% Reuse</t>
  </si>
  <si>
    <t>Disposal Cost</t>
  </si>
  <si>
    <t>per m3</t>
  </si>
  <si>
    <t>Import costs</t>
  </si>
  <si>
    <t>per tonne</t>
  </si>
  <si>
    <t>Total Volume reused</t>
  </si>
  <si>
    <t>m3</t>
  </si>
  <si>
    <t>t</t>
  </si>
  <si>
    <t>Total Import</t>
  </si>
  <si>
    <t>Total Disposed Off (Volume)</t>
  </si>
  <si>
    <t>Total Disposed Off (weight)</t>
  </si>
  <si>
    <t>Total onsite handling for reuse</t>
  </si>
  <si>
    <t>Number load removed from site</t>
  </si>
  <si>
    <t>Number load imported to site</t>
  </si>
  <si>
    <t>Soil testing</t>
  </si>
  <si>
    <t>per sample/1500 T</t>
  </si>
  <si>
    <t>TCM</t>
  </si>
  <si>
    <t>per day</t>
  </si>
  <si>
    <t>Using Non-Waste</t>
  </si>
  <si>
    <t>Maximum use of Waste</t>
  </si>
  <si>
    <t>44% Use of Waste</t>
  </si>
  <si>
    <t>Cost of importing infill include haulage</t>
  </si>
  <si>
    <t>Cost or processing to create fill</t>
  </si>
  <si>
    <t>Waste Disposal Costs</t>
  </si>
  <si>
    <t>Permitting Costs (application, 4 years subsistence and surrender)</t>
  </si>
  <si>
    <t>Soils Testing</t>
  </si>
  <si>
    <t>Provision of Technically Competent Manager (4 Years</t>
  </si>
  <si>
    <t>Total</t>
  </si>
  <si>
    <t>Saving</t>
  </si>
  <si>
    <t>Gate Fee</t>
  </si>
  <si>
    <t>Landfill Tax</t>
  </si>
  <si>
    <t>LFT+Gate Fee</t>
  </si>
  <si>
    <t>Site Excavate and stockpile</t>
  </si>
  <si>
    <t>Haulage</t>
  </si>
  <si>
    <t>Total Disposal</t>
  </si>
  <si>
    <t>Material Import</t>
  </si>
  <si>
    <t>1, 204,581</t>
  </si>
  <si>
    <t>Post FEED Optimisation Scope 4</t>
  </si>
  <si>
    <t>Deposit for Recovery - Summary Results</t>
  </si>
  <si>
    <t>1.</t>
  </si>
  <si>
    <t>Volume of Excavation that will be generated as part of the construction works</t>
  </si>
  <si>
    <t>Excavation into Remediated Man Made Soil</t>
  </si>
  <si>
    <t>Excavation into Non-Remediated Man Made Soil</t>
  </si>
  <si>
    <t>Excavation into Natural Soil</t>
  </si>
  <si>
    <t xml:space="preserve">Excavation from Piling 
(Drilling Cuttings) </t>
  </si>
  <si>
    <t>(cum)</t>
  </si>
  <si>
    <t>Note: Above excavated volumes correspond to "in-place" volume i.e without any swell factor applied.</t>
  </si>
  <si>
    <t>2.</t>
  </si>
  <si>
    <t>Excavation from Piling Works (drilling cuttings)</t>
  </si>
  <si>
    <t>Excavated material from piling operation are deemed to be a mix of remediated Man Made soil, non-remediated Man Made soil and natural soil that can't be seggregated, nor treated to be re-used.</t>
  </si>
  <si>
    <t>3.</t>
  </si>
  <si>
    <t>Intended material use/re-use on site</t>
  </si>
  <si>
    <t>INTENDED USE</t>
  </si>
  <si>
    <t>MATERIAL TYPE / ORIGIN</t>
  </si>
  <si>
    <t>VOLUME OF MATERIAL TO BE USED (cum)</t>
  </si>
  <si>
    <t>TONNES OF MATERIAL TO BE USED (cum)</t>
  </si>
  <si>
    <t>Structural backfill / HV Switchyard - Tod Point platform</t>
  </si>
  <si>
    <t>Remediated Man Made Soil</t>
  </si>
  <si>
    <t>Other structural backfill, sand for underground pipes, filling and embankment of tank(s)</t>
  </si>
  <si>
    <r>
      <t>Suitable Site Won Materials</t>
    </r>
    <r>
      <rPr>
        <vertAlign val="superscript"/>
        <sz val="11"/>
        <color theme="1"/>
        <rFont val="Calibri"/>
        <family val="2"/>
        <scheme val="minor"/>
      </rPr>
      <t>(a)</t>
    </r>
  </si>
  <si>
    <t>Soil Substitution (structural fill)</t>
  </si>
  <si>
    <t>Roads (sub-base / base course)</t>
  </si>
  <si>
    <t>Total re-use of remediated man made soil (cum)</t>
  </si>
  <si>
    <t>(a)	site aims to use as much site won materials as possible with the deficit of waste material imported to site as needed from suitable external sources.</t>
  </si>
  <si>
    <t>It's assumed that the remediated man made soil can be re-used for backfilling, excepted soil from grubbing and scrubbing if any. The main reason is that if soil grubbing and scrubbing is found necessary, it means that the quality of these materials could have changed or that these materials would have been mixed with plants and associated roots.</t>
  </si>
  <si>
    <t>The above volumes correspond to "in-place" volumes i.e. after placement and compaction.</t>
  </si>
  <si>
    <t>4.</t>
  </si>
  <si>
    <t>Surplus material</t>
  </si>
  <si>
    <t>Non-remediated Man Made Soil</t>
  </si>
  <si>
    <t>Natural Soil</t>
  </si>
  <si>
    <t>Drilling cuttings from piles (mixed material)</t>
  </si>
  <si>
    <t>Quantities are expressed as "excavated in-place quantities" i.e. no expansion coefficient has been taken into account. For the assessment of the volume to be disposed, a swell factor shall be applied to the above quantities.</t>
  </si>
  <si>
    <t>5.</t>
  </si>
  <si>
    <t>Potential to re-use remediated material / Potential future optimizations for the cut-fill balance and minimization of external supply</t>
  </si>
  <si>
    <t xml:space="preserve">It's assumed that all the excavated remediated man made soil can be re-use, excepted soil grubbing and scubbing.
Depending on the actual surface conditions of the platform at time of handover, the excavated quantities linked to "grubbing and scrubbing" may be significantly optimized.
There is a way for optimization for the quantities of backfill currently considered as 'may be imported'.
Same for the soil substitution quantities that could be highly optimized at the light of the actual remediation works and of the associated as-builts / control tests results that will be received.
Less likely but perhaps possible, selected excavated remediated man made soil may be perhaps re-used for at least the sub-base course if found acceptable.
</t>
  </si>
  <si>
    <t>6.</t>
  </si>
  <si>
    <t>Sampling method of waste material being reused</t>
  </si>
  <si>
    <t>Sampling method will be performed as per JSS Earthworks and in accordance with SHW 600.</t>
  </si>
  <si>
    <t>From 2024 spring budget for 2025 (https://www.gov.uk/government/publications/spring-budget-2024)</t>
  </si>
  <si>
    <t>Assumed average load of truck</t>
  </si>
  <si>
    <t>No Reuse of Waste</t>
  </si>
  <si>
    <t>Percentage of CAPEX</t>
  </si>
  <si>
    <t>Percentage of contingency CAPEX</t>
  </si>
  <si>
    <t>Percentage using non waste</t>
  </si>
  <si>
    <t>Percentage of pre-tax profit</t>
  </si>
  <si>
    <r>
      <t>Assumes disposal of 100,000m</t>
    </r>
    <r>
      <rPr>
        <vertAlign val="superscript"/>
        <sz val="11"/>
        <color theme="1"/>
        <rFont val="Calibri"/>
        <family val="2"/>
        <scheme val="minor"/>
      </rPr>
      <t xml:space="preserve">3 </t>
    </r>
    <r>
      <rPr>
        <sz val="11"/>
        <color theme="1"/>
        <rFont val="Calibri"/>
        <family val="2"/>
        <scheme val="minor"/>
      </rPr>
      <t>of waste, with 0m</t>
    </r>
    <r>
      <rPr>
        <vertAlign val="superscript"/>
        <sz val="11"/>
        <color theme="1"/>
        <rFont val="Calibri"/>
        <family val="2"/>
        <scheme val="minor"/>
      </rPr>
      <t>3</t>
    </r>
    <r>
      <rPr>
        <sz val="11"/>
        <color theme="1"/>
        <rFont val="Calibri"/>
        <family val="2"/>
        <scheme val="minor"/>
      </rPr>
      <t xml:space="preserve"> reused under DfR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</si>
</sst>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_-* #,##0_-;\-* #,##0_-;_-* &quot;-&quot;??_-;_-@_-"/>
    <numFmt numFmtId="167" formatCode="0.0%"/>
  </numFmts>
  <fonts count="19" x14ac:knownFonts="1">
    <font>
      <sz val="11"/>
      <color theme="1"/>
      <name val="Calibri"/>
      <family val="2"/>
      <scheme val="minor"/>
    </font>
    <font>
      <b/>
      <sz val="11"/>
      <color theme="1"/>
      <name val="Calibri"/>
      <family val="2"/>
      <scheme val="minor"/>
    </font>
    <font>
      <sz val="9"/>
      <name val="Arial Narrow"/>
      <family val="2"/>
    </font>
    <font>
      <b/>
      <sz val="9"/>
      <name val="Arial Narrow"/>
      <family val="2"/>
    </font>
    <font>
      <b/>
      <sz val="9"/>
      <color theme="1"/>
      <name val="Arial Narrow"/>
      <family val="2"/>
    </font>
    <font>
      <b/>
      <sz val="9"/>
      <color indexed="81"/>
      <name val="Tahoma"/>
      <family val="2"/>
    </font>
    <font>
      <sz val="9"/>
      <color indexed="81"/>
      <name val="Tahoma"/>
      <family val="2"/>
    </font>
    <font>
      <sz val="8"/>
      <color rgb="FF001114"/>
      <name val="Arial"/>
      <family val="2"/>
    </font>
    <font>
      <sz val="14"/>
      <color theme="1"/>
      <name val="Calibri"/>
      <family val="2"/>
      <scheme val="minor"/>
    </font>
    <font>
      <b/>
      <sz val="14"/>
      <color theme="1"/>
      <name val="Calibri"/>
      <family val="2"/>
      <scheme val="minor"/>
    </font>
    <font>
      <sz val="11"/>
      <color theme="1"/>
      <name val="Calibri"/>
      <family val="2"/>
      <scheme val="minor"/>
    </font>
    <font>
      <vertAlign val="superscript"/>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2"/>
      <color theme="1"/>
      <name val="Calibri"/>
      <family val="2"/>
      <scheme val="minor"/>
    </font>
    <font>
      <vertAlign val="superscript"/>
      <sz val="14"/>
      <color theme="1"/>
      <name val="Calibri"/>
      <family val="2"/>
      <scheme val="minor"/>
    </font>
    <font>
      <sz val="8"/>
      <name val="Calibri"/>
      <family val="2"/>
      <scheme val="minor"/>
    </font>
    <font>
      <b/>
      <sz val="11"/>
      <color rgb="FF00B0F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FF99"/>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05">
    <xf numFmtId="0" fontId="0" fillId="0" borderId="0" xfId="0"/>
    <xf numFmtId="0" fontId="1" fillId="0" borderId="0" xfId="0" applyFont="1"/>
    <xf numFmtId="3" fontId="0" fillId="0" borderId="0" xfId="0" applyNumberFormat="1"/>
    <xf numFmtId="0" fontId="2"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1" xfId="0" applyFont="1" applyBorder="1"/>
    <xf numFmtId="0" fontId="2" fillId="0" borderId="3" xfId="0" applyFont="1" applyBorder="1" applyAlignment="1">
      <alignment vertical="center" wrapText="1"/>
    </xf>
    <xf numFmtId="3" fontId="2" fillId="0" borderId="4" xfId="0" applyNumberFormat="1" applyFont="1" applyBorder="1" applyAlignment="1">
      <alignment horizontal="center" vertical="center" wrapText="1"/>
    </xf>
    <xf numFmtId="0" fontId="3" fillId="0" borderId="3" xfId="0" applyFont="1" applyBorder="1" applyAlignment="1">
      <alignment vertical="center" wrapText="1"/>
    </xf>
    <xf numFmtId="3" fontId="3" fillId="0" borderId="4" xfId="0" applyNumberFormat="1" applyFont="1" applyBorder="1" applyAlignment="1">
      <alignment horizontal="center" vertical="center" wrapText="1"/>
    </xf>
    <xf numFmtId="0" fontId="2" fillId="0" borderId="5" xfId="0" applyFont="1" applyBorder="1" applyAlignment="1">
      <alignment vertical="center" wrapText="1"/>
    </xf>
    <xf numFmtId="0" fontId="0" fillId="0" borderId="0" xfId="0" applyAlignment="1">
      <alignment horizontal="center"/>
    </xf>
    <xf numFmtId="3" fontId="0" fillId="0" borderId="0" xfId="0" applyNumberFormat="1" applyAlignment="1">
      <alignment horizontal="center"/>
    </xf>
    <xf numFmtId="164" fontId="0" fillId="0" borderId="0" xfId="0" applyNumberFormat="1"/>
    <xf numFmtId="165" fontId="0" fillId="0" borderId="0" xfId="0" applyNumberFormat="1"/>
    <xf numFmtId="0" fontId="7" fillId="0" borderId="1" xfId="0" applyFont="1" applyBorder="1" applyAlignment="1">
      <alignment horizontal="center" vertical="center" wrapText="1"/>
    </xf>
    <xf numFmtId="3" fontId="7" fillId="0" borderId="3" xfId="0" applyNumberFormat="1" applyFont="1" applyBorder="1" applyAlignment="1">
      <alignment horizontal="center" vertical="center" wrapText="1"/>
    </xf>
    <xf numFmtId="10" fontId="0" fillId="0" borderId="0" xfId="0" applyNumberFormat="1"/>
    <xf numFmtId="1" fontId="0" fillId="0" borderId="0" xfId="0" applyNumberFormat="1"/>
    <xf numFmtId="0" fontId="8" fillId="0" borderId="0" xfId="0" applyFont="1"/>
    <xf numFmtId="0" fontId="9" fillId="0" borderId="0" xfId="0" applyFont="1" applyAlignment="1">
      <alignment horizontal="right"/>
    </xf>
    <xf numFmtId="165" fontId="9" fillId="0" borderId="1" xfId="0" applyNumberFormat="1" applyFont="1" applyBorder="1"/>
    <xf numFmtId="3" fontId="12" fillId="0" borderId="6" xfId="0" applyNumberFormat="1" applyFont="1" applyBorder="1"/>
    <xf numFmtId="0" fontId="12" fillId="0" borderId="6" xfId="0" applyFont="1" applyBorder="1"/>
    <xf numFmtId="0" fontId="0" fillId="4" borderId="6" xfId="0" applyFill="1" applyBorder="1"/>
    <xf numFmtId="0" fontId="0" fillId="0" borderId="6" xfId="0" applyBorder="1"/>
    <xf numFmtId="3" fontId="0" fillId="0" borderId="6" xfId="0" applyNumberFormat="1" applyBorder="1"/>
    <xf numFmtId="166" fontId="14" fillId="4" borderId="6" xfId="1" applyNumberFormat="1" applyFont="1" applyFill="1" applyBorder="1"/>
    <xf numFmtId="166" fontId="0" fillId="4" borderId="6" xfId="1" applyNumberFormat="1" applyFont="1" applyFill="1" applyBorder="1"/>
    <xf numFmtId="165" fontId="0" fillId="2" borderId="6" xfId="0" applyNumberFormat="1" applyFill="1" applyBorder="1"/>
    <xf numFmtId="0" fontId="0" fillId="5" borderId="6" xfId="0" applyFill="1" applyBorder="1"/>
    <xf numFmtId="165" fontId="0" fillId="4" borderId="10" xfId="1" applyNumberFormat="1" applyFont="1" applyFill="1" applyBorder="1"/>
    <xf numFmtId="0" fontId="15" fillId="0" borderId="9" xfId="0" applyFont="1" applyBorder="1" applyAlignment="1">
      <alignment horizontal="right"/>
    </xf>
    <xf numFmtId="166" fontId="14" fillId="4" borderId="6" xfId="0" applyNumberFormat="1" applyFont="1" applyFill="1" applyBorder="1"/>
    <xf numFmtId="164" fontId="0" fillId="4" borderId="10" xfId="1" applyNumberFormat="1" applyFont="1" applyFill="1" applyBorder="1"/>
    <xf numFmtId="0" fontId="15" fillId="0" borderId="0" xfId="0" applyFont="1" applyAlignment="1">
      <alignment horizontal="right"/>
    </xf>
    <xf numFmtId="0" fontId="0" fillId="0" borderId="0" xfId="0" applyAlignment="1">
      <alignment horizontal="right"/>
    </xf>
    <xf numFmtId="0" fontId="8" fillId="0" borderId="0" xfId="0" applyFont="1" applyAlignment="1">
      <alignment horizontal="right"/>
    </xf>
    <xf numFmtId="9" fontId="8" fillId="3" borderId="1" xfId="0" applyNumberFormat="1" applyFont="1" applyFill="1" applyBorder="1"/>
    <xf numFmtId="166" fontId="0" fillId="4" borderId="6" xfId="0" applyNumberFormat="1" applyFill="1" applyBorder="1"/>
    <xf numFmtId="0" fontId="1" fillId="7" borderId="11" xfId="0" applyFont="1" applyFill="1" applyBorder="1"/>
    <xf numFmtId="44" fontId="1" fillId="7" borderId="7" xfId="0" applyNumberFormat="1" applyFont="1" applyFill="1" applyBorder="1"/>
    <xf numFmtId="0" fontId="1" fillId="7" borderId="7" xfId="0" applyFont="1" applyFill="1" applyBorder="1"/>
    <xf numFmtId="0" fontId="1" fillId="7" borderId="12" xfId="0" applyFont="1" applyFill="1" applyBorder="1"/>
    <xf numFmtId="0" fontId="1" fillId="8" borderId="7" xfId="0" applyFont="1" applyFill="1" applyBorder="1"/>
    <xf numFmtId="8" fontId="0" fillId="2" borderId="6" xfId="0" applyNumberFormat="1" applyFill="1" applyBorder="1"/>
    <xf numFmtId="0" fontId="1" fillId="6" borderId="7" xfId="0" applyFont="1" applyFill="1" applyBorder="1"/>
    <xf numFmtId="0" fontId="1" fillId="6" borderId="7" xfId="0" applyFont="1" applyFill="1" applyBorder="1" applyAlignment="1">
      <alignment horizontal="center"/>
    </xf>
    <xf numFmtId="164" fontId="15" fillId="6" borderId="1" xfId="0" applyNumberFormat="1" applyFont="1" applyFill="1" applyBorder="1"/>
    <xf numFmtId="1" fontId="12" fillId="0" borderId="6" xfId="0" applyNumberFormat="1" applyFont="1" applyBorder="1" applyAlignment="1">
      <alignment horizontal="right" vertical="center"/>
    </xf>
    <xf numFmtId="166" fontId="8" fillId="0" borderId="1" xfId="1" applyNumberFormat="1" applyFont="1" applyBorder="1"/>
    <xf numFmtId="3" fontId="8" fillId="0" borderId="6" xfId="0" applyNumberFormat="1" applyFont="1" applyBorder="1"/>
    <xf numFmtId="0" fontId="1" fillId="0" borderId="6" xfId="0" applyFont="1" applyBorder="1"/>
    <xf numFmtId="0" fontId="1" fillId="9" borderId="11" xfId="0" applyFont="1" applyFill="1" applyBorder="1"/>
    <xf numFmtId="0" fontId="1" fillId="9" borderId="7" xfId="0" applyFont="1" applyFill="1" applyBorder="1"/>
    <xf numFmtId="0" fontId="1" fillId="9" borderId="12" xfId="0" applyFont="1" applyFill="1" applyBorder="1"/>
    <xf numFmtId="0" fontId="15" fillId="0" borderId="0" xfId="0" applyFont="1"/>
    <xf numFmtId="0" fontId="1" fillId="0" borderId="6" xfId="0" applyFont="1" applyBorder="1" applyAlignment="1">
      <alignment horizontal="center" vertical="center" wrapText="1"/>
    </xf>
    <xf numFmtId="0" fontId="0" fillId="0" borderId="6" xfId="0" applyBorder="1" applyAlignment="1">
      <alignment horizontal="center" vertical="center" wrapText="1"/>
    </xf>
    <xf numFmtId="3" fontId="0" fillId="0" borderId="6" xfId="0" applyNumberFormat="1" applyBorder="1" applyAlignment="1">
      <alignment horizontal="center"/>
    </xf>
    <xf numFmtId="0" fontId="0" fillId="0" borderId="0" xfId="0" quotePrefix="1"/>
    <xf numFmtId="3" fontId="0" fillId="0" borderId="0" xfId="0" applyNumberFormat="1" applyAlignment="1">
      <alignment horizontal="left"/>
    </xf>
    <xf numFmtId="0" fontId="0" fillId="0" borderId="0" xfId="0" applyAlignment="1">
      <alignment horizontal="center" vertical="center" wrapText="1"/>
    </xf>
    <xf numFmtId="0" fontId="1" fillId="0" borderId="6" xfId="0" applyFont="1" applyBorder="1" applyAlignment="1">
      <alignment horizontal="left" vertical="center" wrapText="1"/>
    </xf>
    <xf numFmtId="0" fontId="0" fillId="0" borderId="0" xfId="0" applyAlignment="1">
      <alignment wrapText="1"/>
    </xf>
    <xf numFmtId="0" fontId="0" fillId="0" borderId="6" xfId="0" applyBorder="1" applyAlignment="1">
      <alignment wrapText="1"/>
    </xf>
    <xf numFmtId="0" fontId="0" fillId="0" borderId="6" xfId="0" applyBorder="1" applyAlignment="1">
      <alignment horizontal="center" vertical="top" wrapText="1"/>
    </xf>
    <xf numFmtId="3" fontId="0" fillId="0" borderId="6" xfId="0" applyNumberFormat="1" applyBorder="1" applyAlignment="1">
      <alignment horizontal="center" vertical="center" wrapText="1"/>
    </xf>
    <xf numFmtId="3" fontId="0" fillId="0" borderId="6" xfId="0" applyNumberFormat="1" applyBorder="1" applyAlignment="1">
      <alignment vertical="center" wrapText="1"/>
    </xf>
    <xf numFmtId="3" fontId="0" fillId="0" borderId="0" xfId="0" applyNumberFormat="1" applyAlignment="1">
      <alignment wrapText="1"/>
    </xf>
    <xf numFmtId="3" fontId="0" fillId="0" borderId="0" xfId="0" applyNumberFormat="1" applyAlignment="1">
      <alignment horizontal="center" wrapText="1"/>
    </xf>
    <xf numFmtId="0" fontId="0" fillId="0" borderId="6" xfId="0" applyBorder="1" applyAlignment="1">
      <alignment horizontal="left" vertical="center" wrapText="1"/>
    </xf>
    <xf numFmtId="3" fontId="0" fillId="0" borderId="0" xfId="0" applyNumberFormat="1" applyAlignment="1">
      <alignment horizontal="center" vertical="center" wrapText="1"/>
    </xf>
    <xf numFmtId="3" fontId="0" fillId="0" borderId="6" xfId="0" applyNumberFormat="1" applyBorder="1" applyAlignment="1">
      <alignment horizontal="center" wrapText="1"/>
    </xf>
    <xf numFmtId="0" fontId="0" fillId="0" borderId="0" xfId="0" applyAlignment="1">
      <alignment horizontal="left" vertical="center" wrapText="1"/>
    </xf>
    <xf numFmtId="0" fontId="1" fillId="0" borderId="0" xfId="0" applyFont="1" applyAlignment="1">
      <alignment wrapText="1"/>
    </xf>
    <xf numFmtId="3" fontId="14" fillId="0" borderId="6" xfId="0" applyNumberFormat="1" applyFont="1" applyBorder="1" applyAlignment="1">
      <alignment horizontal="center" vertical="top" wrapText="1"/>
    </xf>
    <xf numFmtId="3" fontId="14" fillId="0" borderId="6" xfId="0" applyNumberFormat="1" applyFont="1" applyBorder="1" applyAlignment="1">
      <alignment horizontal="center"/>
    </xf>
    <xf numFmtId="0" fontId="18"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vertical="top"/>
    </xf>
    <xf numFmtId="165" fontId="0" fillId="4" borderId="10" xfId="0" applyNumberFormat="1" applyFill="1" applyBorder="1"/>
    <xf numFmtId="164" fontId="15" fillId="7" borderId="1" xfId="0" applyNumberFormat="1" applyFont="1" applyFill="1" applyBorder="1"/>
    <xf numFmtId="164" fontId="14" fillId="4" borderId="10" xfId="0" applyNumberFormat="1" applyFont="1" applyFill="1" applyBorder="1"/>
    <xf numFmtId="164" fontId="15" fillId="8" borderId="1" xfId="0" applyNumberFormat="1" applyFont="1" applyFill="1" applyBorder="1"/>
    <xf numFmtId="6" fontId="12" fillId="0" borderId="6" xfId="0" applyNumberFormat="1" applyFont="1" applyBorder="1"/>
    <xf numFmtId="164" fontId="0" fillId="4" borderId="6" xfId="1" applyNumberFormat="1" applyFont="1" applyFill="1" applyBorder="1"/>
    <xf numFmtId="6" fontId="0" fillId="4" borderId="6" xfId="0" applyNumberFormat="1" applyFill="1" applyBorder="1"/>
    <xf numFmtId="6" fontId="0" fillId="4" borderId="8" xfId="0" applyNumberFormat="1" applyFill="1" applyBorder="1"/>
    <xf numFmtId="164" fontId="15" fillId="9" borderId="1" xfId="0" applyNumberFormat="1" applyFont="1" applyFill="1" applyBorder="1"/>
    <xf numFmtId="164" fontId="0" fillId="0" borderId="6" xfId="0" applyNumberFormat="1" applyBorder="1"/>
    <xf numFmtId="0" fontId="0" fillId="0" borderId="6" xfId="0" applyBorder="1" applyAlignment="1">
      <alignment horizontal="right"/>
    </xf>
    <xf numFmtId="164" fontId="1" fillId="0" borderId="6" xfId="0" applyNumberFormat="1" applyFont="1" applyBorder="1"/>
    <xf numFmtId="164" fontId="1" fillId="2" borderId="6" xfId="0" applyNumberFormat="1" applyFont="1" applyFill="1" applyBorder="1"/>
    <xf numFmtId="164" fontId="0" fillId="10" borderId="6" xfId="0" applyNumberFormat="1" applyFill="1" applyBorder="1"/>
    <xf numFmtId="0" fontId="1" fillId="10" borderId="6" xfId="0" applyFont="1" applyFill="1" applyBorder="1"/>
    <xf numFmtId="10" fontId="1" fillId="0" borderId="6" xfId="0" applyNumberFormat="1" applyFont="1" applyBorder="1"/>
    <xf numFmtId="167" fontId="1" fillId="0" borderId="6" xfId="2" applyNumberFormat="1" applyFont="1" applyBorder="1"/>
    <xf numFmtId="9" fontId="1" fillId="0" borderId="6" xfId="2" applyFont="1" applyBorder="1"/>
    <xf numFmtId="0" fontId="14"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com.sharepoint.com/sites/NZTDepositforRecoveryPermit/Shared%20Documents/General/NZT%20Permit%20Application/Waste%20Recovery%20Plan/Appendix%20C%20Waste%20Volume%20Calculations.xlsx" TargetMode="External"/><Relationship Id="rId1" Type="http://schemas.openxmlformats.org/officeDocument/2006/relationships/externalLinkPath" Target="https://aecom.sharepoint.com/sites/NZTDepositforRecoveryPermit/Shared%20Documents/General/NZT%20Permit%20Application/Waste%20Recovery%20Plan/Appendix%20C%20Waste%20Volume%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Detailed Calc"/>
    </sheetNames>
    <sheetDataSet>
      <sheetData sheetId="0"/>
      <sheetData sheetId="1">
        <row r="32">
          <cell r="L32">
            <v>260543.2</v>
          </cell>
          <cell r="M32">
            <v>47199</v>
          </cell>
          <cell r="N32">
            <v>9889</v>
          </cell>
          <cell r="O32">
            <v>16975</v>
          </cell>
        </row>
        <row r="53">
          <cell r="D53">
            <v>81696</v>
          </cell>
        </row>
        <row r="63">
          <cell r="D63">
            <v>13951</v>
          </cell>
        </row>
        <row r="65">
          <cell r="L65">
            <v>84619</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F0DD-7B9C-437F-9F65-67612228CDDF}">
  <dimension ref="A1:D7"/>
  <sheetViews>
    <sheetView zoomScale="140" zoomScaleNormal="140" workbookViewId="0">
      <selection activeCell="C7" sqref="C7"/>
    </sheetView>
  </sheetViews>
  <sheetFormatPr defaultRowHeight="15" x14ac:dyDescent="0.25"/>
  <cols>
    <col min="1" max="1" width="26.85546875" bestFit="1" customWidth="1"/>
    <col min="2" max="4" width="18.5703125" customWidth="1"/>
  </cols>
  <sheetData>
    <row r="1" spans="1:4" x14ac:dyDescent="0.25">
      <c r="A1" s="1"/>
      <c r="B1" s="1"/>
    </row>
    <row r="2" spans="1:4" x14ac:dyDescent="0.25">
      <c r="A2" s="36"/>
      <c r="B2" s="52" t="s">
        <v>0</v>
      </c>
      <c r="C2" s="52" t="s">
        <v>163</v>
      </c>
      <c r="D2" s="95" t="s">
        <v>1</v>
      </c>
    </row>
    <row r="3" spans="1:4" x14ac:dyDescent="0.25">
      <c r="A3" s="25" t="s">
        <v>2</v>
      </c>
      <c r="B3" s="90">
        <f>'100% Re-use'!B22</f>
        <v>1174145.832612375</v>
      </c>
      <c r="C3" s="90">
        <f>'No Re-use'!B22</f>
        <v>2675097.3353343755</v>
      </c>
      <c r="D3" s="94">
        <f>C3-B3</f>
        <v>1500951.5027220005</v>
      </c>
    </row>
    <row r="4" spans="1:4" x14ac:dyDescent="0.25">
      <c r="A4" s="25" t="s">
        <v>3</v>
      </c>
      <c r="B4" s="90">
        <f>'100% Re-use'!B32</f>
        <v>35351484.020000003</v>
      </c>
      <c r="C4" s="90">
        <f>'No Re-use'!B32</f>
        <v>83014831.290000007</v>
      </c>
      <c r="D4" s="94">
        <f t="shared" ref="D4:D6" si="0">C4-B4</f>
        <v>47663347.270000003</v>
      </c>
    </row>
    <row r="5" spans="1:4" x14ac:dyDescent="0.25">
      <c r="A5" s="25" t="s">
        <v>4</v>
      </c>
      <c r="B5" s="90">
        <f>'100% Re-use'!B44</f>
        <v>9989752.5</v>
      </c>
      <c r="C5" s="90">
        <f>'No Re-use'!B44</f>
        <v>25712470.271249998</v>
      </c>
      <c r="D5" s="94">
        <f t="shared" si="0"/>
        <v>15722717.771249998</v>
      </c>
    </row>
    <row r="6" spans="1:4" x14ac:dyDescent="0.25">
      <c r="A6" s="25" t="s">
        <v>5</v>
      </c>
      <c r="B6" s="90">
        <f>'100% Re-use'!B52</f>
        <v>289157.83333333337</v>
      </c>
      <c r="C6" s="90">
        <v>0</v>
      </c>
      <c r="D6" s="94">
        <f t="shared" si="0"/>
        <v>-289157.83333333337</v>
      </c>
    </row>
    <row r="7" spans="1:4" x14ac:dyDescent="0.25">
      <c r="A7" s="91" t="s">
        <v>6</v>
      </c>
      <c r="B7" s="92">
        <f>SUM(B3:B6)</f>
        <v>46804540.185945712</v>
      </c>
      <c r="C7" s="92">
        <f>SUM(C3:C6)</f>
        <v>111402398.89658438</v>
      </c>
      <c r="D7" s="93">
        <f>SUM(D3:D6)</f>
        <v>64597858.710638665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717F-D01C-4FA1-85FD-CD5456266F69}">
  <dimension ref="A1:D54"/>
  <sheetViews>
    <sheetView tabSelected="1" workbookViewId="0">
      <selection activeCell="D5" sqref="D5"/>
    </sheetView>
  </sheetViews>
  <sheetFormatPr defaultRowHeight="15" x14ac:dyDescent="0.25"/>
  <cols>
    <col min="1" max="1" width="43.5703125" customWidth="1"/>
    <col min="2" max="2" width="18.5703125" bestFit="1" customWidth="1"/>
    <col min="3" max="3" width="11.42578125" customWidth="1"/>
    <col min="4" max="4" width="95.140625" customWidth="1"/>
    <col min="5" max="5" width="19.85546875" customWidth="1"/>
  </cols>
  <sheetData>
    <row r="1" spans="1:4" ht="21.75" thickBot="1" x14ac:dyDescent="0.35">
      <c r="A1" s="19" t="s">
        <v>7</v>
      </c>
      <c r="B1" s="50">
        <v>334605</v>
      </c>
      <c r="C1" s="51" t="s">
        <v>8</v>
      </c>
    </row>
    <row r="2" spans="1:4" ht="21.75" thickBot="1" x14ac:dyDescent="0.35">
      <c r="A2" s="19" t="s">
        <v>9</v>
      </c>
      <c r="B2" s="50">
        <v>192115</v>
      </c>
      <c r="C2" s="51" t="s">
        <v>8</v>
      </c>
    </row>
    <row r="3" spans="1:4" ht="15.75" thickBot="1" x14ac:dyDescent="0.3"/>
    <row r="4" spans="1:4" x14ac:dyDescent="0.25">
      <c r="A4" s="46" t="s">
        <v>10</v>
      </c>
      <c r="B4" s="47" t="s">
        <v>11</v>
      </c>
      <c r="C4" s="46" t="s">
        <v>12</v>
      </c>
      <c r="D4" s="46" t="s">
        <v>13</v>
      </c>
    </row>
    <row r="5" spans="1:4" ht="17.25" x14ac:dyDescent="0.25">
      <c r="A5" s="25" t="s">
        <v>14</v>
      </c>
      <c r="B5" s="22">
        <f>B1-B2</f>
        <v>142490</v>
      </c>
      <c r="C5" s="26" t="s">
        <v>15</v>
      </c>
      <c r="D5" s="25" t="s">
        <v>16</v>
      </c>
    </row>
    <row r="6" spans="1:4" x14ac:dyDescent="0.25">
      <c r="A6" s="25" t="s">
        <v>17</v>
      </c>
      <c r="B6" s="23">
        <v>1.7</v>
      </c>
      <c r="C6" s="25" t="s">
        <v>18</v>
      </c>
      <c r="D6" s="25" t="s">
        <v>19</v>
      </c>
    </row>
    <row r="7" spans="1:4" x14ac:dyDescent="0.25">
      <c r="A7" s="25" t="s">
        <v>20</v>
      </c>
      <c r="B7" s="27">
        <f>B5*B6</f>
        <v>242233</v>
      </c>
      <c r="C7" s="25" t="s">
        <v>18</v>
      </c>
      <c r="D7" s="25"/>
    </row>
    <row r="8" spans="1:4" x14ac:dyDescent="0.25">
      <c r="A8" s="25" t="s">
        <v>21</v>
      </c>
      <c r="B8" s="23">
        <v>20</v>
      </c>
      <c r="C8" s="25" t="s">
        <v>22</v>
      </c>
      <c r="D8" s="25" t="s">
        <v>162</v>
      </c>
    </row>
    <row r="9" spans="1:4" x14ac:dyDescent="0.25">
      <c r="A9" s="25" t="s">
        <v>23</v>
      </c>
      <c r="B9" s="28">
        <f>B7/B8</f>
        <v>12111.65</v>
      </c>
      <c r="C9" s="30"/>
      <c r="D9" s="25"/>
    </row>
    <row r="10" spans="1:4" x14ac:dyDescent="0.25">
      <c r="A10" s="25" t="s">
        <v>24</v>
      </c>
      <c r="B10" s="23">
        <v>2.5</v>
      </c>
      <c r="C10" s="25" t="s">
        <v>25</v>
      </c>
      <c r="D10" s="25" t="s">
        <v>26</v>
      </c>
    </row>
    <row r="11" spans="1:4" x14ac:dyDescent="0.25">
      <c r="A11" s="25" t="s">
        <v>27</v>
      </c>
      <c r="B11" s="24">
        <f>ROUND(8/B10,0)</f>
        <v>3</v>
      </c>
      <c r="C11" s="30"/>
      <c r="D11" s="25"/>
    </row>
    <row r="12" spans="1:4" x14ac:dyDescent="0.25">
      <c r="A12" s="25" t="s">
        <v>28</v>
      </c>
      <c r="B12" s="28">
        <f>B9/B11</f>
        <v>4037.2166666666667</v>
      </c>
      <c r="C12" s="25" t="s">
        <v>29</v>
      </c>
      <c r="D12" s="25"/>
    </row>
    <row r="13" spans="1:4" x14ac:dyDescent="0.25">
      <c r="A13" s="25" t="s">
        <v>30</v>
      </c>
      <c r="B13" s="29">
        <f>31.35*1.05</f>
        <v>32.917500000000004</v>
      </c>
      <c r="C13" s="30"/>
      <c r="D13" s="25" t="s">
        <v>31</v>
      </c>
    </row>
    <row r="14" spans="1:4" x14ac:dyDescent="0.25">
      <c r="A14" s="25" t="s">
        <v>32</v>
      </c>
      <c r="B14" s="31">
        <f>B13*8</f>
        <v>263.34000000000003</v>
      </c>
      <c r="C14" s="30"/>
      <c r="D14" s="25" t="s">
        <v>33</v>
      </c>
    </row>
    <row r="15" spans="1:4" x14ac:dyDescent="0.25">
      <c r="A15" s="25" t="s">
        <v>34</v>
      </c>
      <c r="B15" s="23">
        <v>32</v>
      </c>
      <c r="C15" s="30"/>
      <c r="D15" s="25" t="s">
        <v>35</v>
      </c>
    </row>
    <row r="16" spans="1:4" x14ac:dyDescent="0.25">
      <c r="A16" s="25" t="s">
        <v>36</v>
      </c>
      <c r="B16" s="23">
        <v>250</v>
      </c>
      <c r="C16" s="25" t="s">
        <v>29</v>
      </c>
      <c r="D16" s="25" t="s">
        <v>37</v>
      </c>
    </row>
    <row r="17" spans="1:4" x14ac:dyDescent="0.25">
      <c r="A17" s="25" t="s">
        <v>38</v>
      </c>
      <c r="B17" s="33">
        <f>B12/B15</f>
        <v>126.16302083333333</v>
      </c>
      <c r="C17" s="25" t="s">
        <v>29</v>
      </c>
      <c r="D17" s="25"/>
    </row>
    <row r="18" spans="1:4" x14ac:dyDescent="0.25">
      <c r="A18" s="25" t="s">
        <v>39</v>
      </c>
      <c r="B18" s="33">
        <f>B17/B16*365</f>
        <v>184.19801041666668</v>
      </c>
      <c r="C18" s="25" t="s">
        <v>29</v>
      </c>
      <c r="D18" s="25"/>
    </row>
    <row r="19" spans="1:4" x14ac:dyDescent="0.25">
      <c r="A19" s="25" t="s">
        <v>40</v>
      </c>
      <c r="B19" s="29">
        <f>71.73*1.05</f>
        <v>75.316500000000005</v>
      </c>
      <c r="C19" s="25" t="s">
        <v>41</v>
      </c>
      <c r="D19" s="25" t="s">
        <v>42</v>
      </c>
    </row>
    <row r="20" spans="1:4" x14ac:dyDescent="0.25">
      <c r="A20" s="25" t="s">
        <v>43</v>
      </c>
      <c r="B20" s="34">
        <f>B19*8</f>
        <v>602.53200000000004</v>
      </c>
      <c r="C20" s="25" t="s">
        <v>44</v>
      </c>
      <c r="D20" s="25"/>
    </row>
    <row r="21" spans="1:4" ht="15.75" thickBot="1" x14ac:dyDescent="0.3">
      <c r="A21" s="25" t="s">
        <v>45</v>
      </c>
      <c r="B21" s="34">
        <f>B20*B18</f>
        <v>110985.19561237501</v>
      </c>
      <c r="C21" s="25"/>
      <c r="D21" s="25"/>
    </row>
    <row r="22" spans="1:4" ht="16.5" thickBot="1" x14ac:dyDescent="0.3">
      <c r="A22" s="32" t="s">
        <v>46</v>
      </c>
      <c r="B22" s="48">
        <f>(B12*B14)+B21</f>
        <v>1174145.832612375</v>
      </c>
    </row>
    <row r="23" spans="1:4" ht="16.5" thickBot="1" x14ac:dyDescent="0.3">
      <c r="A23" s="35"/>
    </row>
    <row r="24" spans="1:4" s="19" customFormat="1" ht="19.5" thickBot="1" x14ac:dyDescent="0.35">
      <c r="A24" s="20"/>
      <c r="B24" s="37" t="s">
        <v>47</v>
      </c>
      <c r="C24" s="38">
        <v>0.1</v>
      </c>
    </row>
    <row r="25" spans="1:4" ht="15.75" thickBot="1" x14ac:dyDescent="0.3">
      <c r="B25" s="18"/>
    </row>
    <row r="26" spans="1:4" x14ac:dyDescent="0.25">
      <c r="A26" s="40" t="s">
        <v>3</v>
      </c>
      <c r="B26" s="41" t="s">
        <v>11</v>
      </c>
      <c r="C26" s="42" t="s">
        <v>12</v>
      </c>
      <c r="D26" s="43" t="s">
        <v>13</v>
      </c>
    </row>
    <row r="27" spans="1:4" x14ac:dyDescent="0.25">
      <c r="A27" s="25" t="s">
        <v>48</v>
      </c>
      <c r="B27" s="39">
        <f>B7*C24</f>
        <v>24223.300000000003</v>
      </c>
      <c r="C27" s="25" t="s">
        <v>22</v>
      </c>
      <c r="D27" s="25"/>
    </row>
    <row r="28" spans="1:4" x14ac:dyDescent="0.25">
      <c r="A28" s="25" t="s">
        <v>49</v>
      </c>
      <c r="B28" s="39">
        <f>B7-B27</f>
        <v>218009.7</v>
      </c>
      <c r="C28" s="25" t="s">
        <v>22</v>
      </c>
      <c r="D28" s="25"/>
    </row>
    <row r="29" spans="1:4" x14ac:dyDescent="0.25">
      <c r="A29" s="25" t="s">
        <v>50</v>
      </c>
      <c r="B29" s="29">
        <v>126.15</v>
      </c>
      <c r="C29" s="25" t="s">
        <v>51</v>
      </c>
      <c r="D29" s="25" t="s">
        <v>161</v>
      </c>
    </row>
    <row r="30" spans="1:4" x14ac:dyDescent="0.25">
      <c r="A30" s="25" t="s">
        <v>52</v>
      </c>
      <c r="B30" s="29">
        <v>4.05</v>
      </c>
      <c r="C30" s="25" t="s">
        <v>51</v>
      </c>
      <c r="D30" s="25" t="s">
        <v>161</v>
      </c>
    </row>
    <row r="31" spans="1:4" ht="15.75" thickBot="1" x14ac:dyDescent="0.3">
      <c r="A31" s="25" t="s">
        <v>53</v>
      </c>
      <c r="B31" s="81">
        <v>32</v>
      </c>
      <c r="C31" s="25" t="s">
        <v>51</v>
      </c>
      <c r="D31" s="25" t="s">
        <v>54</v>
      </c>
    </row>
    <row r="32" spans="1:4" ht="16.5" thickBot="1" x14ac:dyDescent="0.3">
      <c r="A32" s="32" t="s">
        <v>55</v>
      </c>
      <c r="B32" s="82">
        <f>(B7*B31)+(B28*B29)+(B27*B30)</f>
        <v>35351484.020000003</v>
      </c>
    </row>
    <row r="33" spans="1:4" ht="15.75" thickBot="1" x14ac:dyDescent="0.3">
      <c r="B33" s="14"/>
    </row>
    <row r="34" spans="1:4" x14ac:dyDescent="0.25">
      <c r="A34" s="44" t="s">
        <v>56</v>
      </c>
      <c r="B34" s="44" t="s">
        <v>11</v>
      </c>
      <c r="C34" s="44" t="s">
        <v>12</v>
      </c>
      <c r="D34" s="44" t="s">
        <v>13</v>
      </c>
    </row>
    <row r="35" spans="1:4" ht="17.25" x14ac:dyDescent="0.25">
      <c r="A35" s="25" t="s">
        <v>57</v>
      </c>
      <c r="B35" s="22">
        <f>B1-B2</f>
        <v>142490</v>
      </c>
      <c r="C35" s="26" t="s">
        <v>15</v>
      </c>
      <c r="D35" s="25"/>
    </row>
    <row r="36" spans="1:4" x14ac:dyDescent="0.25">
      <c r="A36" s="25" t="s">
        <v>58</v>
      </c>
      <c r="B36" s="22">
        <f>130000*1.7</f>
        <v>221000</v>
      </c>
      <c r="C36" s="26" t="s">
        <v>22</v>
      </c>
      <c r="D36" s="25"/>
    </row>
    <row r="37" spans="1:4" x14ac:dyDescent="0.25">
      <c r="A37" s="25" t="s">
        <v>59</v>
      </c>
      <c r="B37" s="45">
        <f>38.87*1.05</f>
        <v>40.813499999999998</v>
      </c>
      <c r="C37" s="25" t="s">
        <v>51</v>
      </c>
      <c r="D37" s="25"/>
    </row>
    <row r="38" spans="1:4" x14ac:dyDescent="0.25">
      <c r="A38" s="25" t="s">
        <v>60</v>
      </c>
      <c r="B38" s="28">
        <f>B36/B8</f>
        <v>11050</v>
      </c>
      <c r="C38" s="25"/>
      <c r="D38" s="25"/>
    </row>
    <row r="39" spans="1:4" x14ac:dyDescent="0.25">
      <c r="A39" s="25" t="s">
        <v>27</v>
      </c>
      <c r="B39" s="49">
        <v>3</v>
      </c>
      <c r="C39" s="25" t="s">
        <v>44</v>
      </c>
      <c r="D39" s="25"/>
    </row>
    <row r="40" spans="1:4" x14ac:dyDescent="0.25">
      <c r="A40" s="25" t="s">
        <v>61</v>
      </c>
      <c r="B40" s="33">
        <f>B38/3</f>
        <v>3683.3333333333335</v>
      </c>
      <c r="C40" s="25"/>
      <c r="D40" s="25"/>
    </row>
    <row r="41" spans="1:4" x14ac:dyDescent="0.25">
      <c r="A41" s="25" t="s">
        <v>62</v>
      </c>
      <c r="B41" s="23">
        <v>20</v>
      </c>
      <c r="C41" s="25" t="s">
        <v>44</v>
      </c>
      <c r="D41" s="25"/>
    </row>
    <row r="42" spans="1:4" x14ac:dyDescent="0.25">
      <c r="A42" s="25" t="s">
        <v>63</v>
      </c>
      <c r="B42" s="39">
        <f>B40/B41</f>
        <v>184.16666666666669</v>
      </c>
      <c r="C42" s="25"/>
      <c r="D42" s="25"/>
    </row>
    <row r="43" spans="1:4" ht="15.75" thickBot="1" x14ac:dyDescent="0.3">
      <c r="A43" s="25" t="s">
        <v>45</v>
      </c>
      <c r="B43" s="83">
        <f>B42*B20</f>
        <v>110966.31000000001</v>
      </c>
      <c r="C43" s="25"/>
      <c r="D43" s="25"/>
    </row>
    <row r="44" spans="1:4" ht="16.5" thickBot="1" x14ac:dyDescent="0.3">
      <c r="A44" s="32" t="s">
        <v>64</v>
      </c>
      <c r="B44" s="84">
        <f>B36*B37+(B40*B14)</f>
        <v>9989752.5</v>
      </c>
    </row>
    <row r="45" spans="1:4" ht="15.75" thickBot="1" x14ac:dyDescent="0.3"/>
    <row r="46" spans="1:4" x14ac:dyDescent="0.25">
      <c r="A46" s="53" t="s">
        <v>5</v>
      </c>
      <c r="B46" s="54" t="s">
        <v>11</v>
      </c>
      <c r="C46" s="54" t="s">
        <v>12</v>
      </c>
      <c r="D46" s="55" t="s">
        <v>13</v>
      </c>
    </row>
    <row r="47" spans="1:4" x14ac:dyDescent="0.25">
      <c r="A47" s="25" t="s">
        <v>65</v>
      </c>
      <c r="B47" s="86">
        <f>50000+1231+9207+5524+20000+(5166*4)</f>
        <v>106626</v>
      </c>
      <c r="C47" s="25"/>
      <c r="D47" s="25" t="s">
        <v>66</v>
      </c>
    </row>
    <row r="48" spans="1:4" x14ac:dyDescent="0.25">
      <c r="A48" s="25" t="s">
        <v>67</v>
      </c>
      <c r="B48" s="85">
        <v>500</v>
      </c>
      <c r="C48" s="25" t="s">
        <v>68</v>
      </c>
      <c r="D48" s="25"/>
    </row>
    <row r="49" spans="1:4" x14ac:dyDescent="0.25">
      <c r="A49" s="25" t="s">
        <v>69</v>
      </c>
      <c r="B49" s="87">
        <f>((B2*B6)/1500)*B48</f>
        <v>108865.16666666667</v>
      </c>
      <c r="C49" s="25"/>
      <c r="D49" s="25" t="s">
        <v>70</v>
      </c>
    </row>
    <row r="50" spans="1:4" x14ac:dyDescent="0.25">
      <c r="A50" s="25" t="s">
        <v>71</v>
      </c>
      <c r="B50" s="85">
        <v>400</v>
      </c>
      <c r="C50" s="25" t="s">
        <v>72</v>
      </c>
      <c r="D50" s="25" t="s">
        <v>73</v>
      </c>
    </row>
    <row r="51" spans="1:4" ht="15.75" thickBot="1" x14ac:dyDescent="0.3">
      <c r="A51" s="25"/>
      <c r="B51" s="88">
        <f>B42*B50</f>
        <v>73666.666666666672</v>
      </c>
      <c r="C51" s="25"/>
      <c r="D51" s="25"/>
    </row>
    <row r="52" spans="1:4" ht="16.5" thickBot="1" x14ac:dyDescent="0.3">
      <c r="A52" s="35" t="s">
        <v>74</v>
      </c>
      <c r="B52" s="89">
        <f>SUM(B47,B49,B51)</f>
        <v>289157.83333333337</v>
      </c>
    </row>
    <row r="53" spans="1:4" ht="15.75" thickBot="1" x14ac:dyDescent="0.3"/>
    <row r="54" spans="1:4" ht="19.5" thickBot="1" x14ac:dyDescent="0.35">
      <c r="A54" s="20" t="s">
        <v>6</v>
      </c>
      <c r="B54" s="21">
        <f>B22+B32+B44+B52</f>
        <v>46804540.185945712</v>
      </c>
    </row>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8B8C-8762-4AC3-8C5C-DD33BDA9D60D}">
  <dimension ref="A1:D52"/>
  <sheetViews>
    <sheetView zoomScaleNormal="100" workbookViewId="0">
      <selection activeCell="B48" sqref="B48"/>
    </sheetView>
  </sheetViews>
  <sheetFormatPr defaultRowHeight="15" x14ac:dyDescent="0.25"/>
  <cols>
    <col min="1" max="1" width="43.5703125" customWidth="1"/>
    <col min="2" max="2" width="21.28515625" customWidth="1"/>
    <col min="3" max="3" width="11.42578125" customWidth="1"/>
    <col min="4" max="4" width="95.140625" customWidth="1"/>
    <col min="5" max="5" width="19.85546875" customWidth="1"/>
  </cols>
  <sheetData>
    <row r="1" spans="1:4" ht="21.75" thickBot="1" x14ac:dyDescent="0.35">
      <c r="A1" s="19" t="s">
        <v>7</v>
      </c>
      <c r="B1" s="50">
        <v>334605</v>
      </c>
      <c r="C1" s="51" t="s">
        <v>8</v>
      </c>
    </row>
    <row r="2" spans="1:4" ht="21.75" thickBot="1" x14ac:dyDescent="0.35">
      <c r="A2" s="19" t="s">
        <v>75</v>
      </c>
      <c r="B2" s="50">
        <v>0</v>
      </c>
      <c r="C2" s="51" t="s">
        <v>8</v>
      </c>
    </row>
    <row r="3" spans="1:4" ht="15.75" thickBot="1" x14ac:dyDescent="0.3"/>
    <row r="4" spans="1:4" x14ac:dyDescent="0.25">
      <c r="A4" s="46" t="s">
        <v>10</v>
      </c>
      <c r="B4" s="47" t="s">
        <v>76</v>
      </c>
      <c r="C4" s="46" t="s">
        <v>12</v>
      </c>
      <c r="D4" s="46" t="s">
        <v>13</v>
      </c>
    </row>
    <row r="5" spans="1:4" ht="17.25" x14ac:dyDescent="0.25">
      <c r="A5" s="25" t="s">
        <v>14</v>
      </c>
      <c r="B5" s="22">
        <f>B1</f>
        <v>334605</v>
      </c>
      <c r="C5" s="26" t="s">
        <v>15</v>
      </c>
      <c r="D5" s="25" t="s">
        <v>168</v>
      </c>
    </row>
    <row r="6" spans="1:4" x14ac:dyDescent="0.25">
      <c r="A6" s="25" t="s">
        <v>17</v>
      </c>
      <c r="B6" s="23">
        <v>1.7</v>
      </c>
      <c r="C6" s="25" t="s">
        <v>18</v>
      </c>
      <c r="D6" s="25" t="s">
        <v>19</v>
      </c>
    </row>
    <row r="7" spans="1:4" x14ac:dyDescent="0.25">
      <c r="A7" s="25" t="s">
        <v>20</v>
      </c>
      <c r="B7" s="27">
        <f>B5*B6</f>
        <v>568828.5</v>
      </c>
      <c r="C7" s="25" t="s">
        <v>18</v>
      </c>
      <c r="D7" s="25"/>
    </row>
    <row r="8" spans="1:4" x14ac:dyDescent="0.25">
      <c r="A8" s="25" t="s">
        <v>21</v>
      </c>
      <c r="B8" s="23">
        <v>20</v>
      </c>
      <c r="C8" s="25" t="s">
        <v>22</v>
      </c>
      <c r="D8" s="25" t="s">
        <v>162</v>
      </c>
    </row>
    <row r="9" spans="1:4" x14ac:dyDescent="0.25">
      <c r="A9" s="25" t="s">
        <v>23</v>
      </c>
      <c r="B9" s="28">
        <f>B7/B8</f>
        <v>28441.424999999999</v>
      </c>
      <c r="C9" s="30"/>
      <c r="D9" s="25"/>
    </row>
    <row r="10" spans="1:4" x14ac:dyDescent="0.25">
      <c r="A10" s="25" t="s">
        <v>24</v>
      </c>
      <c r="B10" s="23">
        <v>2.5</v>
      </c>
      <c r="C10" s="25" t="s">
        <v>25</v>
      </c>
      <c r="D10" s="25" t="s">
        <v>26</v>
      </c>
    </row>
    <row r="11" spans="1:4" x14ac:dyDescent="0.25">
      <c r="A11" s="25" t="s">
        <v>27</v>
      </c>
      <c r="B11" s="24">
        <f>ROUND(8/B10,0)</f>
        <v>3</v>
      </c>
      <c r="C11" s="30"/>
      <c r="D11" s="25"/>
    </row>
    <row r="12" spans="1:4" x14ac:dyDescent="0.25">
      <c r="A12" s="25" t="s">
        <v>28</v>
      </c>
      <c r="B12" s="28">
        <f>B9/B11</f>
        <v>9480.4750000000004</v>
      </c>
      <c r="C12" s="25" t="s">
        <v>29</v>
      </c>
      <c r="D12" s="25"/>
    </row>
    <row r="13" spans="1:4" x14ac:dyDescent="0.25">
      <c r="A13" s="25" t="s">
        <v>30</v>
      </c>
      <c r="B13" s="29">
        <f>31.35*1.05</f>
        <v>32.917500000000004</v>
      </c>
      <c r="C13" s="30"/>
      <c r="D13" s="25" t="s">
        <v>31</v>
      </c>
    </row>
    <row r="14" spans="1:4" x14ac:dyDescent="0.25">
      <c r="A14" s="25" t="s">
        <v>32</v>
      </c>
      <c r="B14" s="31">
        <f>B13*8</f>
        <v>263.34000000000003</v>
      </c>
      <c r="C14" s="30"/>
      <c r="D14" s="25" t="s">
        <v>33</v>
      </c>
    </row>
    <row r="15" spans="1:4" x14ac:dyDescent="0.25">
      <c r="A15" s="25" t="s">
        <v>34</v>
      </c>
      <c r="B15" s="23">
        <v>32</v>
      </c>
      <c r="C15" s="30"/>
      <c r="D15" s="25" t="s">
        <v>35</v>
      </c>
    </row>
    <row r="16" spans="1:4" x14ac:dyDescent="0.25">
      <c r="A16" s="25" t="s">
        <v>36</v>
      </c>
      <c r="B16" s="23">
        <v>250</v>
      </c>
      <c r="C16" s="25" t="s">
        <v>29</v>
      </c>
      <c r="D16" s="25" t="s">
        <v>37</v>
      </c>
    </row>
    <row r="17" spans="1:4" x14ac:dyDescent="0.25">
      <c r="A17" s="25" t="s">
        <v>38</v>
      </c>
      <c r="B17" s="33">
        <f>B12/B15</f>
        <v>296.26484375000001</v>
      </c>
      <c r="C17" s="25" t="s">
        <v>29</v>
      </c>
      <c r="D17" s="25"/>
    </row>
    <row r="18" spans="1:4" x14ac:dyDescent="0.25">
      <c r="A18" s="25" t="s">
        <v>39</v>
      </c>
      <c r="B18" s="33">
        <f>B17/B16*365</f>
        <v>432.54667187500002</v>
      </c>
      <c r="C18" s="25" t="s">
        <v>29</v>
      </c>
      <c r="D18" s="25"/>
    </row>
    <row r="19" spans="1:4" x14ac:dyDescent="0.25">
      <c r="A19" s="25" t="s">
        <v>40</v>
      </c>
      <c r="B19" s="29">
        <f>71.73*1.05</f>
        <v>75.316500000000005</v>
      </c>
      <c r="C19" s="25" t="s">
        <v>77</v>
      </c>
      <c r="D19" s="25" t="s">
        <v>42</v>
      </c>
    </row>
    <row r="20" spans="1:4" x14ac:dyDescent="0.25">
      <c r="A20" s="25" t="s">
        <v>43</v>
      </c>
      <c r="B20" s="34">
        <f>B19*8</f>
        <v>602.53200000000004</v>
      </c>
      <c r="C20" s="25" t="s">
        <v>44</v>
      </c>
      <c r="D20" s="25"/>
    </row>
    <row r="21" spans="1:4" ht="15.75" thickBot="1" x14ac:dyDescent="0.3">
      <c r="A21" s="25" t="s">
        <v>45</v>
      </c>
      <c r="B21" s="34">
        <f>B20*B17</f>
        <v>178509.04883437502</v>
      </c>
      <c r="C21" s="30"/>
      <c r="D21" s="25"/>
    </row>
    <row r="22" spans="1:4" ht="16.5" thickBot="1" x14ac:dyDescent="0.3">
      <c r="A22" s="32" t="s">
        <v>78</v>
      </c>
      <c r="B22" s="48">
        <f>(B12*B14)+B21</f>
        <v>2675097.3353343755</v>
      </c>
    </row>
    <row r="23" spans="1:4" ht="16.5" thickBot="1" x14ac:dyDescent="0.3">
      <c r="A23" s="35"/>
      <c r="D23">
        <v>126.15</v>
      </c>
    </row>
    <row r="24" spans="1:4" s="19" customFormat="1" ht="19.5" thickBot="1" x14ac:dyDescent="0.35">
      <c r="A24" s="20"/>
      <c r="B24" s="37" t="s">
        <v>47</v>
      </c>
      <c r="C24" s="38">
        <v>0.1</v>
      </c>
    </row>
    <row r="25" spans="1:4" ht="15.75" thickBot="1" x14ac:dyDescent="0.3">
      <c r="B25" s="18"/>
    </row>
    <row r="26" spans="1:4" x14ac:dyDescent="0.25">
      <c r="A26" s="40" t="s">
        <v>3</v>
      </c>
      <c r="B26" s="41" t="s">
        <v>76</v>
      </c>
      <c r="C26" s="42" t="s">
        <v>12</v>
      </c>
      <c r="D26" s="43" t="s">
        <v>13</v>
      </c>
    </row>
    <row r="27" spans="1:4" x14ac:dyDescent="0.25">
      <c r="A27" s="25" t="s">
        <v>48</v>
      </c>
      <c r="B27" s="39">
        <f>((B1-B2)*B6)*$C$24</f>
        <v>56882.850000000006</v>
      </c>
      <c r="C27" s="25" t="s">
        <v>22</v>
      </c>
      <c r="D27" s="25"/>
    </row>
    <row r="28" spans="1:4" x14ac:dyDescent="0.25">
      <c r="A28" s="25" t="s">
        <v>49</v>
      </c>
      <c r="B28" s="39">
        <f>B7-B27</f>
        <v>511945.65</v>
      </c>
      <c r="C28" s="25" t="s">
        <v>22</v>
      </c>
      <c r="D28" s="25"/>
    </row>
    <row r="29" spans="1:4" x14ac:dyDescent="0.25">
      <c r="A29" s="25" t="s">
        <v>50</v>
      </c>
      <c r="B29" s="29">
        <v>126.15</v>
      </c>
      <c r="C29" s="25" t="s">
        <v>51</v>
      </c>
      <c r="D29" s="25" t="s">
        <v>161</v>
      </c>
    </row>
    <row r="30" spans="1:4" x14ac:dyDescent="0.25">
      <c r="A30" s="25" t="s">
        <v>52</v>
      </c>
      <c r="B30" s="29">
        <v>4.05</v>
      </c>
      <c r="C30" s="25" t="s">
        <v>51</v>
      </c>
      <c r="D30" s="25" t="s">
        <v>161</v>
      </c>
    </row>
    <row r="31" spans="1:4" ht="15.75" thickBot="1" x14ac:dyDescent="0.3">
      <c r="A31" s="25" t="s">
        <v>53</v>
      </c>
      <c r="B31" s="81">
        <v>32</v>
      </c>
      <c r="C31" s="25" t="s">
        <v>51</v>
      </c>
      <c r="D31" s="25" t="s">
        <v>54</v>
      </c>
    </row>
    <row r="32" spans="1:4" ht="16.5" thickBot="1" x14ac:dyDescent="0.3">
      <c r="A32" s="32" t="s">
        <v>79</v>
      </c>
      <c r="B32" s="82">
        <f>(B7*B31)+(B28*B29)+(B27*B30)</f>
        <v>83014831.290000007</v>
      </c>
    </row>
    <row r="33" spans="1:4" ht="15.75" thickBot="1" x14ac:dyDescent="0.3">
      <c r="B33" s="14"/>
    </row>
    <row r="34" spans="1:4" x14ac:dyDescent="0.25">
      <c r="A34" s="44" t="s">
        <v>56</v>
      </c>
      <c r="B34" s="44" t="s">
        <v>76</v>
      </c>
      <c r="C34" s="44" t="s">
        <v>12</v>
      </c>
      <c r="D34" s="44" t="s">
        <v>13</v>
      </c>
    </row>
    <row r="35" spans="1:4" ht="17.25" x14ac:dyDescent="0.25">
      <c r="A35" s="25" t="s">
        <v>57</v>
      </c>
      <c r="B35" s="22">
        <f>B1-B2</f>
        <v>334605</v>
      </c>
      <c r="C35" s="26" t="s">
        <v>15</v>
      </c>
      <c r="D35" s="25"/>
    </row>
    <row r="36" spans="1:4" x14ac:dyDescent="0.25">
      <c r="A36" s="25" t="s">
        <v>58</v>
      </c>
      <c r="B36" s="22">
        <f>B35*1.7</f>
        <v>568828.5</v>
      </c>
      <c r="C36" s="26" t="s">
        <v>22</v>
      </c>
      <c r="D36" s="25"/>
    </row>
    <row r="37" spans="1:4" x14ac:dyDescent="0.25">
      <c r="A37" s="25" t="s">
        <v>59</v>
      </c>
      <c r="B37" s="45">
        <f>38.87*1.05</f>
        <v>40.813499999999998</v>
      </c>
      <c r="C37" s="25" t="s">
        <v>51</v>
      </c>
      <c r="D37" s="25"/>
    </row>
    <row r="38" spans="1:4" x14ac:dyDescent="0.25">
      <c r="A38" s="25" t="s">
        <v>60</v>
      </c>
      <c r="B38" s="28">
        <f>B36/B8</f>
        <v>28441.424999999999</v>
      </c>
      <c r="C38" s="25"/>
      <c r="D38" s="25"/>
    </row>
    <row r="39" spans="1:4" x14ac:dyDescent="0.25">
      <c r="A39" s="25" t="s">
        <v>27</v>
      </c>
      <c r="B39" s="49">
        <v>3</v>
      </c>
      <c r="C39" s="25" t="s">
        <v>44</v>
      </c>
      <c r="D39" s="25"/>
    </row>
    <row r="40" spans="1:4" x14ac:dyDescent="0.25">
      <c r="A40" s="25" t="s">
        <v>61</v>
      </c>
      <c r="B40" s="33">
        <f>B38/3</f>
        <v>9480.4750000000004</v>
      </c>
      <c r="C40" s="25"/>
      <c r="D40" s="25"/>
    </row>
    <row r="41" spans="1:4" x14ac:dyDescent="0.25">
      <c r="A41" s="25" t="s">
        <v>62</v>
      </c>
      <c r="B41" s="23">
        <v>20</v>
      </c>
      <c r="C41" s="25" t="s">
        <v>44</v>
      </c>
      <c r="D41" s="25"/>
    </row>
    <row r="42" spans="1:4" x14ac:dyDescent="0.25">
      <c r="A42" s="25" t="s">
        <v>63</v>
      </c>
      <c r="B42" s="39">
        <f>B40/B41</f>
        <v>474.02375000000001</v>
      </c>
      <c r="C42" s="25"/>
      <c r="D42" s="25"/>
    </row>
    <row r="43" spans="1:4" ht="15.75" thickBot="1" x14ac:dyDescent="0.3">
      <c r="A43" s="25" t="s">
        <v>45</v>
      </c>
      <c r="B43" s="83">
        <f>B42*B20</f>
        <v>285614.47813500004</v>
      </c>
      <c r="C43" s="25"/>
      <c r="D43" s="25"/>
    </row>
    <row r="44" spans="1:4" ht="16.5" thickBot="1" x14ac:dyDescent="0.3">
      <c r="A44" s="32" t="s">
        <v>80</v>
      </c>
      <c r="B44" s="84">
        <f>B36*B37+(B40*B14)</f>
        <v>25712470.271249998</v>
      </c>
    </row>
    <row r="45" spans="1:4" ht="15.75" thickBot="1" x14ac:dyDescent="0.3"/>
    <row r="46" spans="1:4" ht="19.5" thickBot="1" x14ac:dyDescent="0.35">
      <c r="A46" s="20" t="s">
        <v>6</v>
      </c>
      <c r="B46" s="21">
        <f>B22+B32+B44</f>
        <v>111402398.89658438</v>
      </c>
    </row>
    <row r="49" spans="1:2" x14ac:dyDescent="0.25">
      <c r="A49" s="52" t="s">
        <v>164</v>
      </c>
      <c r="B49" s="96">
        <f>B46/4141900000</f>
        <v>2.6896448223420261E-2</v>
      </c>
    </row>
    <row r="50" spans="1:2" x14ac:dyDescent="0.25">
      <c r="A50" s="52" t="s">
        <v>165</v>
      </c>
      <c r="B50" s="96">
        <f>B46/490000000</f>
        <v>0.22735183448282525</v>
      </c>
    </row>
    <row r="51" spans="1:2" x14ac:dyDescent="0.25">
      <c r="A51" s="52" t="s">
        <v>166</v>
      </c>
      <c r="B51" s="97">
        <f>B46/7320200000</f>
        <v>1.5218491147316245E-2</v>
      </c>
    </row>
    <row r="52" spans="1:2" x14ac:dyDescent="0.25">
      <c r="A52" s="52" t="s">
        <v>167</v>
      </c>
      <c r="B52" s="98">
        <f>B46/1360300000</f>
        <v>8.1895463424674242E-2</v>
      </c>
    </row>
  </sheetData>
  <phoneticPr fontId="1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3FB2-8ED7-4CB4-A6FF-D0C657F30D54}">
  <dimension ref="A1:N44"/>
  <sheetViews>
    <sheetView topLeftCell="A15" zoomScale="115" zoomScaleNormal="115" workbookViewId="0">
      <selection activeCell="F18" sqref="F18"/>
    </sheetView>
  </sheetViews>
  <sheetFormatPr defaultRowHeight="15" x14ac:dyDescent="0.25"/>
  <cols>
    <col min="1" max="1" width="28.140625" customWidth="1"/>
    <col min="2" max="2" width="16.7109375" customWidth="1"/>
    <col min="3" max="3" width="17.5703125" customWidth="1"/>
    <col min="4" max="4" width="16.7109375" customWidth="1"/>
    <col min="5" max="5" width="14.140625" customWidth="1"/>
    <col min="6" max="6" width="21.140625" customWidth="1"/>
    <col min="9" max="9" width="16.7109375" bestFit="1" customWidth="1"/>
    <col min="14" max="14" width="13.42578125" bestFit="1" customWidth="1"/>
  </cols>
  <sheetData>
    <row r="1" spans="1:9" x14ac:dyDescent="0.25">
      <c r="A1" s="1" t="s">
        <v>81</v>
      </c>
      <c r="D1" s="1" t="s">
        <v>82</v>
      </c>
      <c r="F1" s="1" t="s">
        <v>83</v>
      </c>
    </row>
    <row r="2" spans="1:9" x14ac:dyDescent="0.25">
      <c r="A2" t="s">
        <v>84</v>
      </c>
      <c r="B2">
        <v>155</v>
      </c>
      <c r="C2" t="s">
        <v>85</v>
      </c>
      <c r="D2">
        <v>155</v>
      </c>
      <c r="E2" t="s">
        <v>85</v>
      </c>
      <c r="F2">
        <v>155</v>
      </c>
      <c r="G2" t="s">
        <v>85</v>
      </c>
    </row>
    <row r="3" spans="1:9" x14ac:dyDescent="0.25">
      <c r="A3" t="s">
        <v>86</v>
      </c>
      <c r="B3">
        <v>50</v>
      </c>
      <c r="C3" t="s">
        <v>87</v>
      </c>
      <c r="D3">
        <v>50</v>
      </c>
      <c r="E3" t="s">
        <v>87</v>
      </c>
      <c r="F3">
        <v>50</v>
      </c>
      <c r="G3" t="s">
        <v>87</v>
      </c>
    </row>
    <row r="5" spans="1:9" x14ac:dyDescent="0.25">
      <c r="A5" t="s">
        <v>88</v>
      </c>
      <c r="B5">
        <v>0</v>
      </c>
      <c r="C5" t="s">
        <v>89</v>
      </c>
      <c r="D5">
        <f>84619+107496</f>
        <v>192115</v>
      </c>
      <c r="E5" t="s">
        <v>89</v>
      </c>
      <c r="F5">
        <f>84619</f>
        <v>84619</v>
      </c>
      <c r="G5" t="s">
        <v>89</v>
      </c>
      <c r="I5">
        <f>F5/D5</f>
        <v>0.44046014106134346</v>
      </c>
    </row>
    <row r="6" spans="1:9" x14ac:dyDescent="0.25">
      <c r="A6" t="s">
        <v>88</v>
      </c>
      <c r="B6">
        <v>0</v>
      </c>
      <c r="C6" t="s">
        <v>90</v>
      </c>
      <c r="D6">
        <f>152315+193493</f>
        <v>345808</v>
      </c>
      <c r="E6" t="s">
        <v>90</v>
      </c>
      <c r="F6">
        <v>152315</v>
      </c>
      <c r="G6" t="s">
        <v>90</v>
      </c>
    </row>
    <row r="7" spans="1:9" x14ac:dyDescent="0.25">
      <c r="A7" t="s">
        <v>91</v>
      </c>
      <c r="B7">
        <v>345808</v>
      </c>
      <c r="C7" t="s">
        <v>90</v>
      </c>
      <c r="D7">
        <v>0</v>
      </c>
      <c r="E7" t="s">
        <v>90</v>
      </c>
      <c r="F7">
        <v>193493</v>
      </c>
      <c r="G7" t="s">
        <v>90</v>
      </c>
    </row>
    <row r="8" spans="1:9" x14ac:dyDescent="0.25">
      <c r="A8" t="s">
        <v>92</v>
      </c>
      <c r="B8">
        <v>334606</v>
      </c>
      <c r="C8" t="s">
        <v>89</v>
      </c>
      <c r="D8">
        <v>142491</v>
      </c>
      <c r="E8" t="s">
        <v>89</v>
      </c>
      <c r="F8">
        <v>249987</v>
      </c>
      <c r="G8" t="s">
        <v>89</v>
      </c>
    </row>
    <row r="9" spans="1:9" x14ac:dyDescent="0.25">
      <c r="A9" t="s">
        <v>93</v>
      </c>
      <c r="B9" s="2">
        <f>B8*1.8</f>
        <v>602290.80000000005</v>
      </c>
      <c r="C9" t="s">
        <v>90</v>
      </c>
      <c r="D9" s="2">
        <f>D8*1.8</f>
        <v>256483.80000000002</v>
      </c>
      <c r="F9" s="2">
        <f>F8*1.8</f>
        <v>449976.60000000003</v>
      </c>
    </row>
    <row r="10" spans="1:9" x14ac:dyDescent="0.25">
      <c r="A10" t="s">
        <v>94</v>
      </c>
      <c r="B10">
        <v>10</v>
      </c>
      <c r="C10" t="s">
        <v>89</v>
      </c>
      <c r="D10">
        <v>10</v>
      </c>
      <c r="E10" t="s">
        <v>89</v>
      </c>
      <c r="F10">
        <v>10</v>
      </c>
      <c r="G10" t="s">
        <v>89</v>
      </c>
    </row>
    <row r="11" spans="1:9" x14ac:dyDescent="0.25">
      <c r="A11" t="s">
        <v>95</v>
      </c>
      <c r="B11" s="2">
        <f>B9/20</f>
        <v>30114.54</v>
      </c>
      <c r="C11" s="2"/>
      <c r="D11" s="2">
        <f>D9/20</f>
        <v>12824.19</v>
      </c>
      <c r="E11" s="2"/>
      <c r="F11" s="2">
        <f>F9/20</f>
        <v>22498.83</v>
      </c>
    </row>
    <row r="12" spans="1:9" x14ac:dyDescent="0.25">
      <c r="A12" t="s">
        <v>96</v>
      </c>
      <c r="B12" s="2">
        <f>B7/20</f>
        <v>17290.400000000001</v>
      </c>
      <c r="C12" s="2"/>
      <c r="D12" s="2">
        <f>D7/20</f>
        <v>0</v>
      </c>
      <c r="E12" s="2"/>
      <c r="F12" s="2">
        <f>F7/20</f>
        <v>9674.65</v>
      </c>
    </row>
    <row r="13" spans="1:9" x14ac:dyDescent="0.25">
      <c r="A13" t="s">
        <v>97</v>
      </c>
      <c r="B13" s="2">
        <v>500</v>
      </c>
      <c r="C13" s="2" t="s">
        <v>98</v>
      </c>
      <c r="D13" s="2">
        <v>500</v>
      </c>
      <c r="E13" s="2" t="s">
        <v>98</v>
      </c>
      <c r="F13" s="2">
        <v>500</v>
      </c>
      <c r="G13" s="2" t="s">
        <v>98</v>
      </c>
    </row>
    <row r="14" spans="1:9" x14ac:dyDescent="0.25">
      <c r="A14" t="s">
        <v>99</v>
      </c>
      <c r="B14" s="2">
        <v>350</v>
      </c>
      <c r="C14" s="2" t="s">
        <v>100</v>
      </c>
      <c r="D14" s="2">
        <v>350</v>
      </c>
      <c r="E14" s="2" t="s">
        <v>100</v>
      </c>
      <c r="F14" s="2">
        <v>350</v>
      </c>
      <c r="G14" s="2" t="s">
        <v>100</v>
      </c>
    </row>
    <row r="15" spans="1:9" ht="15.75" thickBot="1" x14ac:dyDescent="0.3"/>
    <row r="16" spans="1:9" ht="15.75" thickBot="1" x14ac:dyDescent="0.3">
      <c r="A16" s="3"/>
      <c r="B16" s="4" t="s">
        <v>101</v>
      </c>
      <c r="C16" s="4" t="s">
        <v>102</v>
      </c>
      <c r="D16" s="5" t="s">
        <v>103</v>
      </c>
    </row>
    <row r="17" spans="1:14" ht="15.75" thickBot="1" x14ac:dyDescent="0.3">
      <c r="A17" s="6" t="s">
        <v>104</v>
      </c>
      <c r="B17" s="7">
        <f>B7*B3</f>
        <v>17290400</v>
      </c>
      <c r="C17" s="7">
        <f>D7*D3</f>
        <v>0</v>
      </c>
      <c r="D17" s="7">
        <f>F7*F3</f>
        <v>9674650</v>
      </c>
      <c r="F17" s="2"/>
    </row>
    <row r="18" spans="1:14" ht="15.75" thickBot="1" x14ac:dyDescent="0.3">
      <c r="A18" s="6" t="s">
        <v>105</v>
      </c>
      <c r="B18" s="7">
        <f>B5*B10</f>
        <v>0</v>
      </c>
      <c r="C18" s="7">
        <f>D5*D10</f>
        <v>1921150</v>
      </c>
      <c r="D18" s="7">
        <f>F5*F10</f>
        <v>846190</v>
      </c>
    </row>
    <row r="19" spans="1:14" ht="15.75" thickBot="1" x14ac:dyDescent="0.3">
      <c r="A19" s="6" t="s">
        <v>106</v>
      </c>
      <c r="B19" s="7">
        <f>B8*B2</f>
        <v>51863930</v>
      </c>
      <c r="C19" s="7">
        <f>D8*D2</f>
        <v>22086105</v>
      </c>
      <c r="D19" s="7">
        <f>F8*F2</f>
        <v>38747985</v>
      </c>
    </row>
    <row r="20" spans="1:14" ht="27.75" thickBot="1" x14ac:dyDescent="0.3">
      <c r="A20" s="3" t="s">
        <v>107</v>
      </c>
      <c r="B20" s="7">
        <v>0</v>
      </c>
      <c r="C20" s="7">
        <f>50000+1231+9207+5524+20000+(5166*4)</f>
        <v>106626</v>
      </c>
      <c r="D20" s="7">
        <f>50000+1231+9207+5524+20000+(5166*4)</f>
        <v>106626</v>
      </c>
    </row>
    <row r="21" spans="1:14" ht="15.75" thickBot="1" x14ac:dyDescent="0.3">
      <c r="A21" s="6" t="s">
        <v>108</v>
      </c>
      <c r="B21" s="7">
        <f>(B6/1500)*B13</f>
        <v>0</v>
      </c>
      <c r="C21" s="7">
        <f>(D6/1500)*D13</f>
        <v>115269.33333333333</v>
      </c>
      <c r="D21" s="7">
        <f>(F6/1500)*F13</f>
        <v>50771.666666666672</v>
      </c>
      <c r="G21">
        <f>33.95*1.8</f>
        <v>61.110000000000007</v>
      </c>
    </row>
    <row r="22" spans="1:14" ht="27.75" thickBot="1" x14ac:dyDescent="0.3">
      <c r="A22" s="6" t="s">
        <v>109</v>
      </c>
      <c r="B22" s="7">
        <v>0</v>
      </c>
      <c r="C22" s="7">
        <f>(D14*2*52*4)</f>
        <v>145600</v>
      </c>
      <c r="D22" s="7">
        <f>(F14*2*52*4)</f>
        <v>145600</v>
      </c>
    </row>
    <row r="23" spans="1:14" ht="15.75" thickBot="1" x14ac:dyDescent="0.3">
      <c r="A23" s="8" t="s">
        <v>110</v>
      </c>
      <c r="B23" s="9">
        <f>SUM(B17:B22)</f>
        <v>69154330</v>
      </c>
      <c r="C23" s="9">
        <f>SUM(C17:C22)</f>
        <v>24374750.333333332</v>
      </c>
      <c r="D23" s="9">
        <f>SUM(D17:D22)</f>
        <v>49571822.666666664</v>
      </c>
    </row>
    <row r="24" spans="1:14" x14ac:dyDescent="0.25">
      <c r="A24" s="10" t="s">
        <v>111</v>
      </c>
      <c r="B24" s="11">
        <v>0</v>
      </c>
      <c r="C24" s="12">
        <f>B23-C23</f>
        <v>44779579.666666672</v>
      </c>
      <c r="D24" s="12">
        <f>B23-D23</f>
        <v>19582507.333333336</v>
      </c>
    </row>
    <row r="28" spans="1:14" x14ac:dyDescent="0.25">
      <c r="N28" s="14">
        <f>373400*31.56</f>
        <v>11784504</v>
      </c>
    </row>
    <row r="29" spans="1:14" x14ac:dyDescent="0.25">
      <c r="C29" t="s">
        <v>112</v>
      </c>
      <c r="D29" s="14">
        <f>602291*32</f>
        <v>19273312</v>
      </c>
    </row>
    <row r="30" spans="1:14" x14ac:dyDescent="0.25">
      <c r="C30" t="s">
        <v>113</v>
      </c>
      <c r="D30" s="14">
        <f>602291*103.7</f>
        <v>62457576.700000003</v>
      </c>
      <c r="E30" t="s">
        <v>114</v>
      </c>
      <c r="I30">
        <f>93.054/4631.93</f>
        <v>2.0089681838887891E-2</v>
      </c>
    </row>
    <row r="31" spans="1:14" x14ac:dyDescent="0.25">
      <c r="C31" t="s">
        <v>115</v>
      </c>
      <c r="D31" s="14">
        <f>334606*3.6</f>
        <v>1204581.6000000001</v>
      </c>
    </row>
    <row r="32" spans="1:14" x14ac:dyDescent="0.25">
      <c r="B32" s="13"/>
      <c r="C32" t="s">
        <v>116</v>
      </c>
      <c r="D32" s="14">
        <f>(602291/30)*330</f>
        <v>6625200.9999999991</v>
      </c>
      <c r="F32" s="14">
        <f>334606 *28</f>
        <v>9368968</v>
      </c>
    </row>
    <row r="33" spans="2:9" x14ac:dyDescent="0.25">
      <c r="C33" t="s">
        <v>117</v>
      </c>
      <c r="D33" s="13">
        <f>SUM(D30:D32)</f>
        <v>70287359.299999997</v>
      </c>
    </row>
    <row r="34" spans="2:9" ht="15.75" thickBot="1" x14ac:dyDescent="0.3">
      <c r="C34" t="s">
        <v>118</v>
      </c>
      <c r="D34" s="14">
        <f>D5*33.95</f>
        <v>6522304.2500000009</v>
      </c>
    </row>
    <row r="35" spans="2:9" ht="15.75" thickBot="1" x14ac:dyDescent="0.3">
      <c r="F35" s="15" t="s">
        <v>119</v>
      </c>
    </row>
    <row r="36" spans="2:9" ht="15.75" thickBot="1" x14ac:dyDescent="0.3">
      <c r="F36" s="16">
        <v>7026728</v>
      </c>
    </row>
    <row r="37" spans="2:9" ht="15.75" thickBot="1" x14ac:dyDescent="0.3">
      <c r="B37">
        <v>2022</v>
      </c>
      <c r="C37">
        <v>12.3</v>
      </c>
      <c r="F37" s="16">
        <v>19273312</v>
      </c>
    </row>
    <row r="38" spans="2:9" ht="15.75" thickBot="1" x14ac:dyDescent="0.3">
      <c r="C38">
        <v>2.9</v>
      </c>
      <c r="D38">
        <f>AVERAGE(C37:C38)</f>
        <v>7.6000000000000005</v>
      </c>
      <c r="F38" s="16">
        <v>62457577</v>
      </c>
    </row>
    <row r="39" spans="2:9" ht="15.75" thickBot="1" x14ac:dyDescent="0.3">
      <c r="F39" s="16">
        <v>17290400</v>
      </c>
    </row>
    <row r="40" spans="2:9" x14ac:dyDescent="0.25">
      <c r="D40">
        <f>31.56*1.076</f>
        <v>33.958559999999999</v>
      </c>
      <c r="F40" s="14">
        <f>SUM(F35:F39)</f>
        <v>106048017</v>
      </c>
    </row>
    <row r="42" spans="2:9" x14ac:dyDescent="0.25">
      <c r="F42" s="17">
        <f>F40/(6265.7*1000000)</f>
        <v>1.6925166701246469E-2</v>
      </c>
      <c r="I42">
        <f>4631.93*1000000</f>
        <v>4631930000</v>
      </c>
    </row>
    <row r="43" spans="2:9" x14ac:dyDescent="0.25">
      <c r="I43" s="14">
        <f>I42+F40</f>
        <v>4737978017</v>
      </c>
    </row>
    <row r="44" spans="2:9" x14ac:dyDescent="0.25">
      <c r="I44" s="17">
        <f>I43/I42</f>
        <v>1.0228949956065829</v>
      </c>
    </row>
  </sheetData>
  <pageMargins left="0.7" right="0.7" top="0.75" bottom="0.75" header="0.3" footer="0.3"/>
  <pageSetup paperSize="9" orientation="portrait" horizontalDpi="30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AB04-D495-495E-9814-6C3A4EE977DA}">
  <dimension ref="A2:I58"/>
  <sheetViews>
    <sheetView view="pageBreakPreview" topLeftCell="A46" zoomScale="115" zoomScaleNormal="100" zoomScaleSheetLayoutView="115" workbookViewId="0">
      <selection activeCell="H10" sqref="H10"/>
    </sheetView>
  </sheetViews>
  <sheetFormatPr defaultRowHeight="15" x14ac:dyDescent="0.25"/>
  <cols>
    <col min="1" max="1" width="3.5703125" customWidth="1"/>
    <col min="2" max="2" width="27.42578125" customWidth="1"/>
    <col min="3" max="3" width="23.42578125" customWidth="1"/>
    <col min="4" max="4" width="19.42578125" customWidth="1"/>
    <col min="5" max="5" width="20.42578125" customWidth="1"/>
    <col min="6" max="6" width="11.42578125" customWidth="1"/>
    <col min="7" max="7" width="9.5703125" bestFit="1" customWidth="1"/>
  </cols>
  <sheetData>
    <row r="2" spans="1:9" ht="15.75" x14ac:dyDescent="0.25">
      <c r="B2" s="56" t="s">
        <v>120</v>
      </c>
    </row>
    <row r="3" spans="1:9" ht="15.75" x14ac:dyDescent="0.25">
      <c r="B3" s="56" t="s">
        <v>121</v>
      </c>
    </row>
    <row r="4" spans="1:9" ht="15.75" x14ac:dyDescent="0.25">
      <c r="B4" s="56"/>
    </row>
    <row r="7" spans="1:9" x14ac:dyDescent="0.25">
      <c r="A7" s="1" t="s">
        <v>122</v>
      </c>
      <c r="B7" s="1" t="s">
        <v>123</v>
      </c>
    </row>
    <row r="9" spans="1:9" ht="14.45" customHeight="1" x14ac:dyDescent="0.25">
      <c r="B9" s="104" t="s">
        <v>124</v>
      </c>
      <c r="C9" s="104" t="s">
        <v>125</v>
      </c>
      <c r="D9" s="104" t="s">
        <v>126</v>
      </c>
      <c r="E9" s="104" t="s">
        <v>127</v>
      </c>
      <c r="I9" s="2">
        <f>B12+C12+D12+E12</f>
        <v>334606.2</v>
      </c>
    </row>
    <row r="10" spans="1:9" x14ac:dyDescent="0.25">
      <c r="B10" s="104"/>
      <c r="C10" s="104"/>
      <c r="D10" s="104"/>
      <c r="E10" s="104"/>
      <c r="H10">
        <f>I9*1.8</f>
        <v>602291.16</v>
      </c>
    </row>
    <row r="11" spans="1:9" x14ac:dyDescent="0.25">
      <c r="B11" s="58" t="s">
        <v>128</v>
      </c>
      <c r="C11" s="58" t="s">
        <v>128</v>
      </c>
      <c r="D11" s="58" t="s">
        <v>128</v>
      </c>
      <c r="E11" s="58" t="s">
        <v>128</v>
      </c>
    </row>
    <row r="12" spans="1:9" x14ac:dyDescent="0.25">
      <c r="B12" s="59">
        <f>'[1]Detailed Calc'!L32</f>
        <v>260543.2</v>
      </c>
      <c r="C12" s="59">
        <f>'[1]Detailed Calc'!M32</f>
        <v>47199</v>
      </c>
      <c r="D12" s="59">
        <f>'[1]Detailed Calc'!N32</f>
        <v>9889</v>
      </c>
      <c r="E12" s="59">
        <f>'[1]Detailed Calc'!O32</f>
        <v>16975</v>
      </c>
      <c r="F12" s="2"/>
    </row>
    <row r="13" spans="1:9" x14ac:dyDescent="0.25">
      <c r="B13" s="12"/>
      <c r="C13" s="12"/>
      <c r="D13" s="12"/>
      <c r="E13" s="12"/>
      <c r="F13" s="60"/>
      <c r="G13" s="2"/>
    </row>
    <row r="14" spans="1:9" x14ac:dyDescent="0.25">
      <c r="B14" s="61" t="s">
        <v>129</v>
      </c>
      <c r="C14" s="12"/>
      <c r="D14" s="12"/>
      <c r="E14" s="12"/>
    </row>
    <row r="15" spans="1:9" x14ac:dyDescent="0.25">
      <c r="G15" s="2"/>
    </row>
    <row r="16" spans="1:9" x14ac:dyDescent="0.25">
      <c r="A16" s="1" t="s">
        <v>130</v>
      </c>
      <c r="B16" s="1" t="s">
        <v>131</v>
      </c>
    </row>
    <row r="18" spans="1:8" x14ac:dyDescent="0.25">
      <c r="B18" s="104" t="s">
        <v>127</v>
      </c>
    </row>
    <row r="19" spans="1:8" x14ac:dyDescent="0.25">
      <c r="B19" s="104"/>
    </row>
    <row r="20" spans="1:8" x14ac:dyDescent="0.25">
      <c r="B20" s="58" t="s">
        <v>128</v>
      </c>
    </row>
    <row r="21" spans="1:8" x14ac:dyDescent="0.25">
      <c r="B21" s="59">
        <v>16975</v>
      </c>
    </row>
    <row r="23" spans="1:8" ht="45" customHeight="1" x14ac:dyDescent="0.25">
      <c r="B23" s="101" t="s">
        <v>132</v>
      </c>
      <c r="C23" s="101"/>
      <c r="D23" s="101"/>
      <c r="E23" s="101"/>
      <c r="F23" s="101"/>
    </row>
    <row r="25" spans="1:8" x14ac:dyDescent="0.25">
      <c r="A25" s="1" t="s">
        <v>133</v>
      </c>
      <c r="B25" s="1" t="s">
        <v>134</v>
      </c>
    </row>
    <row r="27" spans="1:8" s="62" customFormat="1" ht="45" x14ac:dyDescent="0.25">
      <c r="B27" s="63" t="s">
        <v>135</v>
      </c>
      <c r="C27" s="57" t="s">
        <v>136</v>
      </c>
      <c r="D27" s="57" t="s">
        <v>137</v>
      </c>
      <c r="E27" s="57" t="s">
        <v>138</v>
      </c>
    </row>
    <row r="28" spans="1:8" s="64" customFormat="1" ht="45" x14ac:dyDescent="0.25">
      <c r="B28" s="65" t="s">
        <v>139</v>
      </c>
      <c r="C28" s="66" t="s">
        <v>140</v>
      </c>
      <c r="D28" s="67">
        <f>'[1]Detailed Calc'!L65</f>
        <v>84619</v>
      </c>
      <c r="E28" s="68">
        <f>D28*1.8</f>
        <v>152314.20000000001</v>
      </c>
      <c r="F28" s="69"/>
      <c r="G28" s="69"/>
      <c r="H28" s="69"/>
    </row>
    <row r="29" spans="1:8" s="64" customFormat="1" ht="60" x14ac:dyDescent="0.25">
      <c r="B29" s="65" t="s">
        <v>141</v>
      </c>
      <c r="C29" s="66" t="s">
        <v>142</v>
      </c>
      <c r="D29" s="67">
        <v>11849</v>
      </c>
      <c r="E29" s="68">
        <f t="shared" ref="E29:E31" si="0">D29*1.8</f>
        <v>21328.2</v>
      </c>
      <c r="G29" s="69"/>
    </row>
    <row r="30" spans="1:8" s="64" customFormat="1" ht="32.25" x14ac:dyDescent="0.25">
      <c r="B30" s="65" t="s">
        <v>143</v>
      </c>
      <c r="C30" s="66" t="s">
        <v>142</v>
      </c>
      <c r="D30" s="67">
        <f>'[1]Detailed Calc'!D53</f>
        <v>81696</v>
      </c>
      <c r="E30" s="68">
        <f t="shared" si="0"/>
        <v>147052.80000000002</v>
      </c>
      <c r="G30" s="69"/>
    </row>
    <row r="31" spans="1:8" s="64" customFormat="1" ht="32.25" x14ac:dyDescent="0.25">
      <c r="B31" s="65" t="s">
        <v>144</v>
      </c>
      <c r="C31" s="66" t="s">
        <v>142</v>
      </c>
      <c r="D31" s="67">
        <f>'[1]Detailed Calc'!D63</f>
        <v>13951</v>
      </c>
      <c r="E31" s="68">
        <f t="shared" si="0"/>
        <v>25111.8</v>
      </c>
      <c r="G31" s="69"/>
    </row>
    <row r="32" spans="1:8" s="64" customFormat="1" x14ac:dyDescent="0.25">
      <c r="D32" s="70"/>
    </row>
    <row r="33" spans="1:9" s="62" customFormat="1" ht="30" x14ac:dyDescent="0.25">
      <c r="B33" s="71" t="s">
        <v>145</v>
      </c>
      <c r="C33" s="67">
        <f>SUM(D28:D28)</f>
        <v>84619</v>
      </c>
      <c r="D33" s="64"/>
      <c r="E33" s="69"/>
      <c r="H33" s="72"/>
      <c r="I33" s="72"/>
    </row>
    <row r="34" spans="1:9" s="64" customFormat="1" ht="32.25" x14ac:dyDescent="0.25">
      <c r="B34" s="66" t="s">
        <v>142</v>
      </c>
      <c r="C34" s="73">
        <f>SUM(D29:D31)</f>
        <v>107496</v>
      </c>
      <c r="E34" s="69"/>
      <c r="F34" s="69"/>
    </row>
    <row r="35" spans="1:9" s="64" customFormat="1" x14ac:dyDescent="0.25">
      <c r="B35" s="62"/>
      <c r="D35" s="70"/>
      <c r="E35" s="70"/>
      <c r="F35" s="69"/>
    </row>
    <row r="36" spans="1:9" s="64" customFormat="1" ht="43.35" customHeight="1" x14ac:dyDescent="0.25">
      <c r="B36" s="102" t="s">
        <v>146</v>
      </c>
      <c r="C36" s="102"/>
      <c r="D36" s="102"/>
      <c r="E36" s="102"/>
      <c r="F36" s="102"/>
    </row>
    <row r="37" spans="1:9" s="64" customFormat="1" x14ac:dyDescent="0.25">
      <c r="B37" s="62"/>
      <c r="D37" s="70"/>
      <c r="E37" s="70"/>
      <c r="F37" s="69"/>
    </row>
    <row r="38" spans="1:9" s="64" customFormat="1" ht="42.6" customHeight="1" x14ac:dyDescent="0.25">
      <c r="B38" s="102" t="s">
        <v>147</v>
      </c>
      <c r="C38" s="102"/>
      <c r="D38" s="102"/>
      <c r="E38" s="102"/>
      <c r="F38" s="102"/>
    </row>
    <row r="39" spans="1:9" s="64" customFormat="1" x14ac:dyDescent="0.25">
      <c r="B39" s="74"/>
      <c r="C39" s="74"/>
      <c r="D39" s="74"/>
      <c r="E39" s="74"/>
      <c r="F39" s="74"/>
    </row>
    <row r="40" spans="1:9" s="64" customFormat="1" x14ac:dyDescent="0.25">
      <c r="B40" s="102" t="s">
        <v>148</v>
      </c>
      <c r="C40" s="102"/>
      <c r="D40" s="102"/>
      <c r="E40" s="102"/>
      <c r="F40" s="102"/>
    </row>
    <row r="41" spans="1:9" s="64" customFormat="1" x14ac:dyDescent="0.25">
      <c r="B41" s="74"/>
      <c r="C41" s="74"/>
      <c r="D41" s="74"/>
      <c r="E41" s="74"/>
      <c r="F41" s="74"/>
    </row>
    <row r="43" spans="1:9" x14ac:dyDescent="0.25">
      <c r="A43" s="1" t="s">
        <v>149</v>
      </c>
      <c r="B43" s="75" t="s">
        <v>150</v>
      </c>
    </row>
    <row r="44" spans="1:9" x14ac:dyDescent="0.25">
      <c r="A44" s="1"/>
      <c r="B44" s="75"/>
    </row>
    <row r="45" spans="1:9" x14ac:dyDescent="0.25">
      <c r="B45" s="103" t="s">
        <v>140</v>
      </c>
      <c r="C45" s="103" t="s">
        <v>151</v>
      </c>
      <c r="D45" s="104" t="s">
        <v>152</v>
      </c>
      <c r="E45" s="104" t="s">
        <v>153</v>
      </c>
    </row>
    <row r="46" spans="1:9" ht="29.45" customHeight="1" x14ac:dyDescent="0.25">
      <c r="B46" s="103"/>
      <c r="C46" s="103"/>
      <c r="D46" s="104"/>
      <c r="E46" s="104"/>
    </row>
    <row r="47" spans="1:9" x14ac:dyDescent="0.25">
      <c r="B47" s="58" t="s">
        <v>128</v>
      </c>
      <c r="C47" s="58" t="s">
        <v>128</v>
      </c>
      <c r="D47" s="58" t="s">
        <v>128</v>
      </c>
      <c r="E47" s="58" t="s">
        <v>128</v>
      </c>
    </row>
    <row r="48" spans="1:9" x14ac:dyDescent="0.25">
      <c r="B48" s="76">
        <f>B12-C33</f>
        <v>175924.2</v>
      </c>
      <c r="C48" s="76">
        <f>C12</f>
        <v>47199</v>
      </c>
      <c r="D48" s="77">
        <f>D12</f>
        <v>9889</v>
      </c>
      <c r="E48" s="77">
        <f>E12+F12</f>
        <v>16975</v>
      </c>
    </row>
    <row r="49" spans="1:6" x14ac:dyDescent="0.25">
      <c r="B49" s="78"/>
      <c r="C49" s="78"/>
    </row>
    <row r="50" spans="1:6" ht="44.45" customHeight="1" x14ac:dyDescent="0.25">
      <c r="B50" s="99" t="s">
        <v>154</v>
      </c>
      <c r="C50" s="99"/>
      <c r="D50" s="99"/>
      <c r="E50" s="99"/>
      <c r="F50" s="99"/>
    </row>
    <row r="51" spans="1:6" x14ac:dyDescent="0.25">
      <c r="B51" s="79"/>
      <c r="C51" s="79"/>
      <c r="D51" s="79"/>
      <c r="E51" s="79"/>
    </row>
    <row r="52" spans="1:6" ht="27.75" customHeight="1" x14ac:dyDescent="0.25">
      <c r="A52" s="80" t="s">
        <v>155</v>
      </c>
      <c r="B52" s="100" t="s">
        <v>156</v>
      </c>
      <c r="C52" s="100"/>
      <c r="D52" s="100"/>
      <c r="E52" s="100"/>
    </row>
    <row r="54" spans="1:6" ht="120.2" customHeight="1" x14ac:dyDescent="0.25">
      <c r="B54" s="101" t="s">
        <v>157</v>
      </c>
      <c r="C54" s="101"/>
      <c r="D54" s="101"/>
      <c r="E54" s="101"/>
      <c r="F54" s="101"/>
    </row>
    <row r="56" spans="1:6" x14ac:dyDescent="0.25">
      <c r="A56" s="1" t="s">
        <v>158</v>
      </c>
      <c r="B56" s="1" t="s">
        <v>159</v>
      </c>
    </row>
    <row r="58" spans="1:6" x14ac:dyDescent="0.25">
      <c r="B58" t="s">
        <v>160</v>
      </c>
    </row>
  </sheetData>
  <mergeCells count="16">
    <mergeCell ref="B23:F23"/>
    <mergeCell ref="B9:B10"/>
    <mergeCell ref="C9:C10"/>
    <mergeCell ref="D9:D10"/>
    <mergeCell ref="E9:E10"/>
    <mergeCell ref="B18:B19"/>
    <mergeCell ref="B50:F50"/>
    <mergeCell ref="B52:E52"/>
    <mergeCell ref="B54:F54"/>
    <mergeCell ref="B36:F36"/>
    <mergeCell ref="B38:F38"/>
    <mergeCell ref="B40:F40"/>
    <mergeCell ref="B45:B46"/>
    <mergeCell ref="C45:C46"/>
    <mergeCell ref="D45:D46"/>
    <mergeCell ref="E45:E46"/>
  </mergeCells>
  <pageMargins left="0.7" right="0.7" top="0.75" bottom="0.75" header="0.3" footer="0.3"/>
  <pageSetup paperSize="8"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3AABF5B2DBBC844D96D8DDC7C5B45685" ma:contentTypeVersion="42" ma:contentTypeDescription="Create a new document." ma:contentTypeScope="" ma:versionID="7c0db7fdb95fab07a7302425aab7b3ce">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0a6acde7-f8d2-45c7-a1f6-65f49a3b67d5" targetNamespace="http://schemas.microsoft.com/office/2006/metadata/properties" ma:root="true" ma:fieldsID="a863ebc693153b9a4d47a3953f40edcc" ns2:_="" ns3:_="" ns4:_="" ns5:_="" ns6:_="">
    <xsd:import namespace="dbe221e7-66db-4bdb-a92c-aa517c005f15"/>
    <xsd:import namespace="662745e8-e224-48e8-a2e3-254862b8c2f5"/>
    <xsd:import namespace="eebef177-55b5-4448-a5fb-28ea454417ee"/>
    <xsd:import namespace="5ffd8e36-f429-4edc-ab50-c5be84842779"/>
    <xsd:import namespace="0a6acde7-f8d2-45c7-a1f6-65f49a3b67d5"/>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SearchProperties" minOccurs="0"/>
                <xsd:element ref="ns6:MediaServiceObjectDetectorVersions" minOccurs="0"/>
                <xsd:element ref="ns6:lcf76f155ced4ddcb4097134ff3c332f" minOccurs="0"/>
                <xsd:element ref="ns6:MediaServiceDateTaken" minOccurs="0"/>
                <xsd:element ref="ns6:MediaServiceOCR" minOccurs="0"/>
                <xsd:element ref="ns6:MediaServiceGenerationTime" minOccurs="0"/>
                <xsd:element ref="ns6:MediaServiceEventHashCode"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acde7-f8d2-45c7-a1f6-65f49a3b67d5"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MediaServiceObjectDetectorVersions" ma:index="51" nillable="true" ma:displayName="MediaServiceObjectDetectorVersions" ma:hidden="true" ma:indexed="true" ma:internalName="MediaServiceObjectDetectorVersions"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54" nillable="true" ma:displayName="MediaServiceDateTaken" ma:hidden="true" ma:indexed="true" ma:internalName="MediaServiceDateTaken"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ServiceLocation" ma:index="58" nillable="true" ma:displayName="Location" ma:indexed="true" ma:internalName="MediaServiceLocatio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6acde7-f8d2-45c7-a1f6-65f49a3b67d5">
      <Terms xmlns="http://schemas.microsoft.com/office/infopath/2007/PartnerControls"/>
    </lcf76f155ced4ddcb4097134ff3c332f>
    <TaxCatchAll xmlns="662745e8-e224-48e8-a2e3-254862b8c2f5">
      <Value>41</Value>
      <Value>40</Value>
      <Value>11</Value>
      <Value>556</Value>
      <Value>14</Value>
    </TaxCatchAll>
    <EAReceivedDate xmlns="eebef177-55b5-4448-a5fb-28ea454417ee">2025-01-24T00:00:00+00:00</EAReceivedDate>
    <ga477587807b4e8dbd9d142e03c014fa xmlns="dbe221e7-66db-4bdb-a92c-aa517c005f15">
      <Terms xmlns="http://schemas.microsoft.com/office/infopath/2007/PartnerControls"/>
    </ga477587807b4e8dbd9d142e03c014fa>
    <PermitNumber xmlns="eebef177-55b5-4448-a5fb-28ea454417ee">EPR-KP3427ST</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EPR/KP3427ST</OtherReference>
    <EventLink xmlns="5ffd8e36-f429-4edc-ab50-c5be84842779" xsi:nil="true"/>
    <Customer_x002f_OperatorName xmlns="eebef177-55b5-4448-a5fb-28ea454417ee">Net Zero Teesside Power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2025-01-24T00:00:00+00:00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EPR/KP3427ST</EPRNumber>
    <FacilityAddressPostcode xmlns="eebef177-55b5-4448-a5fb-28ea454417ee">TS10 5QW</FacilityAddressPostcode>
    <ed3cfd1978f244c4af5dc9d642a18018 xmlns="dbe221e7-66db-4bdb-a92c-aa517c005f15">
      <Terms xmlns="http://schemas.microsoft.com/office/infopath/2007/PartnerControls"/>
    </ed3cfd1978f244c4af5dc9d642a18018>
    <ExternalAuthor xmlns="eebef177-55b5-4448-a5fb-28ea454417ee">India Lewin</ExternalAuthor>
    <SiteName xmlns="eebef177-55b5-4448-a5fb-28ea454417ee">Net Zero Teesside CCUS Project</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Redcar, Cleveland</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To be confirmed</TermName>
          <TermId xmlns="http://schemas.microsoft.com/office/infopath/2007/PartnerControls">848d856d-b418-408d-977a-0b756acaad6b</TermId>
        </TermInfo>
      </Terms>
    </la34db7254a948be973d9738b9f07ba7>
  </documentManagement>
</p:properties>
</file>

<file path=customXml/itemProps1.xml><?xml version="1.0" encoding="utf-8"?>
<ds:datastoreItem xmlns:ds="http://schemas.openxmlformats.org/officeDocument/2006/customXml" ds:itemID="{0FE58A0B-FF79-40D6-AAA8-69027BB1C95E}">
  <ds:schemaRefs>
    <ds:schemaRef ds:uri="http://schemas.microsoft.com/sharepoint/v3/contenttype/forms"/>
  </ds:schemaRefs>
</ds:datastoreItem>
</file>

<file path=customXml/itemProps2.xml><?xml version="1.0" encoding="utf-8"?>
<ds:datastoreItem xmlns:ds="http://schemas.openxmlformats.org/officeDocument/2006/customXml" ds:itemID="{B2264BD4-DFAC-442C-A3EC-3200ED52C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e221e7-66db-4bdb-a92c-aa517c005f15"/>
    <ds:schemaRef ds:uri="662745e8-e224-48e8-a2e3-254862b8c2f5"/>
    <ds:schemaRef ds:uri="eebef177-55b5-4448-a5fb-28ea454417ee"/>
    <ds:schemaRef ds:uri="5ffd8e36-f429-4edc-ab50-c5be84842779"/>
    <ds:schemaRef ds:uri="0a6acde7-f8d2-45c7-a1f6-65f49a3b6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EF25C0-9DDB-44FE-ABB5-EB2CD760D1E0}">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eebef177-55b5-4448-a5fb-28ea454417ee"/>
    <ds:schemaRef ds:uri="http://schemas.openxmlformats.org/package/2006/metadata/core-properties"/>
    <ds:schemaRef ds:uri="0a6acde7-f8d2-45c7-a1f6-65f49a3b67d5"/>
    <ds:schemaRef ds:uri="5ffd8e36-f429-4edc-ab50-c5be84842779"/>
    <ds:schemaRef ds:uri="662745e8-e224-48e8-a2e3-254862b8c2f5"/>
    <ds:schemaRef ds:uri="dbe221e7-66db-4bdb-a92c-aa517c005f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Sheet</vt:lpstr>
      <vt:lpstr>100% Re-use</vt:lpstr>
      <vt:lpstr>No Re-use</vt:lpstr>
      <vt:lpstr>Original AG Costs</vt:lpstr>
      <vt:lpstr>Volume Estimates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 Angela</dc:creator>
  <cp:keywords/>
  <dc:description/>
  <cp:lastModifiedBy>Waller, Nicola</cp:lastModifiedBy>
  <cp:revision/>
  <dcterms:created xsi:type="dcterms:W3CDTF">2024-05-10T17:43:52Z</dcterms:created>
  <dcterms:modified xsi:type="dcterms:W3CDTF">2025-04-16T09:46:39Z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0x0101000E9AD557692E154F9D2697C8C6432F76003AABF5B2DBBC844D96D8DDC7C5B45685</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556;#To be confirmed|848d856d-b418-408d-977a-0b756acaad6b</vt:lpwstr>
  </property>
  <property fmtid="{D5CDD505-2E9C-101B-9397-08002B2CF9AE}" pid="6" name="DisclosureStatus">
    <vt:lpwstr>41;#Public Register|f1fcf6a6-5d97-4f1d-964e-a2f916eb1f18</vt:lpwstr>
  </property>
  <property fmtid="{D5CDD505-2E9C-101B-9397-08002B2CF9AE}" pid="7" name="EventType1">
    <vt:lpwstr/>
  </property>
  <property fmtid="{D5CDD505-2E9C-101B-9397-08002B2CF9AE}" pid="8" name="ActivityGrouping">
    <vt:lpwstr>14;#Application ＆ Associated Docs|5eadfd3c-6deb-44e1-b7e1-16accd427bec</vt:lpwstr>
  </property>
  <property fmtid="{D5CDD505-2E9C-101B-9397-08002B2CF9AE}" pid="9" name="RegulatedActivityClass">
    <vt:lpwstr>40;#Waste Operations|dc63c9b7-da6e-463c-b2cf-265b08d49156</vt:lpwstr>
  </property>
  <property fmtid="{D5CDD505-2E9C-101B-9397-08002B2CF9AE}" pid="10" name="Catchment">
    <vt:lpwstr/>
  </property>
  <property fmtid="{D5CDD505-2E9C-101B-9397-08002B2CF9AE}" pid="11" name="MajorProjectID">
    <vt:lpwstr/>
  </property>
  <property fmtid="{D5CDD505-2E9C-101B-9397-08002B2CF9AE}" pid="12" name="StandardRulesID">
    <vt:lpwstr/>
  </property>
  <property fmtid="{D5CDD505-2E9C-101B-9397-08002B2CF9AE}" pid="13" name="CessationStatus">
    <vt:lpwstr/>
  </property>
  <property fmtid="{D5CDD505-2E9C-101B-9397-08002B2CF9AE}" pid="14" name="Regime">
    <vt:lpwstr>11;#EPR|0e5af97d-1a8c-4d8f-a20b-528a11cab1f6</vt:lpwstr>
  </property>
  <property fmtid="{D5CDD505-2E9C-101B-9397-08002B2CF9AE}" pid="15" name="RegulatedActivitySub_x002d_Class">
    <vt:lpwstr/>
  </property>
  <property fmtid="{D5CDD505-2E9C-101B-9397-08002B2CF9AE}" pid="16" name="RegulatedActivitySub-Class">
    <vt:lpwstr/>
  </property>
</Properties>
</file>