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efra-my.sharepoint.com/personal/nicola_waller1_environment-agency_gov_uk/Documents/Desktop/Waste Consult &amp; Publicise - EPR KP3427ST A001 19.05.2025/Documents to Upload/"/>
    </mc:Choice>
  </mc:AlternateContent>
  <xr:revisionPtr revIDLastSave="0" documentId="8_{EE56DDA8-AF3E-4745-84F5-D260863C7AB1}" xr6:coauthVersionLast="47" xr6:coauthVersionMax="47" xr10:uidLastSave="{00000000-0000-0000-0000-000000000000}"/>
  <bookViews>
    <workbookView xWindow="-120" yWindow="-120" windowWidth="29040" windowHeight="15720" activeTab="1" xr2:uid="{3C973843-E17C-4D2E-8619-1BFC3A9B02F9}"/>
  </bookViews>
  <sheets>
    <sheet name="Summary Sheet" sheetId="7" r:id="rId1"/>
    <sheet name="100% Re-use" sheetId="3" r:id="rId2"/>
    <sheet name="No Re-use" sheetId="5" r:id="rId3"/>
    <sheet name="Original AG Costs" sheetId="8" r:id="rId4"/>
    <sheet name="Volume Estimates" sheetId="9"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5" l="1"/>
  <c r="B51" i="5"/>
  <c r="B50" i="5"/>
  <c r="B49" i="5"/>
  <c r="B37" i="3"/>
  <c r="B19" i="3"/>
  <c r="B13" i="3"/>
  <c r="B19" i="5"/>
  <c r="B37" i="5"/>
  <c r="B13" i="5"/>
  <c r="B36" i="5"/>
  <c r="B52" i="3"/>
  <c r="B6" i="7" s="1"/>
  <c r="D6" i="7" s="1"/>
  <c r="B51" i="3"/>
  <c r="B49" i="3"/>
  <c r="B47" i="3"/>
  <c r="C20" i="8"/>
  <c r="D31" i="9"/>
  <c r="E31" i="9" s="1"/>
  <c r="D30" i="9"/>
  <c r="E30" i="9" s="1"/>
  <c r="E29" i="9"/>
  <c r="D28" i="9"/>
  <c r="C33" i="9" s="1"/>
  <c r="E12" i="9"/>
  <c r="E48" i="9" s="1"/>
  <c r="D12" i="9"/>
  <c r="D48" i="9" s="1"/>
  <c r="C12" i="9"/>
  <c r="C48" i="9" s="1"/>
  <c r="B12" i="9"/>
  <c r="I9" i="9" l="1"/>
  <c r="H10" i="9" s="1"/>
  <c r="E28" i="9"/>
  <c r="B48" i="9"/>
  <c r="C34" i="9"/>
  <c r="D5" i="8"/>
  <c r="F5" i="8"/>
  <c r="I5" i="8"/>
  <c r="D6" i="8"/>
  <c r="B9" i="8"/>
  <c r="D9" i="8"/>
  <c r="D11" i="8" s="1"/>
  <c r="F9" i="8"/>
  <c r="F11" i="8" s="1"/>
  <c r="B11" i="8"/>
  <c r="B12" i="8"/>
  <c r="D12" i="8"/>
  <c r="F12" i="8"/>
  <c r="B17" i="8"/>
  <c r="B23" i="8" s="1"/>
  <c r="C17" i="8"/>
  <c r="D17" i="8"/>
  <c r="D23" i="8" s="1"/>
  <c r="B18" i="8"/>
  <c r="C18" i="8"/>
  <c r="D18" i="8"/>
  <c r="B19" i="8"/>
  <c r="C19" i="8"/>
  <c r="D19" i="8"/>
  <c r="D20" i="8"/>
  <c r="B21" i="8"/>
  <c r="C21" i="8"/>
  <c r="D21" i="8"/>
  <c r="G21" i="8"/>
  <c r="C22" i="8"/>
  <c r="D22" i="8"/>
  <c r="C23" i="8"/>
  <c r="N28" i="8"/>
  <c r="D29" i="8"/>
  <c r="D30" i="8"/>
  <c r="D33" i="8" s="1"/>
  <c r="I30" i="8"/>
  <c r="D31" i="8"/>
  <c r="D32" i="8"/>
  <c r="F32" i="8"/>
  <c r="D34" i="8"/>
  <c r="D38" i="8"/>
  <c r="D40" i="8"/>
  <c r="F40" i="8"/>
  <c r="F42" i="8"/>
  <c r="I42" i="8"/>
  <c r="I43" i="8" s="1"/>
  <c r="I44" i="8" s="1"/>
  <c r="B5" i="3"/>
  <c r="B35" i="3"/>
  <c r="B36" i="3"/>
  <c r="B27" i="5"/>
  <c r="B35" i="5"/>
  <c r="B5" i="5"/>
  <c r="B7" i="5" s="1"/>
  <c r="B38" i="5"/>
  <c r="B40" i="5" s="1"/>
  <c r="B20" i="5"/>
  <c r="B14" i="5"/>
  <c r="B11" i="5"/>
  <c r="C24" i="8" l="1"/>
  <c r="D24" i="8"/>
  <c r="B44" i="5"/>
  <c r="C5" i="7" s="1"/>
  <c r="B42" i="5"/>
  <c r="B43" i="5" s="1"/>
  <c r="B9" i="5"/>
  <c r="B12" i="5" s="1"/>
  <c r="B28" i="5"/>
  <c r="B32" i="5" s="1"/>
  <c r="C4" i="7" s="1"/>
  <c r="B20" i="3"/>
  <c r="B14" i="3"/>
  <c r="B11" i="3"/>
  <c r="B7" i="3"/>
  <c r="B27" i="3" s="1"/>
  <c r="B28" i="3" s="1"/>
  <c r="B17" i="5" l="1"/>
  <c r="B38" i="3"/>
  <c r="B40" i="3" s="1"/>
  <c r="B32" i="3"/>
  <c r="B9" i="3"/>
  <c r="B4" i="7" l="1"/>
  <c r="B21" i="5"/>
  <c r="B22" i="5" s="1"/>
  <c r="B18" i="5"/>
  <c r="B44" i="3"/>
  <c r="B5" i="7" s="1"/>
  <c r="D5" i="7" s="1"/>
  <c r="B42" i="3"/>
  <c r="B43" i="3" s="1"/>
  <c r="B12" i="3"/>
  <c r="D4" i="7" l="1"/>
  <c r="B46" i="5"/>
  <c r="C3" i="7"/>
  <c r="B17" i="3"/>
  <c r="C7" i="7" l="1"/>
  <c r="B18" i="3"/>
  <c r="B21" i="3" s="1"/>
  <c r="B22" i="3" s="1"/>
  <c r="B3" i="7" l="1"/>
  <c r="B54" i="3"/>
  <c r="B7" i="7" l="1"/>
  <c r="D3" i="7"/>
  <c r="D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Graham, Angela</author>
  </authors>
  <commentList>
    <comment ref="B11" authorId="0" shapeId="0" xr:uid="{9FAD58E3-7521-409B-B6C0-E6C88A6A91F0}">
      <text>
        <r>
          <rPr>
            <b/>
            <sz val="9"/>
            <color indexed="81"/>
            <rFont val="Tahoma"/>
            <family val="2"/>
          </rPr>
          <t>Graham, Angela:</t>
        </r>
        <r>
          <rPr>
            <sz val="9"/>
            <color indexed="81"/>
            <rFont val="Tahoma"/>
            <family val="2"/>
          </rPr>
          <t xml:space="preserve">
assumed average 20T per bulk wagon load</t>
        </r>
      </text>
    </comment>
    <comment ref="D11" authorId="0" shapeId="0" xr:uid="{89160CF6-95AA-49BD-A911-4C8BBAF50607}">
      <text>
        <r>
          <rPr>
            <b/>
            <sz val="9"/>
            <color indexed="81"/>
            <rFont val="Tahoma"/>
            <family val="2"/>
          </rPr>
          <t>Graham, Angela:</t>
        </r>
        <r>
          <rPr>
            <sz val="9"/>
            <color indexed="81"/>
            <rFont val="Tahoma"/>
            <family val="2"/>
          </rPr>
          <t xml:space="preserve">
assumed average 20T per bulk wagon load</t>
        </r>
      </text>
    </comment>
    <comment ref="F11" authorId="0" shapeId="0" xr:uid="{1F92191D-AB25-452C-B4F7-4C9D333A3AF2}">
      <text>
        <r>
          <rPr>
            <b/>
            <sz val="9"/>
            <color indexed="81"/>
            <rFont val="Tahoma"/>
            <family val="2"/>
          </rPr>
          <t>Graham, Angela:</t>
        </r>
        <r>
          <rPr>
            <sz val="9"/>
            <color indexed="81"/>
            <rFont val="Tahoma"/>
            <family val="2"/>
          </rPr>
          <t xml:space="preserve">
assumed average 20T per bulk wagon load</t>
        </r>
      </text>
    </comment>
    <comment ref="B12" authorId="0" shapeId="0" xr:uid="{3FB75016-EF04-4ABC-808C-F49E7A0653FC}">
      <text>
        <r>
          <rPr>
            <b/>
            <sz val="9"/>
            <color indexed="81"/>
            <rFont val="Tahoma"/>
            <family val="2"/>
          </rPr>
          <t>Graham, Angela:</t>
        </r>
        <r>
          <rPr>
            <sz val="9"/>
            <color indexed="81"/>
            <rFont val="Tahoma"/>
            <family val="2"/>
          </rPr>
          <t xml:space="preserve">
assumed average 20T per bulk wagon load</t>
        </r>
      </text>
    </comment>
    <comment ref="D12" authorId="0" shapeId="0" xr:uid="{C47886EE-33D6-4B3A-B807-DDE11410F766}">
      <text>
        <r>
          <rPr>
            <b/>
            <sz val="9"/>
            <color indexed="81"/>
            <rFont val="Tahoma"/>
            <family val="2"/>
          </rPr>
          <t>Graham, Angela:</t>
        </r>
        <r>
          <rPr>
            <sz val="9"/>
            <color indexed="81"/>
            <rFont val="Tahoma"/>
            <family val="2"/>
          </rPr>
          <t xml:space="preserve">
assumed average 20T per bulk wagon load</t>
        </r>
      </text>
    </comment>
    <comment ref="F12" authorId="0" shapeId="0" xr:uid="{F8D1968D-4D90-44C6-B086-05C3C8A37301}">
      <text>
        <r>
          <rPr>
            <b/>
            <sz val="9"/>
            <color indexed="81"/>
            <rFont val="Tahoma"/>
            <family val="2"/>
          </rPr>
          <t>Graham, Angela:</t>
        </r>
        <r>
          <rPr>
            <sz val="9"/>
            <color indexed="81"/>
            <rFont val="Tahoma"/>
            <family val="2"/>
          </rPr>
          <t xml:space="preserve">
assumed average 20T per bulk wagon load</t>
        </r>
      </text>
    </comment>
  </commentList>
</comments>
</file>

<file path=xl/sharedStrings.xml><?xml version="1.0" encoding="utf-8"?>
<sst xmlns="http://schemas.openxmlformats.org/spreadsheetml/2006/main" count="312" uniqueCount="169">
  <si>
    <t>Reuse of Waste</t>
  </si>
  <si>
    <t>Difference</t>
  </si>
  <si>
    <t>Transportation and Plant Costs</t>
  </si>
  <si>
    <t>Disposal Costs</t>
  </si>
  <si>
    <t>Import Costs</t>
  </si>
  <si>
    <t>Other Costs</t>
  </si>
  <si>
    <t xml:space="preserve">TOTAL </t>
  </si>
  <si>
    <t>Total Volume of Excavation</t>
  </si>
  <si>
    <r>
      <t>m</t>
    </r>
    <r>
      <rPr>
        <vertAlign val="superscript"/>
        <sz val="14"/>
        <color theme="1"/>
        <rFont val="Calibri"/>
        <family val="2"/>
        <scheme val="minor"/>
      </rPr>
      <t>3</t>
    </r>
  </si>
  <si>
    <t>Assumed Volume of  Re-use</t>
  </si>
  <si>
    <t>Transportation Costs and Plant Hire</t>
  </si>
  <si>
    <t>Values</t>
  </si>
  <si>
    <t>Units</t>
  </si>
  <si>
    <t>Comments</t>
  </si>
  <si>
    <t>Volume</t>
  </si>
  <si>
    <r>
      <t>m</t>
    </r>
    <r>
      <rPr>
        <vertAlign val="superscript"/>
        <sz val="11"/>
        <color theme="1"/>
        <rFont val="Calibri"/>
        <family val="2"/>
        <scheme val="minor"/>
      </rPr>
      <t>3</t>
    </r>
  </si>
  <si>
    <r>
      <t>Assumes disposal of 100,000m</t>
    </r>
    <r>
      <rPr>
        <vertAlign val="superscript"/>
        <sz val="11"/>
        <color theme="1"/>
        <rFont val="Calibri"/>
        <family val="2"/>
        <scheme val="minor"/>
      </rPr>
      <t xml:space="preserve">3 </t>
    </r>
    <r>
      <rPr>
        <sz val="11"/>
        <color theme="1"/>
        <rFont val="Calibri"/>
        <family val="2"/>
        <scheme val="minor"/>
      </rPr>
      <t>of waste, with 100,000m</t>
    </r>
    <r>
      <rPr>
        <vertAlign val="superscript"/>
        <sz val="11"/>
        <color theme="1"/>
        <rFont val="Calibri"/>
        <family val="2"/>
        <scheme val="minor"/>
      </rPr>
      <t>3</t>
    </r>
    <r>
      <rPr>
        <sz val="11"/>
        <color theme="1"/>
        <rFont val="Calibri"/>
        <family val="2"/>
        <scheme val="minor"/>
      </rPr>
      <t xml:space="preserve"> reused under DfR</t>
    </r>
  </si>
  <si>
    <t>Specific density</t>
  </si>
  <si>
    <t>tonnes / m3</t>
  </si>
  <si>
    <t>Assumed specific density for slag</t>
  </si>
  <si>
    <t>Weight</t>
  </si>
  <si>
    <t>Tonnes per truckload</t>
  </si>
  <si>
    <t>tonnes</t>
  </si>
  <si>
    <t>Truck Movements</t>
  </si>
  <si>
    <t>Hours per trip (including loading / offloading)</t>
  </si>
  <si>
    <t>hours</t>
  </si>
  <si>
    <t>Based on 1.5 hour round trip (assumes Augean Port Clarence landfill) plus 1 hour for loading / offloading</t>
  </si>
  <si>
    <t>Complete trips per day</t>
  </si>
  <si>
    <t>No of truck days</t>
  </si>
  <si>
    <t>days</t>
  </si>
  <si>
    <t>Hourly rate for truck and driver</t>
  </si>
  <si>
    <t>From SPONS (includes fuel)</t>
  </si>
  <si>
    <t>Daily Rate for truck and driver</t>
  </si>
  <si>
    <t>Assumes 8 hour days</t>
  </si>
  <si>
    <t>No of trucks received at landfill</t>
  </si>
  <si>
    <t>Assumes 4 trucks per hour from site</t>
  </si>
  <si>
    <t>Working days per year</t>
  </si>
  <si>
    <t>5 days a week, (except 2 week shutdown over XMAS), assumes roads are trafficable in wet weather and snow</t>
  </si>
  <si>
    <t>Days to remove stockpile</t>
  </si>
  <si>
    <t>Total Period of Hire</t>
  </si>
  <si>
    <t>Hourly Rate for Tracked Excavator</t>
  </si>
  <si>
    <t xml:space="preserve"> / hour</t>
  </si>
  <si>
    <t>Assumes 30 tonne tracked 360 excavator</t>
  </si>
  <si>
    <t>Day rate for Tracked Excavator</t>
  </si>
  <si>
    <t>/ day</t>
  </si>
  <si>
    <t>Excavator Hire</t>
  </si>
  <si>
    <t>Estimated Transportation Costs</t>
  </si>
  <si>
    <t>Percentage Inert Waste</t>
  </si>
  <si>
    <t>Inert Waste Volume</t>
  </si>
  <si>
    <t>Hazardous Waste</t>
  </si>
  <si>
    <t>Landfill Tax (Haz / Non Haz Waste)</t>
  </si>
  <si>
    <t>/ tonne</t>
  </si>
  <si>
    <t>Landfill Tax (Inert Waste)</t>
  </si>
  <si>
    <t>Gate Fees</t>
  </si>
  <si>
    <t>From WRAP</t>
  </si>
  <si>
    <t>Estimated Disposal Costs</t>
  </si>
  <si>
    <t>Import Costs for Clean Fill</t>
  </si>
  <si>
    <t>Volume of Import Fill</t>
  </si>
  <si>
    <t>Weight of Import Fill</t>
  </si>
  <si>
    <t>Costs for Type 2 fill</t>
  </si>
  <si>
    <t>No of truck movements</t>
  </si>
  <si>
    <t>No. of truck days</t>
  </si>
  <si>
    <t>No of truckloads to site per day</t>
  </si>
  <si>
    <t>Duration of works</t>
  </si>
  <si>
    <t>Estimated Import Costs</t>
  </si>
  <si>
    <t>Permitting Costs</t>
  </si>
  <si>
    <t>CHECK ASSUMPTIONS</t>
  </si>
  <si>
    <t>Soils Testing Rate</t>
  </si>
  <si>
    <t>/sample</t>
  </si>
  <si>
    <t>Soils Testing Costs (1/1500t)</t>
  </si>
  <si>
    <t>Assume 1 sample / 1500 tonnes</t>
  </si>
  <si>
    <t>Daily Rate for Technically Competent Manager</t>
  </si>
  <si>
    <t>/day</t>
  </si>
  <si>
    <t>Assumed daily rate for TCM including accomodation and expenses</t>
  </si>
  <si>
    <t>Estimated Other Costs</t>
  </si>
  <si>
    <t>Assumed Re-use</t>
  </si>
  <si>
    <t>Parameters</t>
  </si>
  <si>
    <t>/ hour</t>
  </si>
  <si>
    <t>TOTAL Transportation Costs</t>
  </si>
  <si>
    <t>TOTAL Disposal Costs</t>
  </si>
  <si>
    <t>TOTAL Import Costs</t>
  </si>
  <si>
    <t>No Reuse</t>
  </si>
  <si>
    <t>Max Reuse</t>
  </si>
  <si>
    <t>44% Reuse</t>
  </si>
  <si>
    <t>Disposal Cost</t>
  </si>
  <si>
    <t>per m3</t>
  </si>
  <si>
    <t>Import costs</t>
  </si>
  <si>
    <t>per tonne</t>
  </si>
  <si>
    <t>Total Volume reused</t>
  </si>
  <si>
    <t>m3</t>
  </si>
  <si>
    <t>t</t>
  </si>
  <si>
    <t>Total Import</t>
  </si>
  <si>
    <t>Total Disposed Off (Volume)</t>
  </si>
  <si>
    <t>Total Disposed Off (weight)</t>
  </si>
  <si>
    <t>Total onsite handling for reuse</t>
  </si>
  <si>
    <t>Number load removed from site</t>
  </si>
  <si>
    <t>Number load imported to site</t>
  </si>
  <si>
    <t>Soil testing</t>
  </si>
  <si>
    <t>per sample/1500 T</t>
  </si>
  <si>
    <t>TCM</t>
  </si>
  <si>
    <t>per day</t>
  </si>
  <si>
    <t>Using Non-Waste</t>
  </si>
  <si>
    <t>Maximum use of Waste</t>
  </si>
  <si>
    <t>44% Use of Waste</t>
  </si>
  <si>
    <t>Cost of importing infill include haulage</t>
  </si>
  <si>
    <t>Cost or processing to create fill</t>
  </si>
  <si>
    <t>Waste Disposal Costs</t>
  </si>
  <si>
    <t>Permitting Costs (application, 4 years subsistence and surrender)</t>
  </si>
  <si>
    <t>Soils Testing</t>
  </si>
  <si>
    <t>Provision of Technically Competent Manager (4 Years</t>
  </si>
  <si>
    <t>Total</t>
  </si>
  <si>
    <t>Saving</t>
  </si>
  <si>
    <t>Gate Fee</t>
  </si>
  <si>
    <t>Landfill Tax</t>
  </si>
  <si>
    <t>LFT+Gate Fee</t>
  </si>
  <si>
    <t>Site Excavate and stockpile</t>
  </si>
  <si>
    <t>Haulage</t>
  </si>
  <si>
    <t>Total Disposal</t>
  </si>
  <si>
    <t>Material Import</t>
  </si>
  <si>
    <t>1, 204,581</t>
  </si>
  <si>
    <t>Post FEED Optimisation Scope 4</t>
  </si>
  <si>
    <t>Deposit for Recovery - Summary Results</t>
  </si>
  <si>
    <t>1.</t>
  </si>
  <si>
    <t>Volume of Excavation that will be generated as part of the construction works</t>
  </si>
  <si>
    <t>Excavation into Remediated Man Made Soil</t>
  </si>
  <si>
    <t>Excavation into Non-Remediated Man Made Soil</t>
  </si>
  <si>
    <t>Excavation into Natural Soil</t>
  </si>
  <si>
    <t xml:space="preserve">Excavation from Piling 
(Drilling Cuttings) </t>
  </si>
  <si>
    <t>(cum)</t>
  </si>
  <si>
    <t>Note: Above excavated volumes correspond to "in-place" volume i.e without any swell factor applied.</t>
  </si>
  <si>
    <t>2.</t>
  </si>
  <si>
    <t>Excavation from Piling Works (drilling cuttings)</t>
  </si>
  <si>
    <t>Excavated material from piling operation are deemed to be a mix of remediated Man Made soil, non-remediated Man Made soil and natural soil that can't be seggregated, nor treated to be re-used.</t>
  </si>
  <si>
    <t>3.</t>
  </si>
  <si>
    <t>Intended material use/re-use on site</t>
  </si>
  <si>
    <t>INTENDED USE</t>
  </si>
  <si>
    <t>MATERIAL TYPE / ORIGIN</t>
  </si>
  <si>
    <t>VOLUME OF MATERIAL TO BE USED (cum)</t>
  </si>
  <si>
    <t>TONNES OF MATERIAL TO BE USED (cum)</t>
  </si>
  <si>
    <t>Structural backfill / HV Switchyard - Tod Point platform</t>
  </si>
  <si>
    <t>Remediated Man Made Soil</t>
  </si>
  <si>
    <t>Other structural backfill, sand for underground pipes, filling and embankment of tank(s)</t>
  </si>
  <si>
    <r>
      <t>Suitable Site Won Materials</t>
    </r>
    <r>
      <rPr>
        <vertAlign val="superscript"/>
        <sz val="11"/>
        <color theme="1"/>
        <rFont val="Calibri"/>
        <family val="2"/>
        <scheme val="minor"/>
      </rPr>
      <t>(a)</t>
    </r>
  </si>
  <si>
    <t>Soil Substitution (structural fill)</t>
  </si>
  <si>
    <t>Roads (sub-base / base course)</t>
  </si>
  <si>
    <t>Total re-use of remediated man made soil (cum)</t>
  </si>
  <si>
    <t>(a)	site aims to use as much site won materials as possible with the deficit of waste material imported to site as needed from suitable external sources.</t>
  </si>
  <si>
    <t>It's assumed that the remediated man made soil can be re-used for backfilling, excepted soil from grubbing and scrubbing if any. The main reason is that if soil grubbing and scrubbing is found necessary, it means that the quality of these materials could have changed or that these materials would have been mixed with plants and associated roots.</t>
  </si>
  <si>
    <t>The above volumes correspond to "in-place" volumes i.e. after placement and compaction.</t>
  </si>
  <si>
    <t>4.</t>
  </si>
  <si>
    <t>Surplus material</t>
  </si>
  <si>
    <t>Non-remediated Man Made Soil</t>
  </si>
  <si>
    <t>Natural Soil</t>
  </si>
  <si>
    <t>Drilling cuttings from piles (mixed material)</t>
  </si>
  <si>
    <t>Quantities are expressed as "excavated in-place quantities" i.e. no expansion coefficient has been taken into account. For the assessment of the volume to be disposed, a swell factor shall be applied to the above quantities.</t>
  </si>
  <si>
    <t>5.</t>
  </si>
  <si>
    <t>Potential to re-use remediated material / Potential future optimizations for the cut-fill balance and minimization of external supply</t>
  </si>
  <si>
    <t xml:space="preserve">It's assumed that all the excavated remediated man made soil can be re-use, excepted soil grubbing and scubbing.
Depending on the actual surface conditions of the platform at time of handover, the excavated quantities linked to "grubbing and scrubbing" may be significantly optimized.
There is a way for optimization for the quantities of backfill currently considered as 'may be imported'.
Same for the soil substitution quantities that could be highly optimized at the light of the actual remediation works and of the associated as-builts / control tests results that will be received.
Less likely but perhaps possible, selected excavated remediated man made soil may be perhaps re-used for at least the sub-base course if found acceptable.
</t>
  </si>
  <si>
    <t>6.</t>
  </si>
  <si>
    <t>Sampling method of waste material being reused</t>
  </si>
  <si>
    <t>Sampling method will be performed as per JSS Earthworks and in accordance with SHW 600.</t>
  </si>
  <si>
    <t>From 2024 spring budget for 2025 (https://www.gov.uk/government/publications/spring-budget-2024)</t>
  </si>
  <si>
    <t>Assumed average load of truck</t>
  </si>
  <si>
    <t>No Reuse of Waste</t>
  </si>
  <si>
    <t>Percentage of CAPEX</t>
  </si>
  <si>
    <t>Percentage of contingency CAPEX</t>
  </si>
  <si>
    <t>Percentage using non waste</t>
  </si>
  <si>
    <t>Percentage of pre-tax profit</t>
  </si>
  <si>
    <r>
      <t>Assumes disposal of 100,000m</t>
    </r>
    <r>
      <rPr>
        <vertAlign val="superscript"/>
        <sz val="11"/>
        <color theme="1"/>
        <rFont val="Calibri"/>
        <family val="2"/>
        <scheme val="minor"/>
      </rPr>
      <t xml:space="preserve">3 </t>
    </r>
    <r>
      <rPr>
        <sz val="11"/>
        <color theme="1"/>
        <rFont val="Calibri"/>
        <family val="2"/>
        <scheme val="minor"/>
      </rPr>
      <t>of waste, with 0m</t>
    </r>
    <r>
      <rPr>
        <vertAlign val="superscript"/>
        <sz val="11"/>
        <color theme="1"/>
        <rFont val="Calibri"/>
        <family val="2"/>
        <scheme val="minor"/>
      </rPr>
      <t>3</t>
    </r>
    <r>
      <rPr>
        <sz val="11"/>
        <color theme="1"/>
        <rFont val="Calibri"/>
        <family val="2"/>
        <scheme val="minor"/>
      </rPr>
      <t xml:space="preserve"> reused under DfR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</si>
</sst>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44" formatCode="_-&quot;£&quot;* #,##0.00_-;\-&quot;£&quot;* #,##0.00_-;_-&quot;£&quot;* &quot;-&quot;??_-;_-@_-"/>
    <numFmt numFmtId="43" formatCode="_-* #,##0.00_-;\-* #,##0.00_-;_-* &quot;-&quot;??_-;_-@_-"/>
    <numFmt numFmtId="164" formatCode="&quot;£&quot;#,##0"/>
    <numFmt numFmtId="165" formatCode="&quot;£&quot;#,##0.00"/>
    <numFmt numFmtId="166" formatCode="_-* #,##0_-;\-* #,##0_-;_-* &quot;-&quot;??_-;_-@_-"/>
    <numFmt numFmtId="167" formatCode="0.0%"/>
  </numFmts>
  <fonts count="19" x14ac:knownFonts="1">
    <font>
      <sz val="11"/>
      <color theme="1"/>
      <name val="Calibri"/>
      <family val="2"/>
      <scheme val="minor"/>
    </font>
    <font>
      <b/>
      <sz val="11"/>
      <color theme="1"/>
      <name val="Calibri"/>
      <family val="2"/>
      <scheme val="minor"/>
    </font>
    <font>
      <sz val="9"/>
      <name val="Arial Narrow"/>
      <family val="2"/>
    </font>
    <font>
      <b/>
      <sz val="9"/>
      <name val="Arial Narrow"/>
      <family val="2"/>
    </font>
    <font>
      <b/>
      <sz val="9"/>
      <color theme="1"/>
      <name val="Arial Narrow"/>
      <family val="2"/>
    </font>
    <font>
      <b/>
      <sz val="9"/>
      <color indexed="81"/>
      <name val="Tahoma"/>
      <family val="2"/>
    </font>
    <font>
      <sz val="9"/>
      <color indexed="81"/>
      <name val="Tahoma"/>
      <family val="2"/>
    </font>
    <font>
      <sz val="8"/>
      <color rgb="FF001114"/>
      <name val="Arial"/>
      <family val="2"/>
    </font>
    <font>
      <sz val="14"/>
      <color theme="1"/>
      <name val="Calibri"/>
      <family val="2"/>
      <scheme val="minor"/>
    </font>
    <font>
      <b/>
      <sz val="14"/>
      <color theme="1"/>
      <name val="Calibri"/>
      <family val="2"/>
      <scheme val="minor"/>
    </font>
    <font>
      <sz val="11"/>
      <color theme="1"/>
      <name val="Calibri"/>
      <family val="2"/>
      <scheme val="minor"/>
    </font>
    <font>
      <vertAlign val="superscript"/>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2"/>
      <color theme="1"/>
      <name val="Calibri"/>
      <family val="2"/>
      <scheme val="minor"/>
    </font>
    <font>
      <vertAlign val="superscript"/>
      <sz val="14"/>
      <color theme="1"/>
      <name val="Calibri"/>
      <family val="2"/>
      <scheme val="minor"/>
    </font>
    <font>
      <sz val="8"/>
      <name val="Calibri"/>
      <family val="2"/>
      <scheme val="minor"/>
    </font>
    <font>
      <b/>
      <sz val="11"/>
      <color rgb="FF00B0F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7C80"/>
        <bgColor indexed="64"/>
      </patternFill>
    </fill>
    <fill>
      <patternFill patternType="solid">
        <fgColor rgb="FFFFFF99"/>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105">
    <xf numFmtId="0" fontId="0" fillId="0" borderId="0" xfId="0"/>
    <xf numFmtId="0" fontId="1" fillId="0" borderId="0" xfId="0" applyFont="1"/>
    <xf numFmtId="3" fontId="0" fillId="0" borderId="0" xfId="0" applyNumberFormat="1"/>
    <xf numFmtId="0" fontId="2" fillId="0" borderId="1" xfId="0" applyFont="1" applyBorder="1" applyAlignment="1">
      <alignment vertical="center" wrapText="1"/>
    </xf>
    <xf numFmtId="0" fontId="3" fillId="0" borderId="2" xfId="0" applyFont="1" applyBorder="1" applyAlignment="1">
      <alignment horizontal="center" vertical="center" wrapText="1"/>
    </xf>
    <xf numFmtId="0" fontId="4" fillId="0" borderId="1" xfId="0" applyFont="1" applyBorder="1"/>
    <xf numFmtId="0" fontId="2" fillId="0" borderId="3" xfId="0" applyFont="1" applyBorder="1" applyAlignment="1">
      <alignment vertical="center" wrapText="1"/>
    </xf>
    <xf numFmtId="3" fontId="2" fillId="0" borderId="4" xfId="0" applyNumberFormat="1" applyFont="1" applyBorder="1" applyAlignment="1">
      <alignment horizontal="center" vertical="center" wrapText="1"/>
    </xf>
    <xf numFmtId="0" fontId="3" fillId="0" borderId="3" xfId="0" applyFont="1" applyBorder="1" applyAlignment="1">
      <alignment vertical="center" wrapText="1"/>
    </xf>
    <xf numFmtId="3" fontId="3" fillId="0" borderId="4" xfId="0" applyNumberFormat="1" applyFont="1" applyBorder="1" applyAlignment="1">
      <alignment horizontal="center" vertical="center" wrapText="1"/>
    </xf>
    <xf numFmtId="0" fontId="2" fillId="0" borderId="5" xfId="0" applyFont="1" applyBorder="1" applyAlignment="1">
      <alignment vertical="center" wrapText="1"/>
    </xf>
    <xf numFmtId="0" fontId="0" fillId="0" borderId="0" xfId="0" applyAlignment="1">
      <alignment horizontal="center"/>
    </xf>
    <xf numFmtId="3" fontId="0" fillId="0" borderId="0" xfId="0" applyNumberFormat="1" applyAlignment="1">
      <alignment horizontal="center"/>
    </xf>
    <xf numFmtId="164" fontId="0" fillId="0" borderId="0" xfId="0" applyNumberFormat="1"/>
    <xf numFmtId="165" fontId="0" fillId="0" borderId="0" xfId="0" applyNumberFormat="1"/>
    <xf numFmtId="0" fontId="7" fillId="0" borderId="1" xfId="0" applyFont="1" applyBorder="1" applyAlignment="1">
      <alignment horizontal="center" vertical="center" wrapText="1"/>
    </xf>
    <xf numFmtId="3" fontId="7" fillId="0" borderId="3" xfId="0" applyNumberFormat="1" applyFont="1" applyBorder="1" applyAlignment="1">
      <alignment horizontal="center" vertical="center" wrapText="1"/>
    </xf>
    <xf numFmtId="10" fontId="0" fillId="0" borderId="0" xfId="0" applyNumberFormat="1"/>
    <xf numFmtId="1" fontId="0" fillId="0" borderId="0" xfId="0" applyNumberFormat="1"/>
    <xf numFmtId="0" fontId="8" fillId="0" borderId="0" xfId="0" applyFont="1"/>
    <xf numFmtId="0" fontId="9" fillId="0" borderId="0" xfId="0" applyFont="1" applyAlignment="1">
      <alignment horizontal="right"/>
    </xf>
    <xf numFmtId="165" fontId="9" fillId="0" borderId="1" xfId="0" applyNumberFormat="1" applyFont="1" applyBorder="1"/>
    <xf numFmtId="3" fontId="12" fillId="0" borderId="6" xfId="0" applyNumberFormat="1" applyFont="1" applyBorder="1"/>
    <xf numFmtId="0" fontId="12" fillId="0" borderId="6" xfId="0" applyFont="1" applyBorder="1"/>
    <xf numFmtId="0" fontId="0" fillId="4" borderId="6" xfId="0" applyFill="1" applyBorder="1"/>
    <xf numFmtId="0" fontId="0" fillId="0" borderId="6" xfId="0" applyBorder="1"/>
    <xf numFmtId="3" fontId="0" fillId="0" borderId="6" xfId="0" applyNumberFormat="1" applyBorder="1"/>
    <xf numFmtId="166" fontId="14" fillId="4" borderId="6" xfId="1" applyNumberFormat="1" applyFont="1" applyFill="1" applyBorder="1"/>
    <xf numFmtId="166" fontId="0" fillId="4" borderId="6" xfId="1" applyNumberFormat="1" applyFont="1" applyFill="1" applyBorder="1"/>
    <xf numFmtId="165" fontId="0" fillId="2" borderId="6" xfId="0" applyNumberFormat="1" applyFill="1" applyBorder="1"/>
    <xf numFmtId="0" fontId="0" fillId="5" borderId="6" xfId="0" applyFill="1" applyBorder="1"/>
    <xf numFmtId="165" fontId="0" fillId="4" borderId="10" xfId="1" applyNumberFormat="1" applyFont="1" applyFill="1" applyBorder="1"/>
    <xf numFmtId="0" fontId="15" fillId="0" borderId="9" xfId="0" applyFont="1" applyBorder="1" applyAlignment="1">
      <alignment horizontal="right"/>
    </xf>
    <xf numFmtId="166" fontId="14" fillId="4" borderId="6" xfId="0" applyNumberFormat="1" applyFont="1" applyFill="1" applyBorder="1"/>
    <xf numFmtId="164" fontId="0" fillId="4" borderId="10" xfId="1" applyNumberFormat="1" applyFont="1" applyFill="1" applyBorder="1"/>
    <xf numFmtId="0" fontId="15" fillId="0" borderId="0" xfId="0" applyFont="1" applyAlignment="1">
      <alignment horizontal="right"/>
    </xf>
    <xf numFmtId="0" fontId="0" fillId="0" borderId="0" xfId="0" applyAlignment="1">
      <alignment horizontal="right"/>
    </xf>
    <xf numFmtId="0" fontId="8" fillId="0" borderId="0" xfId="0" applyFont="1" applyAlignment="1">
      <alignment horizontal="right"/>
    </xf>
    <xf numFmtId="9" fontId="8" fillId="3" borderId="1" xfId="0" applyNumberFormat="1" applyFont="1" applyFill="1" applyBorder="1"/>
    <xf numFmtId="166" fontId="0" fillId="4" borderId="6" xfId="0" applyNumberFormat="1" applyFill="1" applyBorder="1"/>
    <xf numFmtId="0" fontId="1" fillId="7" borderId="11" xfId="0" applyFont="1" applyFill="1" applyBorder="1"/>
    <xf numFmtId="44" fontId="1" fillId="7" borderId="7" xfId="0" applyNumberFormat="1" applyFont="1" applyFill="1" applyBorder="1"/>
    <xf numFmtId="0" fontId="1" fillId="7" borderId="7" xfId="0" applyFont="1" applyFill="1" applyBorder="1"/>
    <xf numFmtId="0" fontId="1" fillId="7" borderId="12" xfId="0" applyFont="1" applyFill="1" applyBorder="1"/>
    <xf numFmtId="0" fontId="1" fillId="8" borderId="7" xfId="0" applyFont="1" applyFill="1" applyBorder="1"/>
    <xf numFmtId="8" fontId="0" fillId="2" borderId="6" xfId="0" applyNumberFormat="1" applyFill="1" applyBorder="1"/>
    <xf numFmtId="0" fontId="1" fillId="6" borderId="7" xfId="0" applyFont="1" applyFill="1" applyBorder="1"/>
    <xf numFmtId="0" fontId="1" fillId="6" borderId="7" xfId="0" applyFont="1" applyFill="1" applyBorder="1" applyAlignment="1">
      <alignment horizontal="center"/>
    </xf>
    <xf numFmtId="164" fontId="15" fillId="6" borderId="1" xfId="0" applyNumberFormat="1" applyFont="1" applyFill="1" applyBorder="1"/>
    <xf numFmtId="1" fontId="12" fillId="0" borderId="6" xfId="0" applyNumberFormat="1" applyFont="1" applyBorder="1" applyAlignment="1">
      <alignment horizontal="right" vertical="center"/>
    </xf>
    <xf numFmtId="166" fontId="8" fillId="0" borderId="1" xfId="1" applyNumberFormat="1" applyFont="1" applyBorder="1"/>
    <xf numFmtId="3" fontId="8" fillId="0" borderId="6" xfId="0" applyNumberFormat="1" applyFont="1" applyBorder="1"/>
    <xf numFmtId="0" fontId="1" fillId="0" borderId="6" xfId="0" applyFont="1" applyBorder="1"/>
    <xf numFmtId="0" fontId="1" fillId="9" borderId="11" xfId="0" applyFont="1" applyFill="1" applyBorder="1"/>
    <xf numFmtId="0" fontId="1" fillId="9" borderId="7" xfId="0" applyFont="1" applyFill="1" applyBorder="1"/>
    <xf numFmtId="0" fontId="1" fillId="9" borderId="12" xfId="0" applyFont="1" applyFill="1" applyBorder="1"/>
    <xf numFmtId="0" fontId="15" fillId="0" borderId="0" xfId="0" applyFont="1"/>
    <xf numFmtId="0" fontId="1" fillId="0" borderId="6" xfId="0" applyFont="1" applyBorder="1" applyAlignment="1">
      <alignment horizontal="center" vertical="center" wrapText="1"/>
    </xf>
    <xf numFmtId="0" fontId="0" fillId="0" borderId="6" xfId="0" applyBorder="1" applyAlignment="1">
      <alignment horizontal="center" vertical="center" wrapText="1"/>
    </xf>
    <xf numFmtId="3" fontId="0" fillId="0" borderId="6" xfId="0" applyNumberFormat="1" applyBorder="1" applyAlignment="1">
      <alignment horizontal="center"/>
    </xf>
    <xf numFmtId="0" fontId="0" fillId="0" borderId="0" xfId="0" quotePrefix="1"/>
    <xf numFmtId="3" fontId="0" fillId="0" borderId="0" xfId="0" applyNumberFormat="1" applyAlignment="1">
      <alignment horizontal="left"/>
    </xf>
    <xf numFmtId="0" fontId="0" fillId="0" borderId="0" xfId="0" applyAlignment="1">
      <alignment horizontal="center" vertical="center" wrapText="1"/>
    </xf>
    <xf numFmtId="0" fontId="1" fillId="0" borderId="6" xfId="0" applyFont="1" applyBorder="1" applyAlignment="1">
      <alignment horizontal="left" vertical="center" wrapText="1"/>
    </xf>
    <xf numFmtId="0" fontId="0" fillId="0" borderId="0" xfId="0" applyAlignment="1">
      <alignment wrapText="1"/>
    </xf>
    <xf numFmtId="0" fontId="0" fillId="0" borderId="6" xfId="0" applyBorder="1" applyAlignment="1">
      <alignment wrapText="1"/>
    </xf>
    <xf numFmtId="0" fontId="0" fillId="0" borderId="6" xfId="0" applyBorder="1" applyAlignment="1">
      <alignment horizontal="center" vertical="top" wrapText="1"/>
    </xf>
    <xf numFmtId="3" fontId="0" fillId="0" borderId="6" xfId="0" applyNumberFormat="1" applyBorder="1" applyAlignment="1">
      <alignment horizontal="center" vertical="center" wrapText="1"/>
    </xf>
    <xf numFmtId="3" fontId="0" fillId="0" borderId="6" xfId="0" applyNumberFormat="1" applyBorder="1" applyAlignment="1">
      <alignment vertical="center" wrapText="1"/>
    </xf>
    <xf numFmtId="3" fontId="0" fillId="0" borderId="0" xfId="0" applyNumberFormat="1" applyAlignment="1">
      <alignment wrapText="1"/>
    </xf>
    <xf numFmtId="3" fontId="0" fillId="0" borderId="0" xfId="0" applyNumberFormat="1" applyAlignment="1">
      <alignment horizontal="center" wrapText="1"/>
    </xf>
    <xf numFmtId="0" fontId="0" fillId="0" borderId="6" xfId="0" applyBorder="1" applyAlignment="1">
      <alignment horizontal="left" vertical="center" wrapText="1"/>
    </xf>
    <xf numFmtId="3" fontId="0" fillId="0" borderId="0" xfId="0" applyNumberFormat="1" applyAlignment="1">
      <alignment horizontal="center" vertical="center" wrapText="1"/>
    </xf>
    <xf numFmtId="3" fontId="0" fillId="0" borderId="6" xfId="0" applyNumberFormat="1" applyBorder="1" applyAlignment="1">
      <alignment horizontal="center" wrapText="1"/>
    </xf>
    <xf numFmtId="0" fontId="0" fillId="0" borderId="0" xfId="0" applyAlignment="1">
      <alignment horizontal="left" vertical="center" wrapText="1"/>
    </xf>
    <xf numFmtId="0" fontId="1" fillId="0" borderId="0" xfId="0" applyFont="1" applyAlignment="1">
      <alignment wrapText="1"/>
    </xf>
    <xf numFmtId="3" fontId="14" fillId="0" borderId="6" xfId="0" applyNumberFormat="1" applyFont="1" applyBorder="1" applyAlignment="1">
      <alignment horizontal="center" vertical="top" wrapText="1"/>
    </xf>
    <xf numFmtId="3" fontId="14" fillId="0" borderId="6" xfId="0" applyNumberFormat="1" applyFont="1" applyBorder="1" applyAlignment="1">
      <alignment horizontal="center"/>
    </xf>
    <xf numFmtId="0" fontId="18" fillId="0" borderId="0" xfId="0" applyFont="1" applyAlignment="1">
      <alignment horizontal="left" vertical="top" wrapText="1"/>
    </xf>
    <xf numFmtId="0" fontId="14" fillId="0" borderId="0" xfId="0" applyFont="1" applyAlignment="1">
      <alignment horizontal="left" vertical="top" wrapText="1"/>
    </xf>
    <xf numFmtId="0" fontId="13" fillId="0" borderId="0" xfId="0" applyFont="1" applyAlignment="1">
      <alignment vertical="top"/>
    </xf>
    <xf numFmtId="165" fontId="0" fillId="4" borderId="10" xfId="0" applyNumberFormat="1" applyFill="1" applyBorder="1"/>
    <xf numFmtId="164" fontId="15" fillId="7" borderId="1" xfId="0" applyNumberFormat="1" applyFont="1" applyFill="1" applyBorder="1"/>
    <xf numFmtId="164" fontId="14" fillId="4" borderId="10" xfId="0" applyNumberFormat="1" applyFont="1" applyFill="1" applyBorder="1"/>
    <xf numFmtId="164" fontId="15" fillId="8" borderId="1" xfId="0" applyNumberFormat="1" applyFont="1" applyFill="1" applyBorder="1"/>
    <xf numFmtId="6" fontId="12" fillId="0" borderId="6" xfId="0" applyNumberFormat="1" applyFont="1" applyBorder="1"/>
    <xf numFmtId="164" fontId="0" fillId="4" borderId="6" xfId="1" applyNumberFormat="1" applyFont="1" applyFill="1" applyBorder="1"/>
    <xf numFmtId="6" fontId="0" fillId="4" borderId="6" xfId="0" applyNumberFormat="1" applyFill="1" applyBorder="1"/>
    <xf numFmtId="6" fontId="0" fillId="4" borderId="8" xfId="0" applyNumberFormat="1" applyFill="1" applyBorder="1"/>
    <xf numFmtId="164" fontId="15" fillId="9" borderId="1" xfId="0" applyNumberFormat="1" applyFont="1" applyFill="1" applyBorder="1"/>
    <xf numFmtId="164" fontId="0" fillId="0" borderId="6" xfId="0" applyNumberFormat="1" applyBorder="1"/>
    <xf numFmtId="0" fontId="0" fillId="0" borderId="6" xfId="0" applyBorder="1" applyAlignment="1">
      <alignment horizontal="right"/>
    </xf>
    <xf numFmtId="164" fontId="1" fillId="0" borderId="6" xfId="0" applyNumberFormat="1" applyFont="1" applyBorder="1"/>
    <xf numFmtId="164" fontId="1" fillId="2" borderId="6" xfId="0" applyNumberFormat="1" applyFont="1" applyFill="1" applyBorder="1"/>
    <xf numFmtId="164" fontId="0" fillId="10" borderId="6" xfId="0" applyNumberFormat="1" applyFill="1" applyBorder="1"/>
    <xf numFmtId="0" fontId="1" fillId="10" borderId="6" xfId="0" applyFont="1" applyFill="1" applyBorder="1"/>
    <xf numFmtId="10" fontId="1" fillId="0" borderId="6" xfId="0" applyNumberFormat="1" applyFont="1" applyBorder="1"/>
    <xf numFmtId="167" fontId="1" fillId="0" borderId="6" xfId="2" applyNumberFormat="1" applyFont="1" applyBorder="1"/>
    <xf numFmtId="9" fontId="1" fillId="0" borderId="6" xfId="2" applyFont="1" applyBorder="1"/>
    <xf numFmtId="0" fontId="14" fillId="0" borderId="0" xfId="0" applyFont="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1" fillId="0" borderId="6" xfId="0" applyFont="1" applyBorder="1" applyAlignment="1">
      <alignment horizontal="center" vertical="top" wrapText="1"/>
    </xf>
    <xf numFmtId="0" fontId="1" fillId="0" borderId="6"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ecom.sharepoint.com/sites/NZTDepositforRecoveryPermit/Shared%20Documents/General/NZT%20Permit%20Application/Waste%20Recovery%20Plan/Appendix%20C%20Waste%20Volume%20Calculations.xlsx" TargetMode="External"/><Relationship Id="rId1" Type="http://schemas.openxmlformats.org/officeDocument/2006/relationships/externalLinkPath" Target="https://aecom.sharepoint.com/sites/NZTDepositforRecoveryPermit/Shared%20Documents/General/NZT%20Permit%20Application/Waste%20Recovery%20Plan/Appendix%20C%20Waste%20Volume%20Calcul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Detailed Calc"/>
    </sheetNames>
    <sheetDataSet>
      <sheetData sheetId="0"/>
      <sheetData sheetId="1">
        <row r="32">
          <cell r="L32">
            <v>260543.2</v>
          </cell>
          <cell r="M32">
            <v>47199</v>
          </cell>
          <cell r="N32">
            <v>9889</v>
          </cell>
          <cell r="O32">
            <v>16975</v>
          </cell>
        </row>
        <row r="53">
          <cell r="D53">
            <v>81696</v>
          </cell>
        </row>
        <row r="63">
          <cell r="D63">
            <v>13951</v>
          </cell>
        </row>
        <row r="65">
          <cell r="L65">
            <v>84619</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DF0DD-7B9C-437F-9F65-67612228CDDF}">
  <dimension ref="A1:D7"/>
  <sheetViews>
    <sheetView zoomScale="140" zoomScaleNormal="140" workbookViewId="0">
      <selection activeCell="C7" sqref="C7"/>
    </sheetView>
  </sheetViews>
  <sheetFormatPr defaultRowHeight="15" x14ac:dyDescent="0.25"/>
  <cols>
    <col min="1" max="1" width="26.85546875" bestFit="1" customWidth="1"/>
    <col min="2" max="4" width="18.5703125" customWidth="1"/>
  </cols>
  <sheetData>
    <row r="1" spans="1:4" x14ac:dyDescent="0.25">
      <c r="A1" s="1"/>
      <c r="B1" s="1"/>
    </row>
    <row r="2" spans="1:4" x14ac:dyDescent="0.25">
      <c r="A2" s="36"/>
      <c r="B2" s="52" t="s">
        <v>0</v>
      </c>
      <c r="C2" s="52" t="s">
        <v>163</v>
      </c>
      <c r="D2" s="95" t="s">
        <v>1</v>
      </c>
    </row>
    <row r="3" spans="1:4" x14ac:dyDescent="0.25">
      <c r="A3" s="25" t="s">
        <v>2</v>
      </c>
      <c r="B3" s="90">
        <f>'100% Re-use'!B22</f>
        <v>1174145.832612375</v>
      </c>
      <c r="C3" s="90">
        <f>'No Re-use'!B22</f>
        <v>2675097.3353343755</v>
      </c>
      <c r="D3" s="94">
        <f>C3-B3</f>
        <v>1500951.5027220005</v>
      </c>
    </row>
    <row r="4" spans="1:4" x14ac:dyDescent="0.25">
      <c r="A4" s="25" t="s">
        <v>3</v>
      </c>
      <c r="B4" s="90">
        <f>'100% Re-use'!B32</f>
        <v>35351484.020000003</v>
      </c>
      <c r="C4" s="90">
        <f>'No Re-use'!B32</f>
        <v>83014831.290000007</v>
      </c>
      <c r="D4" s="94">
        <f t="shared" ref="D4:D6" si="0">C4-B4</f>
        <v>47663347.270000003</v>
      </c>
    </row>
    <row r="5" spans="1:4" x14ac:dyDescent="0.25">
      <c r="A5" s="25" t="s">
        <v>4</v>
      </c>
      <c r="B5" s="90">
        <f>'100% Re-use'!B44</f>
        <v>9989752.5</v>
      </c>
      <c r="C5" s="90">
        <f>'No Re-use'!B44</f>
        <v>25712470.271249998</v>
      </c>
      <c r="D5" s="94">
        <f t="shared" si="0"/>
        <v>15722717.771249998</v>
      </c>
    </row>
    <row r="6" spans="1:4" x14ac:dyDescent="0.25">
      <c r="A6" s="25" t="s">
        <v>5</v>
      </c>
      <c r="B6" s="90">
        <f>'100% Re-use'!B52</f>
        <v>289157.83333333337</v>
      </c>
      <c r="C6" s="90">
        <v>0</v>
      </c>
      <c r="D6" s="94">
        <f t="shared" si="0"/>
        <v>-289157.83333333337</v>
      </c>
    </row>
    <row r="7" spans="1:4" x14ac:dyDescent="0.25">
      <c r="A7" s="91" t="s">
        <v>6</v>
      </c>
      <c r="B7" s="92">
        <f>SUM(B3:B6)</f>
        <v>46804540.185945712</v>
      </c>
      <c r="C7" s="92">
        <f>SUM(C3:C6)</f>
        <v>111402398.89658438</v>
      </c>
      <c r="D7" s="93">
        <f>SUM(D3:D6)</f>
        <v>64597858.710638665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D717F-D01C-4FA1-85FD-CD5456266F69}">
  <dimension ref="A1:D54"/>
  <sheetViews>
    <sheetView tabSelected="1" workbookViewId="0">
      <selection activeCell="D5" sqref="D5"/>
    </sheetView>
  </sheetViews>
  <sheetFormatPr defaultRowHeight="15" x14ac:dyDescent="0.25"/>
  <cols>
    <col min="1" max="1" width="43.5703125" customWidth="1"/>
    <col min="2" max="2" width="18.5703125" bestFit="1" customWidth="1"/>
    <col min="3" max="3" width="11.42578125" customWidth="1"/>
    <col min="4" max="4" width="95.140625" customWidth="1"/>
    <col min="5" max="5" width="19.85546875" customWidth="1"/>
  </cols>
  <sheetData>
    <row r="1" spans="1:4" ht="21.75" thickBot="1" x14ac:dyDescent="0.35">
      <c r="A1" s="19" t="s">
        <v>7</v>
      </c>
      <c r="B1" s="50">
        <v>334605</v>
      </c>
      <c r="C1" s="51" t="s">
        <v>8</v>
      </c>
    </row>
    <row r="2" spans="1:4" ht="21.75" thickBot="1" x14ac:dyDescent="0.35">
      <c r="A2" s="19" t="s">
        <v>9</v>
      </c>
      <c r="B2" s="50">
        <v>192115</v>
      </c>
      <c r="C2" s="51" t="s">
        <v>8</v>
      </c>
    </row>
    <row r="3" spans="1:4" ht="15.75" thickBot="1" x14ac:dyDescent="0.3"/>
    <row r="4" spans="1:4" x14ac:dyDescent="0.25">
      <c r="A4" s="46" t="s">
        <v>10</v>
      </c>
      <c r="B4" s="47" t="s">
        <v>11</v>
      </c>
      <c r="C4" s="46" t="s">
        <v>12</v>
      </c>
      <c r="D4" s="46" t="s">
        <v>13</v>
      </c>
    </row>
    <row r="5" spans="1:4" ht="17.25" x14ac:dyDescent="0.25">
      <c r="A5" s="25" t="s">
        <v>14</v>
      </c>
      <c r="B5" s="22">
        <f>B1-B2</f>
        <v>142490</v>
      </c>
      <c r="C5" s="26" t="s">
        <v>15</v>
      </c>
      <c r="D5" s="25" t="s">
        <v>16</v>
      </c>
    </row>
    <row r="6" spans="1:4" x14ac:dyDescent="0.25">
      <c r="A6" s="25" t="s">
        <v>17</v>
      </c>
      <c r="B6" s="23">
        <v>1.7</v>
      </c>
      <c r="C6" s="25" t="s">
        <v>18</v>
      </c>
      <c r="D6" s="25" t="s">
        <v>19</v>
      </c>
    </row>
    <row r="7" spans="1:4" x14ac:dyDescent="0.25">
      <c r="A7" s="25" t="s">
        <v>20</v>
      </c>
      <c r="B7" s="27">
        <f>B5*B6</f>
        <v>242233</v>
      </c>
      <c r="C7" s="25" t="s">
        <v>18</v>
      </c>
      <c r="D7" s="25"/>
    </row>
    <row r="8" spans="1:4" x14ac:dyDescent="0.25">
      <c r="A8" s="25" t="s">
        <v>21</v>
      </c>
      <c r="B8" s="23">
        <v>20</v>
      </c>
      <c r="C8" s="25" t="s">
        <v>22</v>
      </c>
      <c r="D8" s="25" t="s">
        <v>162</v>
      </c>
    </row>
    <row r="9" spans="1:4" x14ac:dyDescent="0.25">
      <c r="A9" s="25" t="s">
        <v>23</v>
      </c>
      <c r="B9" s="28">
        <f>B7/B8</f>
        <v>12111.65</v>
      </c>
      <c r="C9" s="30"/>
      <c r="D9" s="25"/>
    </row>
    <row r="10" spans="1:4" x14ac:dyDescent="0.25">
      <c r="A10" s="25" t="s">
        <v>24</v>
      </c>
      <c r="B10" s="23">
        <v>2.5</v>
      </c>
      <c r="C10" s="25" t="s">
        <v>25</v>
      </c>
      <c r="D10" s="25" t="s">
        <v>26</v>
      </c>
    </row>
    <row r="11" spans="1:4" x14ac:dyDescent="0.25">
      <c r="A11" s="25" t="s">
        <v>27</v>
      </c>
      <c r="B11" s="24">
        <f>ROUND(8/B10,0)</f>
        <v>3</v>
      </c>
      <c r="C11" s="30"/>
      <c r="D11" s="25"/>
    </row>
    <row r="12" spans="1:4" x14ac:dyDescent="0.25">
      <c r="A12" s="25" t="s">
        <v>28</v>
      </c>
      <c r="B12" s="28">
        <f>B9/B11</f>
        <v>4037.2166666666667</v>
      </c>
      <c r="C12" s="25" t="s">
        <v>29</v>
      </c>
      <c r="D12" s="25"/>
    </row>
    <row r="13" spans="1:4" x14ac:dyDescent="0.25">
      <c r="A13" s="25" t="s">
        <v>30</v>
      </c>
      <c r="B13" s="29">
        <f>31.35*1.05</f>
        <v>32.917500000000004</v>
      </c>
      <c r="C13" s="30"/>
      <c r="D13" s="25" t="s">
        <v>31</v>
      </c>
    </row>
    <row r="14" spans="1:4" x14ac:dyDescent="0.25">
      <c r="A14" s="25" t="s">
        <v>32</v>
      </c>
      <c r="B14" s="31">
        <f>B13*8</f>
        <v>263.34000000000003</v>
      </c>
      <c r="C14" s="30"/>
      <c r="D14" s="25" t="s">
        <v>33</v>
      </c>
    </row>
    <row r="15" spans="1:4" x14ac:dyDescent="0.25">
      <c r="A15" s="25" t="s">
        <v>34</v>
      </c>
      <c r="B15" s="23">
        <v>32</v>
      </c>
      <c r="C15" s="30"/>
      <c r="D15" s="25" t="s">
        <v>35</v>
      </c>
    </row>
    <row r="16" spans="1:4" x14ac:dyDescent="0.25">
      <c r="A16" s="25" t="s">
        <v>36</v>
      </c>
      <c r="B16" s="23">
        <v>250</v>
      </c>
      <c r="C16" s="25" t="s">
        <v>29</v>
      </c>
      <c r="D16" s="25" t="s">
        <v>37</v>
      </c>
    </row>
    <row r="17" spans="1:4" x14ac:dyDescent="0.25">
      <c r="A17" s="25" t="s">
        <v>38</v>
      </c>
      <c r="B17" s="33">
        <f>B12/B15</f>
        <v>126.16302083333333</v>
      </c>
      <c r="C17" s="25" t="s">
        <v>29</v>
      </c>
      <c r="D17" s="25"/>
    </row>
    <row r="18" spans="1:4" x14ac:dyDescent="0.25">
      <c r="A18" s="25" t="s">
        <v>39</v>
      </c>
      <c r="B18" s="33">
        <f>B17/B16*365</f>
        <v>184.19801041666668</v>
      </c>
      <c r="C18" s="25" t="s">
        <v>29</v>
      </c>
      <c r="D18" s="25"/>
    </row>
    <row r="19" spans="1:4" x14ac:dyDescent="0.25">
      <c r="A19" s="25" t="s">
        <v>40</v>
      </c>
      <c r="B19" s="29">
        <f>71.73*1.05</f>
        <v>75.316500000000005</v>
      </c>
      <c r="C19" s="25" t="s">
        <v>41</v>
      </c>
      <c r="D19" s="25" t="s">
        <v>42</v>
      </c>
    </row>
    <row r="20" spans="1:4" x14ac:dyDescent="0.25">
      <c r="A20" s="25" t="s">
        <v>43</v>
      </c>
      <c r="B20" s="34">
        <f>B19*8</f>
        <v>602.53200000000004</v>
      </c>
      <c r="C20" s="25" t="s">
        <v>44</v>
      </c>
      <c r="D20" s="25"/>
    </row>
    <row r="21" spans="1:4" ht="15.75" thickBot="1" x14ac:dyDescent="0.3">
      <c r="A21" s="25" t="s">
        <v>45</v>
      </c>
      <c r="B21" s="34">
        <f>B20*B18</f>
        <v>110985.19561237501</v>
      </c>
      <c r="C21" s="25"/>
      <c r="D21" s="25"/>
    </row>
    <row r="22" spans="1:4" ht="16.5" thickBot="1" x14ac:dyDescent="0.3">
      <c r="A22" s="32" t="s">
        <v>46</v>
      </c>
      <c r="B22" s="48">
        <f>(B12*B14)+B21</f>
        <v>1174145.832612375</v>
      </c>
    </row>
    <row r="23" spans="1:4" ht="16.5" thickBot="1" x14ac:dyDescent="0.3">
      <c r="A23" s="35"/>
    </row>
    <row r="24" spans="1:4" s="19" customFormat="1" ht="19.5" thickBot="1" x14ac:dyDescent="0.35">
      <c r="A24" s="20"/>
      <c r="B24" s="37" t="s">
        <v>47</v>
      </c>
      <c r="C24" s="38">
        <v>0.1</v>
      </c>
    </row>
    <row r="25" spans="1:4" ht="15.75" thickBot="1" x14ac:dyDescent="0.3">
      <c r="B25" s="18"/>
    </row>
    <row r="26" spans="1:4" x14ac:dyDescent="0.25">
      <c r="A26" s="40" t="s">
        <v>3</v>
      </c>
      <c r="B26" s="41" t="s">
        <v>11</v>
      </c>
      <c r="C26" s="42" t="s">
        <v>12</v>
      </c>
      <c r="D26" s="43" t="s">
        <v>13</v>
      </c>
    </row>
    <row r="27" spans="1:4" x14ac:dyDescent="0.25">
      <c r="A27" s="25" t="s">
        <v>48</v>
      </c>
      <c r="B27" s="39">
        <f>B7*C24</f>
        <v>24223.300000000003</v>
      </c>
      <c r="C27" s="25" t="s">
        <v>22</v>
      </c>
      <c r="D27" s="25"/>
    </row>
    <row r="28" spans="1:4" x14ac:dyDescent="0.25">
      <c r="A28" s="25" t="s">
        <v>49</v>
      </c>
      <c r="B28" s="39">
        <f>B7-B27</f>
        <v>218009.7</v>
      </c>
      <c r="C28" s="25" t="s">
        <v>22</v>
      </c>
      <c r="D28" s="25"/>
    </row>
    <row r="29" spans="1:4" x14ac:dyDescent="0.25">
      <c r="A29" s="25" t="s">
        <v>50</v>
      </c>
      <c r="B29" s="29">
        <v>126.15</v>
      </c>
      <c r="C29" s="25" t="s">
        <v>51</v>
      </c>
      <c r="D29" s="25" t="s">
        <v>161</v>
      </c>
    </row>
    <row r="30" spans="1:4" x14ac:dyDescent="0.25">
      <c r="A30" s="25" t="s">
        <v>52</v>
      </c>
      <c r="B30" s="29">
        <v>4.05</v>
      </c>
      <c r="C30" s="25" t="s">
        <v>51</v>
      </c>
      <c r="D30" s="25" t="s">
        <v>161</v>
      </c>
    </row>
    <row r="31" spans="1:4" ht="15.75" thickBot="1" x14ac:dyDescent="0.3">
      <c r="A31" s="25" t="s">
        <v>53</v>
      </c>
      <c r="B31" s="81">
        <v>32</v>
      </c>
      <c r="C31" s="25" t="s">
        <v>51</v>
      </c>
      <c r="D31" s="25" t="s">
        <v>54</v>
      </c>
    </row>
    <row r="32" spans="1:4" ht="16.5" thickBot="1" x14ac:dyDescent="0.3">
      <c r="A32" s="32" t="s">
        <v>55</v>
      </c>
      <c r="B32" s="82">
        <f>(B7*B31)+(B28*B29)+(B27*B30)</f>
        <v>35351484.020000003</v>
      </c>
    </row>
    <row r="33" spans="1:4" ht="15.75" thickBot="1" x14ac:dyDescent="0.3">
      <c r="B33" s="14"/>
    </row>
    <row r="34" spans="1:4" x14ac:dyDescent="0.25">
      <c r="A34" s="44" t="s">
        <v>56</v>
      </c>
      <c r="B34" s="44" t="s">
        <v>11</v>
      </c>
      <c r="C34" s="44" t="s">
        <v>12</v>
      </c>
      <c r="D34" s="44" t="s">
        <v>13</v>
      </c>
    </row>
    <row r="35" spans="1:4" ht="17.25" x14ac:dyDescent="0.25">
      <c r="A35" s="25" t="s">
        <v>57</v>
      </c>
      <c r="B35" s="22">
        <f>B1-B2</f>
        <v>142490</v>
      </c>
      <c r="C35" s="26" t="s">
        <v>15</v>
      </c>
      <c r="D35" s="25"/>
    </row>
    <row r="36" spans="1:4" x14ac:dyDescent="0.25">
      <c r="A36" s="25" t="s">
        <v>58</v>
      </c>
      <c r="B36" s="22">
        <f>130000*1.7</f>
        <v>221000</v>
      </c>
      <c r="C36" s="26" t="s">
        <v>22</v>
      </c>
      <c r="D36" s="25"/>
    </row>
    <row r="37" spans="1:4" x14ac:dyDescent="0.25">
      <c r="A37" s="25" t="s">
        <v>59</v>
      </c>
      <c r="B37" s="45">
        <f>38.87*1.05</f>
        <v>40.813499999999998</v>
      </c>
      <c r="C37" s="25" t="s">
        <v>51</v>
      </c>
      <c r="D37" s="25"/>
    </row>
    <row r="38" spans="1:4" x14ac:dyDescent="0.25">
      <c r="A38" s="25" t="s">
        <v>60</v>
      </c>
      <c r="B38" s="28">
        <f>B36/B8</f>
        <v>11050</v>
      </c>
      <c r="C38" s="25"/>
      <c r="D38" s="25"/>
    </row>
    <row r="39" spans="1:4" x14ac:dyDescent="0.25">
      <c r="A39" s="25" t="s">
        <v>27</v>
      </c>
      <c r="B39" s="49">
        <v>3</v>
      </c>
      <c r="C39" s="25" t="s">
        <v>44</v>
      </c>
      <c r="D39" s="25"/>
    </row>
    <row r="40" spans="1:4" x14ac:dyDescent="0.25">
      <c r="A40" s="25" t="s">
        <v>61</v>
      </c>
      <c r="B40" s="33">
        <f>B38/3</f>
        <v>3683.3333333333335</v>
      </c>
      <c r="C40" s="25"/>
      <c r="D40" s="25"/>
    </row>
    <row r="41" spans="1:4" x14ac:dyDescent="0.25">
      <c r="A41" s="25" t="s">
        <v>62</v>
      </c>
      <c r="B41" s="23">
        <v>20</v>
      </c>
      <c r="C41" s="25" t="s">
        <v>44</v>
      </c>
      <c r="D41" s="25"/>
    </row>
    <row r="42" spans="1:4" x14ac:dyDescent="0.25">
      <c r="A42" s="25" t="s">
        <v>63</v>
      </c>
      <c r="B42" s="39">
        <f>B40/B41</f>
        <v>184.16666666666669</v>
      </c>
      <c r="C42" s="25"/>
      <c r="D42" s="25"/>
    </row>
    <row r="43" spans="1:4" ht="15.75" thickBot="1" x14ac:dyDescent="0.3">
      <c r="A43" s="25" t="s">
        <v>45</v>
      </c>
      <c r="B43" s="83">
        <f>B42*B20</f>
        <v>110966.31000000001</v>
      </c>
      <c r="C43" s="25"/>
      <c r="D43" s="25"/>
    </row>
    <row r="44" spans="1:4" ht="16.5" thickBot="1" x14ac:dyDescent="0.3">
      <c r="A44" s="32" t="s">
        <v>64</v>
      </c>
      <c r="B44" s="84">
        <f>B36*B37+(B40*B14)</f>
        <v>9989752.5</v>
      </c>
    </row>
    <row r="45" spans="1:4" ht="15.75" thickBot="1" x14ac:dyDescent="0.3"/>
    <row r="46" spans="1:4" x14ac:dyDescent="0.25">
      <c r="A46" s="53" t="s">
        <v>5</v>
      </c>
      <c r="B46" s="54" t="s">
        <v>11</v>
      </c>
      <c r="C46" s="54" t="s">
        <v>12</v>
      </c>
      <c r="D46" s="55" t="s">
        <v>13</v>
      </c>
    </row>
    <row r="47" spans="1:4" x14ac:dyDescent="0.25">
      <c r="A47" s="25" t="s">
        <v>65</v>
      </c>
      <c r="B47" s="86">
        <f>50000+1231+9207+5524+20000+(5166*4)</f>
        <v>106626</v>
      </c>
      <c r="C47" s="25"/>
      <c r="D47" s="25" t="s">
        <v>66</v>
      </c>
    </row>
    <row r="48" spans="1:4" x14ac:dyDescent="0.25">
      <c r="A48" s="25" t="s">
        <v>67</v>
      </c>
      <c r="B48" s="85">
        <v>500</v>
      </c>
      <c r="C48" s="25" t="s">
        <v>68</v>
      </c>
      <c r="D48" s="25"/>
    </row>
    <row r="49" spans="1:4" x14ac:dyDescent="0.25">
      <c r="A49" s="25" t="s">
        <v>69</v>
      </c>
      <c r="B49" s="87">
        <f>((B2*B6)/1500)*B48</f>
        <v>108865.16666666667</v>
      </c>
      <c r="C49" s="25"/>
      <c r="D49" s="25" t="s">
        <v>70</v>
      </c>
    </row>
    <row r="50" spans="1:4" x14ac:dyDescent="0.25">
      <c r="A50" s="25" t="s">
        <v>71</v>
      </c>
      <c r="B50" s="85">
        <v>400</v>
      </c>
      <c r="C50" s="25" t="s">
        <v>72</v>
      </c>
      <c r="D50" s="25" t="s">
        <v>73</v>
      </c>
    </row>
    <row r="51" spans="1:4" ht="15.75" thickBot="1" x14ac:dyDescent="0.3">
      <c r="A51" s="25"/>
      <c r="B51" s="88">
        <f>B42*B50</f>
        <v>73666.666666666672</v>
      </c>
      <c r="C51" s="25"/>
      <c r="D51" s="25"/>
    </row>
    <row r="52" spans="1:4" ht="16.5" thickBot="1" x14ac:dyDescent="0.3">
      <c r="A52" s="35" t="s">
        <v>74</v>
      </c>
      <c r="B52" s="89">
        <f>SUM(B47,B49,B51)</f>
        <v>289157.83333333337</v>
      </c>
    </row>
    <row r="53" spans="1:4" ht="15.75" thickBot="1" x14ac:dyDescent="0.3"/>
    <row r="54" spans="1:4" ht="19.5" thickBot="1" x14ac:dyDescent="0.35">
      <c r="A54" s="20" t="s">
        <v>6</v>
      </c>
      <c r="B54" s="21">
        <f>B22+B32+B44+B52</f>
        <v>46804540.185945712</v>
      </c>
    </row>
  </sheetData>
  <phoneticPr fontId="1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28B8C-8762-4AC3-8C5C-DD33BDA9D60D}">
  <dimension ref="A1:D52"/>
  <sheetViews>
    <sheetView zoomScaleNormal="100" workbookViewId="0">
      <selection activeCell="B48" sqref="B48"/>
    </sheetView>
  </sheetViews>
  <sheetFormatPr defaultRowHeight="15" x14ac:dyDescent="0.25"/>
  <cols>
    <col min="1" max="1" width="43.5703125" customWidth="1"/>
    <col min="2" max="2" width="21.28515625" customWidth="1"/>
    <col min="3" max="3" width="11.42578125" customWidth="1"/>
    <col min="4" max="4" width="95.140625" customWidth="1"/>
    <col min="5" max="5" width="19.85546875" customWidth="1"/>
  </cols>
  <sheetData>
    <row r="1" spans="1:4" ht="21.75" thickBot="1" x14ac:dyDescent="0.35">
      <c r="A1" s="19" t="s">
        <v>7</v>
      </c>
      <c r="B1" s="50">
        <v>334605</v>
      </c>
      <c r="C1" s="51" t="s">
        <v>8</v>
      </c>
    </row>
    <row r="2" spans="1:4" ht="21.75" thickBot="1" x14ac:dyDescent="0.35">
      <c r="A2" s="19" t="s">
        <v>75</v>
      </c>
      <c r="B2" s="50">
        <v>0</v>
      </c>
      <c r="C2" s="51" t="s">
        <v>8</v>
      </c>
    </row>
    <row r="3" spans="1:4" ht="15.75" thickBot="1" x14ac:dyDescent="0.3"/>
    <row r="4" spans="1:4" x14ac:dyDescent="0.25">
      <c r="A4" s="46" t="s">
        <v>10</v>
      </c>
      <c r="B4" s="47" t="s">
        <v>76</v>
      </c>
      <c r="C4" s="46" t="s">
        <v>12</v>
      </c>
      <c r="D4" s="46" t="s">
        <v>13</v>
      </c>
    </row>
    <row r="5" spans="1:4" ht="17.25" x14ac:dyDescent="0.25">
      <c r="A5" s="25" t="s">
        <v>14</v>
      </c>
      <c r="B5" s="22">
        <f>B1</f>
        <v>334605</v>
      </c>
      <c r="C5" s="26" t="s">
        <v>15</v>
      </c>
      <c r="D5" s="25" t="s">
        <v>168</v>
      </c>
    </row>
    <row r="6" spans="1:4" x14ac:dyDescent="0.25">
      <c r="A6" s="25" t="s">
        <v>17</v>
      </c>
      <c r="B6" s="23">
        <v>1.7</v>
      </c>
      <c r="C6" s="25" t="s">
        <v>18</v>
      </c>
      <c r="D6" s="25" t="s">
        <v>19</v>
      </c>
    </row>
    <row r="7" spans="1:4" x14ac:dyDescent="0.25">
      <c r="A7" s="25" t="s">
        <v>20</v>
      </c>
      <c r="B7" s="27">
        <f>B5*B6</f>
        <v>568828.5</v>
      </c>
      <c r="C7" s="25" t="s">
        <v>18</v>
      </c>
      <c r="D7" s="25"/>
    </row>
    <row r="8" spans="1:4" x14ac:dyDescent="0.25">
      <c r="A8" s="25" t="s">
        <v>21</v>
      </c>
      <c r="B8" s="23">
        <v>20</v>
      </c>
      <c r="C8" s="25" t="s">
        <v>22</v>
      </c>
      <c r="D8" s="25" t="s">
        <v>162</v>
      </c>
    </row>
    <row r="9" spans="1:4" x14ac:dyDescent="0.25">
      <c r="A9" s="25" t="s">
        <v>23</v>
      </c>
      <c r="B9" s="28">
        <f>B7/B8</f>
        <v>28441.424999999999</v>
      </c>
      <c r="C9" s="30"/>
      <c r="D9" s="25"/>
    </row>
    <row r="10" spans="1:4" x14ac:dyDescent="0.25">
      <c r="A10" s="25" t="s">
        <v>24</v>
      </c>
      <c r="B10" s="23">
        <v>2.5</v>
      </c>
      <c r="C10" s="25" t="s">
        <v>25</v>
      </c>
      <c r="D10" s="25" t="s">
        <v>26</v>
      </c>
    </row>
    <row r="11" spans="1:4" x14ac:dyDescent="0.25">
      <c r="A11" s="25" t="s">
        <v>27</v>
      </c>
      <c r="B11" s="24">
        <f>ROUND(8/B10,0)</f>
        <v>3</v>
      </c>
      <c r="C11" s="30"/>
      <c r="D11" s="25"/>
    </row>
    <row r="12" spans="1:4" x14ac:dyDescent="0.25">
      <c r="A12" s="25" t="s">
        <v>28</v>
      </c>
      <c r="B12" s="28">
        <f>B9/B11</f>
        <v>9480.4750000000004</v>
      </c>
      <c r="C12" s="25" t="s">
        <v>29</v>
      </c>
      <c r="D12" s="25"/>
    </row>
    <row r="13" spans="1:4" x14ac:dyDescent="0.25">
      <c r="A13" s="25" t="s">
        <v>30</v>
      </c>
      <c r="B13" s="29">
        <f>31.35*1.05</f>
        <v>32.917500000000004</v>
      </c>
      <c r="C13" s="30"/>
      <c r="D13" s="25" t="s">
        <v>31</v>
      </c>
    </row>
    <row r="14" spans="1:4" x14ac:dyDescent="0.25">
      <c r="A14" s="25" t="s">
        <v>32</v>
      </c>
      <c r="B14" s="31">
        <f>B13*8</f>
        <v>263.34000000000003</v>
      </c>
      <c r="C14" s="30"/>
      <c r="D14" s="25" t="s">
        <v>33</v>
      </c>
    </row>
    <row r="15" spans="1:4" x14ac:dyDescent="0.25">
      <c r="A15" s="25" t="s">
        <v>34</v>
      </c>
      <c r="B15" s="23">
        <v>32</v>
      </c>
      <c r="C15" s="30"/>
      <c r="D15" s="25" t="s">
        <v>35</v>
      </c>
    </row>
    <row r="16" spans="1:4" x14ac:dyDescent="0.25">
      <c r="A16" s="25" t="s">
        <v>36</v>
      </c>
      <c r="B16" s="23">
        <v>250</v>
      </c>
      <c r="C16" s="25" t="s">
        <v>29</v>
      </c>
      <c r="D16" s="25" t="s">
        <v>37</v>
      </c>
    </row>
    <row r="17" spans="1:4" x14ac:dyDescent="0.25">
      <c r="A17" s="25" t="s">
        <v>38</v>
      </c>
      <c r="B17" s="33">
        <f>B12/B15</f>
        <v>296.26484375000001</v>
      </c>
      <c r="C17" s="25" t="s">
        <v>29</v>
      </c>
      <c r="D17" s="25"/>
    </row>
    <row r="18" spans="1:4" x14ac:dyDescent="0.25">
      <c r="A18" s="25" t="s">
        <v>39</v>
      </c>
      <c r="B18" s="33">
        <f>B17/B16*365</f>
        <v>432.54667187500002</v>
      </c>
      <c r="C18" s="25" t="s">
        <v>29</v>
      </c>
      <c r="D18" s="25"/>
    </row>
    <row r="19" spans="1:4" x14ac:dyDescent="0.25">
      <c r="A19" s="25" t="s">
        <v>40</v>
      </c>
      <c r="B19" s="29">
        <f>71.73*1.05</f>
        <v>75.316500000000005</v>
      </c>
      <c r="C19" s="25" t="s">
        <v>77</v>
      </c>
      <c r="D19" s="25" t="s">
        <v>42</v>
      </c>
    </row>
    <row r="20" spans="1:4" x14ac:dyDescent="0.25">
      <c r="A20" s="25" t="s">
        <v>43</v>
      </c>
      <c r="B20" s="34">
        <f>B19*8</f>
        <v>602.53200000000004</v>
      </c>
      <c r="C20" s="25" t="s">
        <v>44</v>
      </c>
      <c r="D20" s="25"/>
    </row>
    <row r="21" spans="1:4" ht="15.75" thickBot="1" x14ac:dyDescent="0.3">
      <c r="A21" s="25" t="s">
        <v>45</v>
      </c>
      <c r="B21" s="34">
        <f>B20*B17</f>
        <v>178509.04883437502</v>
      </c>
      <c r="C21" s="30"/>
      <c r="D21" s="25"/>
    </row>
    <row r="22" spans="1:4" ht="16.5" thickBot="1" x14ac:dyDescent="0.3">
      <c r="A22" s="32" t="s">
        <v>78</v>
      </c>
      <c r="B22" s="48">
        <f>(B12*B14)+B21</f>
        <v>2675097.3353343755</v>
      </c>
    </row>
    <row r="23" spans="1:4" ht="16.5" thickBot="1" x14ac:dyDescent="0.3">
      <c r="A23" s="35"/>
      <c r="D23">
        <v>126.15</v>
      </c>
    </row>
    <row r="24" spans="1:4" s="19" customFormat="1" ht="19.5" thickBot="1" x14ac:dyDescent="0.35">
      <c r="A24" s="20"/>
      <c r="B24" s="37" t="s">
        <v>47</v>
      </c>
      <c r="C24" s="38">
        <v>0.1</v>
      </c>
    </row>
    <row r="25" spans="1:4" ht="15.75" thickBot="1" x14ac:dyDescent="0.3">
      <c r="B25" s="18"/>
    </row>
    <row r="26" spans="1:4" x14ac:dyDescent="0.25">
      <c r="A26" s="40" t="s">
        <v>3</v>
      </c>
      <c r="B26" s="41" t="s">
        <v>76</v>
      </c>
      <c r="C26" s="42" t="s">
        <v>12</v>
      </c>
      <c r="D26" s="43" t="s">
        <v>13</v>
      </c>
    </row>
    <row r="27" spans="1:4" x14ac:dyDescent="0.25">
      <c r="A27" s="25" t="s">
        <v>48</v>
      </c>
      <c r="B27" s="39">
        <f>((B1-B2)*B6)*$C$24</f>
        <v>56882.850000000006</v>
      </c>
      <c r="C27" s="25" t="s">
        <v>22</v>
      </c>
      <c r="D27" s="25"/>
    </row>
    <row r="28" spans="1:4" x14ac:dyDescent="0.25">
      <c r="A28" s="25" t="s">
        <v>49</v>
      </c>
      <c r="B28" s="39">
        <f>B7-B27</f>
        <v>511945.65</v>
      </c>
      <c r="C28" s="25" t="s">
        <v>22</v>
      </c>
      <c r="D28" s="25"/>
    </row>
    <row r="29" spans="1:4" x14ac:dyDescent="0.25">
      <c r="A29" s="25" t="s">
        <v>50</v>
      </c>
      <c r="B29" s="29">
        <v>126.15</v>
      </c>
      <c r="C29" s="25" t="s">
        <v>51</v>
      </c>
      <c r="D29" s="25" t="s">
        <v>161</v>
      </c>
    </row>
    <row r="30" spans="1:4" x14ac:dyDescent="0.25">
      <c r="A30" s="25" t="s">
        <v>52</v>
      </c>
      <c r="B30" s="29">
        <v>4.05</v>
      </c>
      <c r="C30" s="25" t="s">
        <v>51</v>
      </c>
      <c r="D30" s="25" t="s">
        <v>161</v>
      </c>
    </row>
    <row r="31" spans="1:4" ht="15.75" thickBot="1" x14ac:dyDescent="0.3">
      <c r="A31" s="25" t="s">
        <v>53</v>
      </c>
      <c r="B31" s="81">
        <v>32</v>
      </c>
      <c r="C31" s="25" t="s">
        <v>51</v>
      </c>
      <c r="D31" s="25" t="s">
        <v>54</v>
      </c>
    </row>
    <row r="32" spans="1:4" ht="16.5" thickBot="1" x14ac:dyDescent="0.3">
      <c r="A32" s="32" t="s">
        <v>79</v>
      </c>
      <c r="B32" s="82">
        <f>(B7*B31)+(B28*B29)+(B27*B30)</f>
        <v>83014831.290000007</v>
      </c>
    </row>
    <row r="33" spans="1:4" ht="15.75" thickBot="1" x14ac:dyDescent="0.3">
      <c r="B33" s="14"/>
    </row>
    <row r="34" spans="1:4" x14ac:dyDescent="0.25">
      <c r="A34" s="44" t="s">
        <v>56</v>
      </c>
      <c r="B34" s="44" t="s">
        <v>76</v>
      </c>
      <c r="C34" s="44" t="s">
        <v>12</v>
      </c>
      <c r="D34" s="44" t="s">
        <v>13</v>
      </c>
    </row>
    <row r="35" spans="1:4" ht="17.25" x14ac:dyDescent="0.25">
      <c r="A35" s="25" t="s">
        <v>57</v>
      </c>
      <c r="B35" s="22">
        <f>B1-B2</f>
        <v>334605</v>
      </c>
      <c r="C35" s="26" t="s">
        <v>15</v>
      </c>
      <c r="D35" s="25"/>
    </row>
    <row r="36" spans="1:4" x14ac:dyDescent="0.25">
      <c r="A36" s="25" t="s">
        <v>58</v>
      </c>
      <c r="B36" s="22">
        <f>B35*1.7</f>
        <v>568828.5</v>
      </c>
      <c r="C36" s="26" t="s">
        <v>22</v>
      </c>
      <c r="D36" s="25"/>
    </row>
    <row r="37" spans="1:4" x14ac:dyDescent="0.25">
      <c r="A37" s="25" t="s">
        <v>59</v>
      </c>
      <c r="B37" s="45">
        <f>38.87*1.05</f>
        <v>40.813499999999998</v>
      </c>
      <c r="C37" s="25" t="s">
        <v>51</v>
      </c>
      <c r="D37" s="25"/>
    </row>
    <row r="38" spans="1:4" x14ac:dyDescent="0.25">
      <c r="A38" s="25" t="s">
        <v>60</v>
      </c>
      <c r="B38" s="28">
        <f>B36/B8</f>
        <v>28441.424999999999</v>
      </c>
      <c r="C38" s="25"/>
      <c r="D38" s="25"/>
    </row>
    <row r="39" spans="1:4" x14ac:dyDescent="0.25">
      <c r="A39" s="25" t="s">
        <v>27</v>
      </c>
      <c r="B39" s="49">
        <v>3</v>
      </c>
      <c r="C39" s="25" t="s">
        <v>44</v>
      </c>
      <c r="D39" s="25"/>
    </row>
    <row r="40" spans="1:4" x14ac:dyDescent="0.25">
      <c r="A40" s="25" t="s">
        <v>61</v>
      </c>
      <c r="B40" s="33">
        <f>B38/3</f>
        <v>9480.4750000000004</v>
      </c>
      <c r="C40" s="25"/>
      <c r="D40" s="25"/>
    </row>
    <row r="41" spans="1:4" x14ac:dyDescent="0.25">
      <c r="A41" s="25" t="s">
        <v>62</v>
      </c>
      <c r="B41" s="23">
        <v>20</v>
      </c>
      <c r="C41" s="25" t="s">
        <v>44</v>
      </c>
      <c r="D41" s="25"/>
    </row>
    <row r="42" spans="1:4" x14ac:dyDescent="0.25">
      <c r="A42" s="25" t="s">
        <v>63</v>
      </c>
      <c r="B42" s="39">
        <f>B40/B41</f>
        <v>474.02375000000001</v>
      </c>
      <c r="C42" s="25"/>
      <c r="D42" s="25"/>
    </row>
    <row r="43" spans="1:4" ht="15.75" thickBot="1" x14ac:dyDescent="0.3">
      <c r="A43" s="25" t="s">
        <v>45</v>
      </c>
      <c r="B43" s="83">
        <f>B42*B20</f>
        <v>285614.47813500004</v>
      </c>
      <c r="C43" s="25"/>
      <c r="D43" s="25"/>
    </row>
    <row r="44" spans="1:4" ht="16.5" thickBot="1" x14ac:dyDescent="0.3">
      <c r="A44" s="32" t="s">
        <v>80</v>
      </c>
      <c r="B44" s="84">
        <f>B36*B37+(B40*B14)</f>
        <v>25712470.271249998</v>
      </c>
    </row>
    <row r="45" spans="1:4" ht="15.75" thickBot="1" x14ac:dyDescent="0.3"/>
    <row r="46" spans="1:4" ht="19.5" thickBot="1" x14ac:dyDescent="0.35">
      <c r="A46" s="20" t="s">
        <v>6</v>
      </c>
      <c r="B46" s="21">
        <f>B22+B32+B44</f>
        <v>111402398.89658438</v>
      </c>
    </row>
    <row r="49" spans="1:2" x14ac:dyDescent="0.25">
      <c r="A49" s="52" t="s">
        <v>164</v>
      </c>
      <c r="B49" s="96">
        <f>B46/4141900000</f>
        <v>2.6896448223420261E-2</v>
      </c>
    </row>
    <row r="50" spans="1:2" x14ac:dyDescent="0.25">
      <c r="A50" s="52" t="s">
        <v>165</v>
      </c>
      <c r="B50" s="96">
        <f>B46/490000000</f>
        <v>0.22735183448282525</v>
      </c>
    </row>
    <row r="51" spans="1:2" x14ac:dyDescent="0.25">
      <c r="A51" s="52" t="s">
        <v>166</v>
      </c>
      <c r="B51" s="97">
        <f>B46/7320200000</f>
        <v>1.5218491147316245E-2</v>
      </c>
    </row>
    <row r="52" spans="1:2" x14ac:dyDescent="0.25">
      <c r="A52" s="52" t="s">
        <v>167</v>
      </c>
      <c r="B52" s="98">
        <f>B46/1360300000</f>
        <v>8.1895463424674242E-2</v>
      </c>
    </row>
  </sheetData>
  <phoneticPr fontId="1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D3FB2-8ED7-4CB4-A6FF-D0C657F30D54}">
  <dimension ref="A1:N44"/>
  <sheetViews>
    <sheetView topLeftCell="A15" zoomScale="115" zoomScaleNormal="115" workbookViewId="0">
      <selection activeCell="F18" sqref="F18"/>
    </sheetView>
  </sheetViews>
  <sheetFormatPr defaultRowHeight="15" x14ac:dyDescent="0.25"/>
  <cols>
    <col min="1" max="1" width="28.140625" customWidth="1"/>
    <col min="2" max="2" width="16.7109375" customWidth="1"/>
    <col min="3" max="3" width="17.5703125" customWidth="1"/>
    <col min="4" max="4" width="16.7109375" customWidth="1"/>
    <col min="5" max="5" width="14.140625" customWidth="1"/>
    <col min="6" max="6" width="21.140625" customWidth="1"/>
    <col min="9" max="9" width="16.7109375" bestFit="1" customWidth="1"/>
    <col min="14" max="14" width="13.42578125" bestFit="1" customWidth="1"/>
  </cols>
  <sheetData>
    <row r="1" spans="1:9" x14ac:dyDescent="0.25">
      <c r="A1" s="1" t="s">
        <v>81</v>
      </c>
      <c r="D1" s="1" t="s">
        <v>82</v>
      </c>
      <c r="F1" s="1" t="s">
        <v>83</v>
      </c>
    </row>
    <row r="2" spans="1:9" x14ac:dyDescent="0.25">
      <c r="A2" t="s">
        <v>84</v>
      </c>
      <c r="B2">
        <v>155</v>
      </c>
      <c r="C2" t="s">
        <v>85</v>
      </c>
      <c r="D2">
        <v>155</v>
      </c>
      <c r="E2" t="s">
        <v>85</v>
      </c>
      <c r="F2">
        <v>155</v>
      </c>
      <c r="G2" t="s">
        <v>85</v>
      </c>
    </row>
    <row r="3" spans="1:9" x14ac:dyDescent="0.25">
      <c r="A3" t="s">
        <v>86</v>
      </c>
      <c r="B3">
        <v>50</v>
      </c>
      <c r="C3" t="s">
        <v>87</v>
      </c>
      <c r="D3">
        <v>50</v>
      </c>
      <c r="E3" t="s">
        <v>87</v>
      </c>
      <c r="F3">
        <v>50</v>
      </c>
      <c r="G3" t="s">
        <v>87</v>
      </c>
    </row>
    <row r="5" spans="1:9" x14ac:dyDescent="0.25">
      <c r="A5" t="s">
        <v>88</v>
      </c>
      <c r="B5">
        <v>0</v>
      </c>
      <c r="C5" t="s">
        <v>89</v>
      </c>
      <c r="D5">
        <f>84619+107496</f>
        <v>192115</v>
      </c>
      <c r="E5" t="s">
        <v>89</v>
      </c>
      <c r="F5">
        <f>84619</f>
        <v>84619</v>
      </c>
      <c r="G5" t="s">
        <v>89</v>
      </c>
      <c r="I5">
        <f>F5/D5</f>
        <v>0.44046014106134346</v>
      </c>
    </row>
    <row r="6" spans="1:9" x14ac:dyDescent="0.25">
      <c r="A6" t="s">
        <v>88</v>
      </c>
      <c r="B6">
        <v>0</v>
      </c>
      <c r="C6" t="s">
        <v>90</v>
      </c>
      <c r="D6">
        <f>152315+193493</f>
        <v>345808</v>
      </c>
      <c r="E6" t="s">
        <v>90</v>
      </c>
      <c r="F6">
        <v>152315</v>
      </c>
      <c r="G6" t="s">
        <v>90</v>
      </c>
    </row>
    <row r="7" spans="1:9" x14ac:dyDescent="0.25">
      <c r="A7" t="s">
        <v>91</v>
      </c>
      <c r="B7">
        <v>345808</v>
      </c>
      <c r="C7" t="s">
        <v>90</v>
      </c>
      <c r="D7">
        <v>0</v>
      </c>
      <c r="E7" t="s">
        <v>90</v>
      </c>
      <c r="F7">
        <v>193493</v>
      </c>
      <c r="G7" t="s">
        <v>90</v>
      </c>
    </row>
    <row r="8" spans="1:9" x14ac:dyDescent="0.25">
      <c r="A8" t="s">
        <v>92</v>
      </c>
      <c r="B8">
        <v>334606</v>
      </c>
      <c r="C8" t="s">
        <v>89</v>
      </c>
      <c r="D8">
        <v>142491</v>
      </c>
      <c r="E8" t="s">
        <v>89</v>
      </c>
      <c r="F8">
        <v>249987</v>
      </c>
      <c r="G8" t="s">
        <v>89</v>
      </c>
    </row>
    <row r="9" spans="1:9" x14ac:dyDescent="0.25">
      <c r="A9" t="s">
        <v>93</v>
      </c>
      <c r="B9" s="2">
        <f>B8*1.8</f>
        <v>602290.80000000005</v>
      </c>
      <c r="C9" t="s">
        <v>90</v>
      </c>
      <c r="D9" s="2">
        <f>D8*1.8</f>
        <v>256483.80000000002</v>
      </c>
      <c r="F9" s="2">
        <f>F8*1.8</f>
        <v>449976.60000000003</v>
      </c>
    </row>
    <row r="10" spans="1:9" x14ac:dyDescent="0.25">
      <c r="A10" t="s">
        <v>94</v>
      </c>
      <c r="B10">
        <v>10</v>
      </c>
      <c r="C10" t="s">
        <v>89</v>
      </c>
      <c r="D10">
        <v>10</v>
      </c>
      <c r="E10" t="s">
        <v>89</v>
      </c>
      <c r="F10">
        <v>10</v>
      </c>
      <c r="G10" t="s">
        <v>89</v>
      </c>
    </row>
    <row r="11" spans="1:9" x14ac:dyDescent="0.25">
      <c r="A11" t="s">
        <v>95</v>
      </c>
      <c r="B11" s="2">
        <f>B9/20</f>
        <v>30114.54</v>
      </c>
      <c r="C11" s="2"/>
      <c r="D11" s="2">
        <f>D9/20</f>
        <v>12824.19</v>
      </c>
      <c r="E11" s="2"/>
      <c r="F11" s="2">
        <f>F9/20</f>
        <v>22498.83</v>
      </c>
    </row>
    <row r="12" spans="1:9" x14ac:dyDescent="0.25">
      <c r="A12" t="s">
        <v>96</v>
      </c>
      <c r="B12" s="2">
        <f>B7/20</f>
        <v>17290.400000000001</v>
      </c>
      <c r="C12" s="2"/>
      <c r="D12" s="2">
        <f>D7/20</f>
        <v>0</v>
      </c>
      <c r="E12" s="2"/>
      <c r="F12" s="2">
        <f>F7/20</f>
        <v>9674.65</v>
      </c>
    </row>
    <row r="13" spans="1:9" x14ac:dyDescent="0.25">
      <c r="A13" t="s">
        <v>97</v>
      </c>
      <c r="B13" s="2">
        <v>500</v>
      </c>
      <c r="C13" s="2" t="s">
        <v>98</v>
      </c>
      <c r="D13" s="2">
        <v>500</v>
      </c>
      <c r="E13" s="2" t="s">
        <v>98</v>
      </c>
      <c r="F13" s="2">
        <v>500</v>
      </c>
      <c r="G13" s="2" t="s">
        <v>98</v>
      </c>
    </row>
    <row r="14" spans="1:9" x14ac:dyDescent="0.25">
      <c r="A14" t="s">
        <v>99</v>
      </c>
      <c r="B14" s="2">
        <v>350</v>
      </c>
      <c r="C14" s="2" t="s">
        <v>100</v>
      </c>
      <c r="D14" s="2">
        <v>350</v>
      </c>
      <c r="E14" s="2" t="s">
        <v>100</v>
      </c>
      <c r="F14" s="2">
        <v>350</v>
      </c>
      <c r="G14" s="2" t="s">
        <v>100</v>
      </c>
    </row>
    <row r="15" spans="1:9" ht="15.75" thickBot="1" x14ac:dyDescent="0.3"/>
    <row r="16" spans="1:9" ht="15.75" thickBot="1" x14ac:dyDescent="0.3">
      <c r="A16" s="3"/>
      <c r="B16" s="4" t="s">
        <v>101</v>
      </c>
      <c r="C16" s="4" t="s">
        <v>102</v>
      </c>
      <c r="D16" s="5" t="s">
        <v>103</v>
      </c>
    </row>
    <row r="17" spans="1:14" ht="15.75" thickBot="1" x14ac:dyDescent="0.3">
      <c r="A17" s="6" t="s">
        <v>104</v>
      </c>
      <c r="B17" s="7">
        <f>B7*B3</f>
        <v>17290400</v>
      </c>
      <c r="C17" s="7">
        <f>D7*D3</f>
        <v>0</v>
      </c>
      <c r="D17" s="7">
        <f>F7*F3</f>
        <v>9674650</v>
      </c>
      <c r="F17" s="2"/>
    </row>
    <row r="18" spans="1:14" ht="15.75" thickBot="1" x14ac:dyDescent="0.3">
      <c r="A18" s="6" t="s">
        <v>105</v>
      </c>
      <c r="B18" s="7">
        <f>B5*B10</f>
        <v>0</v>
      </c>
      <c r="C18" s="7">
        <f>D5*D10</f>
        <v>1921150</v>
      </c>
      <c r="D18" s="7">
        <f>F5*F10</f>
        <v>846190</v>
      </c>
    </row>
    <row r="19" spans="1:14" ht="15.75" thickBot="1" x14ac:dyDescent="0.3">
      <c r="A19" s="6" t="s">
        <v>106</v>
      </c>
      <c r="B19" s="7">
        <f>B8*B2</f>
        <v>51863930</v>
      </c>
      <c r="C19" s="7">
        <f>D8*D2</f>
        <v>22086105</v>
      </c>
      <c r="D19" s="7">
        <f>F8*F2</f>
        <v>38747985</v>
      </c>
    </row>
    <row r="20" spans="1:14" ht="27.75" thickBot="1" x14ac:dyDescent="0.3">
      <c r="A20" s="3" t="s">
        <v>107</v>
      </c>
      <c r="B20" s="7">
        <v>0</v>
      </c>
      <c r="C20" s="7">
        <f>50000+1231+9207+5524+20000+(5166*4)</f>
        <v>106626</v>
      </c>
      <c r="D20" s="7">
        <f>50000+1231+9207+5524+20000+(5166*4)</f>
        <v>106626</v>
      </c>
    </row>
    <row r="21" spans="1:14" ht="15.75" thickBot="1" x14ac:dyDescent="0.3">
      <c r="A21" s="6" t="s">
        <v>108</v>
      </c>
      <c r="B21" s="7">
        <f>(B6/1500)*B13</f>
        <v>0</v>
      </c>
      <c r="C21" s="7">
        <f>(D6/1500)*D13</f>
        <v>115269.33333333333</v>
      </c>
      <c r="D21" s="7">
        <f>(F6/1500)*F13</f>
        <v>50771.666666666672</v>
      </c>
      <c r="G21">
        <f>33.95*1.8</f>
        <v>61.110000000000007</v>
      </c>
    </row>
    <row r="22" spans="1:14" ht="27.75" thickBot="1" x14ac:dyDescent="0.3">
      <c r="A22" s="6" t="s">
        <v>109</v>
      </c>
      <c r="B22" s="7">
        <v>0</v>
      </c>
      <c r="C22" s="7">
        <f>(D14*2*52*4)</f>
        <v>145600</v>
      </c>
      <c r="D22" s="7">
        <f>(F14*2*52*4)</f>
        <v>145600</v>
      </c>
    </row>
    <row r="23" spans="1:14" ht="15.75" thickBot="1" x14ac:dyDescent="0.3">
      <c r="A23" s="8" t="s">
        <v>110</v>
      </c>
      <c r="B23" s="9">
        <f>SUM(B17:B22)</f>
        <v>69154330</v>
      </c>
      <c r="C23" s="9">
        <f>SUM(C17:C22)</f>
        <v>24374750.333333332</v>
      </c>
      <c r="D23" s="9">
        <f>SUM(D17:D22)</f>
        <v>49571822.666666664</v>
      </c>
    </row>
    <row r="24" spans="1:14" x14ac:dyDescent="0.25">
      <c r="A24" s="10" t="s">
        <v>111</v>
      </c>
      <c r="B24" s="11">
        <v>0</v>
      </c>
      <c r="C24" s="12">
        <f>B23-C23</f>
        <v>44779579.666666672</v>
      </c>
      <c r="D24" s="12">
        <f>B23-D23</f>
        <v>19582507.333333336</v>
      </c>
    </row>
    <row r="28" spans="1:14" x14ac:dyDescent="0.25">
      <c r="N28" s="14">
        <f>373400*31.56</f>
        <v>11784504</v>
      </c>
    </row>
    <row r="29" spans="1:14" x14ac:dyDescent="0.25">
      <c r="C29" t="s">
        <v>112</v>
      </c>
      <c r="D29" s="14">
        <f>602291*32</f>
        <v>19273312</v>
      </c>
    </row>
    <row r="30" spans="1:14" x14ac:dyDescent="0.25">
      <c r="C30" t="s">
        <v>113</v>
      </c>
      <c r="D30" s="14">
        <f>602291*103.7</f>
        <v>62457576.700000003</v>
      </c>
      <c r="E30" t="s">
        <v>114</v>
      </c>
      <c r="I30">
        <f>93.054/4631.93</f>
        <v>2.0089681838887891E-2</v>
      </c>
    </row>
    <row r="31" spans="1:14" x14ac:dyDescent="0.25">
      <c r="C31" t="s">
        <v>115</v>
      </c>
      <c r="D31" s="14">
        <f>334606*3.6</f>
        <v>1204581.6000000001</v>
      </c>
    </row>
    <row r="32" spans="1:14" x14ac:dyDescent="0.25">
      <c r="B32" s="13"/>
      <c r="C32" t="s">
        <v>116</v>
      </c>
      <c r="D32" s="14">
        <f>(602291/30)*330</f>
        <v>6625200.9999999991</v>
      </c>
      <c r="F32" s="14">
        <f>334606 *28</f>
        <v>9368968</v>
      </c>
    </row>
    <row r="33" spans="2:9" x14ac:dyDescent="0.25">
      <c r="C33" t="s">
        <v>117</v>
      </c>
      <c r="D33" s="13">
        <f>SUM(D30:D32)</f>
        <v>70287359.299999997</v>
      </c>
    </row>
    <row r="34" spans="2:9" ht="15.75" thickBot="1" x14ac:dyDescent="0.3">
      <c r="C34" t="s">
        <v>118</v>
      </c>
      <c r="D34" s="14">
        <f>D5*33.95</f>
        <v>6522304.2500000009</v>
      </c>
    </row>
    <row r="35" spans="2:9" ht="15.75" thickBot="1" x14ac:dyDescent="0.3">
      <c r="F35" s="15" t="s">
        <v>119</v>
      </c>
    </row>
    <row r="36" spans="2:9" ht="15.75" thickBot="1" x14ac:dyDescent="0.3">
      <c r="F36" s="16">
        <v>7026728</v>
      </c>
    </row>
    <row r="37" spans="2:9" ht="15.75" thickBot="1" x14ac:dyDescent="0.3">
      <c r="B37">
        <v>2022</v>
      </c>
      <c r="C37">
        <v>12.3</v>
      </c>
      <c r="F37" s="16">
        <v>19273312</v>
      </c>
    </row>
    <row r="38" spans="2:9" ht="15.75" thickBot="1" x14ac:dyDescent="0.3">
      <c r="C38">
        <v>2.9</v>
      </c>
      <c r="D38">
        <f>AVERAGE(C37:C38)</f>
        <v>7.6000000000000005</v>
      </c>
      <c r="F38" s="16">
        <v>62457577</v>
      </c>
    </row>
    <row r="39" spans="2:9" ht="15.75" thickBot="1" x14ac:dyDescent="0.3">
      <c r="F39" s="16">
        <v>17290400</v>
      </c>
    </row>
    <row r="40" spans="2:9" x14ac:dyDescent="0.25">
      <c r="D40">
        <f>31.56*1.076</f>
        <v>33.958559999999999</v>
      </c>
      <c r="F40" s="14">
        <f>SUM(F35:F39)</f>
        <v>106048017</v>
      </c>
    </row>
    <row r="42" spans="2:9" x14ac:dyDescent="0.25">
      <c r="F42" s="17">
        <f>F40/(6265.7*1000000)</f>
        <v>1.6925166701246469E-2</v>
      </c>
      <c r="I42">
        <f>4631.93*1000000</f>
        <v>4631930000</v>
      </c>
    </row>
    <row r="43" spans="2:9" x14ac:dyDescent="0.25">
      <c r="I43" s="14">
        <f>I42+F40</f>
        <v>4737978017</v>
      </c>
    </row>
    <row r="44" spans="2:9" x14ac:dyDescent="0.25">
      <c r="I44" s="17">
        <f>I43/I42</f>
        <v>1.0228949956065829</v>
      </c>
    </row>
  </sheetData>
  <pageMargins left="0.7" right="0.7" top="0.75" bottom="0.75" header="0.3" footer="0.3"/>
  <pageSetup paperSize="9" orientation="portrait" horizontalDpi="300"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AAB04-D495-495E-9814-6C3A4EE977DA}">
  <dimension ref="A2:I58"/>
  <sheetViews>
    <sheetView view="pageBreakPreview" topLeftCell="A46" zoomScale="115" zoomScaleNormal="100" zoomScaleSheetLayoutView="115" workbookViewId="0">
      <selection activeCell="H10" sqref="H10"/>
    </sheetView>
  </sheetViews>
  <sheetFormatPr defaultRowHeight="15" x14ac:dyDescent="0.25"/>
  <cols>
    <col min="1" max="1" width="3.5703125" customWidth="1"/>
    <col min="2" max="2" width="27.42578125" customWidth="1"/>
    <col min="3" max="3" width="23.42578125" customWidth="1"/>
    <col min="4" max="4" width="19.42578125" customWidth="1"/>
    <col min="5" max="5" width="20.42578125" customWidth="1"/>
    <col min="6" max="6" width="11.42578125" customWidth="1"/>
    <col min="7" max="7" width="9.5703125" bestFit="1" customWidth="1"/>
  </cols>
  <sheetData>
    <row r="2" spans="1:9" ht="15.75" x14ac:dyDescent="0.25">
      <c r="B2" s="56" t="s">
        <v>120</v>
      </c>
    </row>
    <row r="3" spans="1:9" ht="15.75" x14ac:dyDescent="0.25">
      <c r="B3" s="56" t="s">
        <v>121</v>
      </c>
    </row>
    <row r="4" spans="1:9" ht="15.75" x14ac:dyDescent="0.25">
      <c r="B4" s="56"/>
    </row>
    <row r="7" spans="1:9" x14ac:dyDescent="0.25">
      <c r="A7" s="1" t="s">
        <v>122</v>
      </c>
      <c r="B7" s="1" t="s">
        <v>123</v>
      </c>
    </row>
    <row r="9" spans="1:9" ht="14.45" customHeight="1" x14ac:dyDescent="0.25">
      <c r="B9" s="104" t="s">
        <v>124</v>
      </c>
      <c r="C9" s="104" t="s">
        <v>125</v>
      </c>
      <c r="D9" s="104" t="s">
        <v>126</v>
      </c>
      <c r="E9" s="104" t="s">
        <v>127</v>
      </c>
      <c r="I9" s="2">
        <f>B12+C12+D12+E12</f>
        <v>334606.2</v>
      </c>
    </row>
    <row r="10" spans="1:9" x14ac:dyDescent="0.25">
      <c r="B10" s="104"/>
      <c r="C10" s="104"/>
      <c r="D10" s="104"/>
      <c r="E10" s="104"/>
      <c r="H10">
        <f>I9*1.8</f>
        <v>602291.16</v>
      </c>
    </row>
    <row r="11" spans="1:9" x14ac:dyDescent="0.25">
      <c r="B11" s="58" t="s">
        <v>128</v>
      </c>
      <c r="C11" s="58" t="s">
        <v>128</v>
      </c>
      <c r="D11" s="58" t="s">
        <v>128</v>
      </c>
      <c r="E11" s="58" t="s">
        <v>128</v>
      </c>
    </row>
    <row r="12" spans="1:9" x14ac:dyDescent="0.25">
      <c r="B12" s="59">
        <f>'[1]Detailed Calc'!L32</f>
        <v>260543.2</v>
      </c>
      <c r="C12" s="59">
        <f>'[1]Detailed Calc'!M32</f>
        <v>47199</v>
      </c>
      <c r="D12" s="59">
        <f>'[1]Detailed Calc'!N32</f>
        <v>9889</v>
      </c>
      <c r="E12" s="59">
        <f>'[1]Detailed Calc'!O32</f>
        <v>16975</v>
      </c>
      <c r="F12" s="2"/>
    </row>
    <row r="13" spans="1:9" x14ac:dyDescent="0.25">
      <c r="B13" s="12"/>
      <c r="C13" s="12"/>
      <c r="D13" s="12"/>
      <c r="E13" s="12"/>
      <c r="F13" s="60"/>
      <c r="G13" s="2"/>
    </row>
    <row r="14" spans="1:9" x14ac:dyDescent="0.25">
      <c r="B14" s="61" t="s">
        <v>129</v>
      </c>
      <c r="C14" s="12"/>
      <c r="D14" s="12"/>
      <c r="E14" s="12"/>
    </row>
    <row r="15" spans="1:9" x14ac:dyDescent="0.25">
      <c r="G15" s="2"/>
    </row>
    <row r="16" spans="1:9" x14ac:dyDescent="0.25">
      <c r="A16" s="1" t="s">
        <v>130</v>
      </c>
      <c r="B16" s="1" t="s">
        <v>131</v>
      </c>
    </row>
    <row r="18" spans="1:8" x14ac:dyDescent="0.25">
      <c r="B18" s="104" t="s">
        <v>127</v>
      </c>
    </row>
    <row r="19" spans="1:8" x14ac:dyDescent="0.25">
      <c r="B19" s="104"/>
    </row>
    <row r="20" spans="1:8" x14ac:dyDescent="0.25">
      <c r="B20" s="58" t="s">
        <v>128</v>
      </c>
    </row>
    <row r="21" spans="1:8" x14ac:dyDescent="0.25">
      <c r="B21" s="59">
        <v>16975</v>
      </c>
    </row>
    <row r="23" spans="1:8" ht="45" customHeight="1" x14ac:dyDescent="0.25">
      <c r="B23" s="101" t="s">
        <v>132</v>
      </c>
      <c r="C23" s="101"/>
      <c r="D23" s="101"/>
      <c r="E23" s="101"/>
      <c r="F23" s="101"/>
    </row>
    <row r="25" spans="1:8" x14ac:dyDescent="0.25">
      <c r="A25" s="1" t="s">
        <v>133</v>
      </c>
      <c r="B25" s="1" t="s">
        <v>134</v>
      </c>
    </row>
    <row r="27" spans="1:8" s="62" customFormat="1" ht="45" x14ac:dyDescent="0.25">
      <c r="B27" s="63" t="s">
        <v>135</v>
      </c>
      <c r="C27" s="57" t="s">
        <v>136</v>
      </c>
      <c r="D27" s="57" t="s">
        <v>137</v>
      </c>
      <c r="E27" s="57" t="s">
        <v>138</v>
      </c>
    </row>
    <row r="28" spans="1:8" s="64" customFormat="1" ht="45" x14ac:dyDescent="0.25">
      <c r="B28" s="65" t="s">
        <v>139</v>
      </c>
      <c r="C28" s="66" t="s">
        <v>140</v>
      </c>
      <c r="D28" s="67">
        <f>'[1]Detailed Calc'!L65</f>
        <v>84619</v>
      </c>
      <c r="E28" s="68">
        <f>D28*1.8</f>
        <v>152314.20000000001</v>
      </c>
      <c r="F28" s="69"/>
      <c r="G28" s="69"/>
      <c r="H28" s="69"/>
    </row>
    <row r="29" spans="1:8" s="64" customFormat="1" ht="60" x14ac:dyDescent="0.25">
      <c r="B29" s="65" t="s">
        <v>141</v>
      </c>
      <c r="C29" s="66" t="s">
        <v>142</v>
      </c>
      <c r="D29" s="67">
        <v>11849</v>
      </c>
      <c r="E29" s="68">
        <f t="shared" ref="E29:E31" si="0">D29*1.8</f>
        <v>21328.2</v>
      </c>
      <c r="G29" s="69"/>
    </row>
    <row r="30" spans="1:8" s="64" customFormat="1" ht="32.25" x14ac:dyDescent="0.25">
      <c r="B30" s="65" t="s">
        <v>143</v>
      </c>
      <c r="C30" s="66" t="s">
        <v>142</v>
      </c>
      <c r="D30" s="67">
        <f>'[1]Detailed Calc'!D53</f>
        <v>81696</v>
      </c>
      <c r="E30" s="68">
        <f t="shared" si="0"/>
        <v>147052.80000000002</v>
      </c>
      <c r="G30" s="69"/>
    </row>
    <row r="31" spans="1:8" s="64" customFormat="1" ht="32.25" x14ac:dyDescent="0.25">
      <c r="B31" s="65" t="s">
        <v>144</v>
      </c>
      <c r="C31" s="66" t="s">
        <v>142</v>
      </c>
      <c r="D31" s="67">
        <f>'[1]Detailed Calc'!D63</f>
        <v>13951</v>
      </c>
      <c r="E31" s="68">
        <f t="shared" si="0"/>
        <v>25111.8</v>
      </c>
      <c r="G31" s="69"/>
    </row>
    <row r="32" spans="1:8" s="64" customFormat="1" x14ac:dyDescent="0.25">
      <c r="D32" s="70"/>
    </row>
    <row r="33" spans="1:9" s="62" customFormat="1" ht="30" x14ac:dyDescent="0.25">
      <c r="B33" s="71" t="s">
        <v>145</v>
      </c>
      <c r="C33" s="67">
        <f>SUM(D28:D28)</f>
        <v>84619</v>
      </c>
      <c r="D33" s="64"/>
      <c r="E33" s="69"/>
      <c r="H33" s="72"/>
      <c r="I33" s="72"/>
    </row>
    <row r="34" spans="1:9" s="64" customFormat="1" ht="32.25" x14ac:dyDescent="0.25">
      <c r="B34" s="66" t="s">
        <v>142</v>
      </c>
      <c r="C34" s="73">
        <f>SUM(D29:D31)</f>
        <v>107496</v>
      </c>
      <c r="E34" s="69"/>
      <c r="F34" s="69"/>
    </row>
    <row r="35" spans="1:9" s="64" customFormat="1" x14ac:dyDescent="0.25">
      <c r="B35" s="62"/>
      <c r="D35" s="70"/>
      <c r="E35" s="70"/>
      <c r="F35" s="69"/>
    </row>
    <row r="36" spans="1:9" s="64" customFormat="1" ht="43.35" customHeight="1" x14ac:dyDescent="0.25">
      <c r="B36" s="102" t="s">
        <v>146</v>
      </c>
      <c r="C36" s="102"/>
      <c r="D36" s="102"/>
      <c r="E36" s="102"/>
      <c r="F36" s="102"/>
    </row>
    <row r="37" spans="1:9" s="64" customFormat="1" x14ac:dyDescent="0.25">
      <c r="B37" s="62"/>
      <c r="D37" s="70"/>
      <c r="E37" s="70"/>
      <c r="F37" s="69"/>
    </row>
    <row r="38" spans="1:9" s="64" customFormat="1" ht="42.6" customHeight="1" x14ac:dyDescent="0.25">
      <c r="B38" s="102" t="s">
        <v>147</v>
      </c>
      <c r="C38" s="102"/>
      <c r="D38" s="102"/>
      <c r="E38" s="102"/>
      <c r="F38" s="102"/>
    </row>
    <row r="39" spans="1:9" s="64" customFormat="1" x14ac:dyDescent="0.25">
      <c r="B39" s="74"/>
      <c r="C39" s="74"/>
      <c r="D39" s="74"/>
      <c r="E39" s="74"/>
      <c r="F39" s="74"/>
    </row>
    <row r="40" spans="1:9" s="64" customFormat="1" x14ac:dyDescent="0.25">
      <c r="B40" s="102" t="s">
        <v>148</v>
      </c>
      <c r="C40" s="102"/>
      <c r="D40" s="102"/>
      <c r="E40" s="102"/>
      <c r="F40" s="102"/>
    </row>
    <row r="41" spans="1:9" s="64" customFormat="1" x14ac:dyDescent="0.25">
      <c r="B41" s="74"/>
      <c r="C41" s="74"/>
      <c r="D41" s="74"/>
      <c r="E41" s="74"/>
      <c r="F41" s="74"/>
    </row>
    <row r="43" spans="1:9" x14ac:dyDescent="0.25">
      <c r="A43" s="1" t="s">
        <v>149</v>
      </c>
      <c r="B43" s="75" t="s">
        <v>150</v>
      </c>
    </row>
    <row r="44" spans="1:9" x14ac:dyDescent="0.25">
      <c r="A44" s="1"/>
      <c r="B44" s="75"/>
    </row>
    <row r="45" spans="1:9" x14ac:dyDescent="0.25">
      <c r="B45" s="103" t="s">
        <v>140</v>
      </c>
      <c r="C45" s="103" t="s">
        <v>151</v>
      </c>
      <c r="D45" s="104" t="s">
        <v>152</v>
      </c>
      <c r="E45" s="104" t="s">
        <v>153</v>
      </c>
    </row>
    <row r="46" spans="1:9" ht="29.45" customHeight="1" x14ac:dyDescent="0.25">
      <c r="B46" s="103"/>
      <c r="C46" s="103"/>
      <c r="D46" s="104"/>
      <c r="E46" s="104"/>
    </row>
    <row r="47" spans="1:9" x14ac:dyDescent="0.25">
      <c r="B47" s="58" t="s">
        <v>128</v>
      </c>
      <c r="C47" s="58" t="s">
        <v>128</v>
      </c>
      <c r="D47" s="58" t="s">
        <v>128</v>
      </c>
      <c r="E47" s="58" t="s">
        <v>128</v>
      </c>
    </row>
    <row r="48" spans="1:9" x14ac:dyDescent="0.25">
      <c r="B48" s="76">
        <f>B12-C33</f>
        <v>175924.2</v>
      </c>
      <c r="C48" s="76">
        <f>C12</f>
        <v>47199</v>
      </c>
      <c r="D48" s="77">
        <f>D12</f>
        <v>9889</v>
      </c>
      <c r="E48" s="77">
        <f>E12+F12</f>
        <v>16975</v>
      </c>
    </row>
    <row r="49" spans="1:6" x14ac:dyDescent="0.25">
      <c r="B49" s="78"/>
      <c r="C49" s="78"/>
    </row>
    <row r="50" spans="1:6" ht="44.45" customHeight="1" x14ac:dyDescent="0.25">
      <c r="B50" s="99" t="s">
        <v>154</v>
      </c>
      <c r="C50" s="99"/>
      <c r="D50" s="99"/>
      <c r="E50" s="99"/>
      <c r="F50" s="99"/>
    </row>
    <row r="51" spans="1:6" x14ac:dyDescent="0.25">
      <c r="B51" s="79"/>
      <c r="C51" s="79"/>
      <c r="D51" s="79"/>
      <c r="E51" s="79"/>
    </row>
    <row r="52" spans="1:6" ht="27.75" customHeight="1" x14ac:dyDescent="0.25">
      <c r="A52" s="80" t="s">
        <v>155</v>
      </c>
      <c r="B52" s="100" t="s">
        <v>156</v>
      </c>
      <c r="C52" s="100"/>
      <c r="D52" s="100"/>
      <c r="E52" s="100"/>
    </row>
    <row r="54" spans="1:6" ht="120.2" customHeight="1" x14ac:dyDescent="0.25">
      <c r="B54" s="101" t="s">
        <v>157</v>
      </c>
      <c r="C54" s="101"/>
      <c r="D54" s="101"/>
      <c r="E54" s="101"/>
      <c r="F54" s="101"/>
    </row>
    <row r="56" spans="1:6" x14ac:dyDescent="0.25">
      <c r="A56" s="1" t="s">
        <v>158</v>
      </c>
      <c r="B56" s="1" t="s">
        <v>159</v>
      </c>
    </row>
    <row r="58" spans="1:6" x14ac:dyDescent="0.25">
      <c r="B58" t="s">
        <v>160</v>
      </c>
    </row>
  </sheetData>
  <mergeCells count="16">
    <mergeCell ref="B23:F23"/>
    <mergeCell ref="B9:B10"/>
    <mergeCell ref="C9:C10"/>
    <mergeCell ref="D9:D10"/>
    <mergeCell ref="E9:E10"/>
    <mergeCell ref="B18:B19"/>
    <mergeCell ref="B50:F50"/>
    <mergeCell ref="B52:E52"/>
    <mergeCell ref="B54:F54"/>
    <mergeCell ref="B36:F36"/>
    <mergeCell ref="B38:F38"/>
    <mergeCell ref="B40:F40"/>
    <mergeCell ref="B45:B46"/>
    <mergeCell ref="C45:C46"/>
    <mergeCell ref="D45:D46"/>
    <mergeCell ref="E45:E46"/>
  </mergeCells>
  <pageMargins left="0.7" right="0.7" top="0.75" bottom="0.75" header="0.3" footer="0.3"/>
  <pageSetup paperSize="8"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ermit File" ma:contentTypeID="0x0101000E9AD557692E154F9D2697C8C6432F76003AABF5B2DBBC844D96D8DDC7C5B45685" ma:contentTypeVersion="42" ma:contentTypeDescription="Create a new document." ma:contentTypeScope="" ma:versionID="7c0db7fdb95fab07a7302425aab7b3ce">
  <xsd:schema xmlns:xsd="http://www.w3.org/2001/XMLSchema" xmlns:xs="http://www.w3.org/2001/XMLSchema" xmlns:p="http://schemas.microsoft.com/office/2006/metadata/properties" xmlns:ns2="dbe221e7-66db-4bdb-a92c-aa517c005f15" xmlns:ns3="662745e8-e224-48e8-a2e3-254862b8c2f5" xmlns:ns4="eebef177-55b5-4448-a5fb-28ea454417ee" xmlns:ns5="5ffd8e36-f429-4edc-ab50-c5be84842779" xmlns:ns6="0a6acde7-f8d2-45c7-a1f6-65f49a3b67d5" targetNamespace="http://schemas.microsoft.com/office/2006/metadata/properties" ma:root="true" ma:fieldsID="a863ebc693153b9a4d47a3953f40edcc" ns2:_="" ns3:_="" ns4:_="" ns5:_="" ns6:_="">
    <xsd:import namespace="dbe221e7-66db-4bdb-a92c-aa517c005f15"/>
    <xsd:import namespace="662745e8-e224-48e8-a2e3-254862b8c2f5"/>
    <xsd:import namespace="eebef177-55b5-4448-a5fb-28ea454417ee"/>
    <xsd:import namespace="5ffd8e36-f429-4edc-ab50-c5be84842779"/>
    <xsd:import namespace="0a6acde7-f8d2-45c7-a1f6-65f49a3b67d5"/>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SearchProperties" minOccurs="0"/>
                <xsd:element ref="ns6:MediaServiceObjectDetectorVersions" minOccurs="0"/>
                <xsd:element ref="ns6:lcf76f155ced4ddcb4097134ff3c332f" minOccurs="0"/>
                <xsd:element ref="ns6:MediaServiceDateTaken" minOccurs="0"/>
                <xsd:element ref="ns6:MediaServiceOCR" minOccurs="0"/>
                <xsd:element ref="ns6:MediaServiceGenerationTime" minOccurs="0"/>
                <xsd:element ref="ns6:MediaServiceEventHashCode"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e221e7-66db-4bdb-a92c-aa517c005f15"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1;#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48;#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43e4e61-1be0-4b06-bd98-8598df83c830}" ma:internalName="TaxCatchAll" ma:showField="CatchAllData" ma:web="dbe221e7-66db-4bdb-a92c-aa517c005f1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3e4e61-1be0-4b06-bd98-8598df83c830}" ma:internalName="TaxCatchAllLabel" ma:readOnly="true" ma:showField="CatchAllDataLabel" ma:web="dbe221e7-66db-4bdb-a92c-aa517c005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acde7-f8d2-45c7-a1f6-65f49a3b67d5"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SearchProperties" ma:index="50" nillable="true" ma:displayName="MediaServiceSearchProperties" ma:hidden="true" ma:internalName="MediaServiceSearchProperties" ma:readOnly="true">
      <xsd:simpleType>
        <xsd:restriction base="dms:Note"/>
      </xsd:simpleType>
    </xsd:element>
    <xsd:element name="MediaServiceObjectDetectorVersions" ma:index="51" nillable="true" ma:displayName="MediaServiceObjectDetectorVersions" ma:hidden="true" ma:indexed="true" ma:internalName="MediaServiceObjectDetectorVersions" ma:readOnly="true">
      <xsd:simpleType>
        <xsd:restriction base="dms:Text"/>
      </xsd:simpleType>
    </xsd:element>
    <xsd:element name="lcf76f155ced4ddcb4097134ff3c332f" ma:index="53"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DateTaken" ma:index="54" nillable="true" ma:displayName="MediaServiceDateTaken" ma:hidden="true" ma:indexed="true" ma:internalName="MediaServiceDateTaken"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GenerationTime" ma:index="56" nillable="true" ma:displayName="MediaServiceGenerationTime" ma:hidden="true" ma:internalName="MediaServiceGenerationTime" ma:readOnly="true">
      <xsd:simpleType>
        <xsd:restriction base="dms:Text"/>
      </xsd:simpleType>
    </xsd:element>
    <xsd:element name="MediaServiceEventHashCode" ma:index="57" nillable="true" ma:displayName="MediaServiceEventHashCode" ma:hidden="true" ma:internalName="MediaServiceEventHashCode" ma:readOnly="true">
      <xsd:simpleType>
        <xsd:restriction base="dms:Text"/>
      </xsd:simpleType>
    </xsd:element>
    <xsd:element name="MediaServiceLocation" ma:index="58" nillable="true" ma:displayName="Location" ma:indexed="true" ma:internalName="MediaServiceLocation" ma:readOnly="true">
      <xsd:simpleType>
        <xsd:restriction base="dms:Text"/>
      </xsd:simpleType>
    </xsd:element>
    <xsd:element name="MediaLengthInSeconds" ma:index="5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a6acde7-f8d2-45c7-a1f6-65f49a3b67d5">
      <Terms xmlns="http://schemas.microsoft.com/office/infopath/2007/PartnerControls"/>
    </lcf76f155ced4ddcb4097134ff3c332f>
    <TaxCatchAll xmlns="662745e8-e224-48e8-a2e3-254862b8c2f5">
      <Value>41</Value>
      <Value>40</Value>
      <Value>11</Value>
      <Value>556</Value>
      <Value>14</Value>
    </TaxCatchAll>
    <EAReceivedDate xmlns="eebef177-55b5-4448-a5fb-28ea454417ee">2025-01-24T00:00:00+00:00</EAReceivedDate>
    <ga477587807b4e8dbd9d142e03c014fa xmlns="dbe221e7-66db-4bdb-a92c-aa517c005f15">
      <Terms xmlns="http://schemas.microsoft.com/office/infopath/2007/PartnerControls"/>
    </ga477587807b4e8dbd9d142e03c014fa>
    <PermitNumber xmlns="eebef177-55b5-4448-a5fb-28ea454417ee">EPR-KP3427ST</PermitNumber>
    <bf174f8632e04660b372cf372c1956fe xmlns="dbe221e7-66db-4bdb-a92c-aa517c005f15">
      <Terms xmlns="http://schemas.microsoft.com/office/infopath/2007/PartnerControls"/>
    </bf174f8632e04660b372cf372c1956fe>
    <CessationDate xmlns="eebef177-55b5-4448-a5fb-28ea454417ee" xsi:nil="true"/>
    <NationalSecurity xmlns="eebef177-55b5-4448-a5fb-28ea454417ee">No</NationalSecurity>
    <OtherReference xmlns="eebef177-55b5-4448-a5fb-28ea454417ee">EPR/KP3427ST</OtherReference>
    <EventLink xmlns="5ffd8e36-f429-4edc-ab50-c5be84842779" xsi:nil="true"/>
    <Customer_x002f_OperatorName xmlns="eebef177-55b5-4448-a5fb-28ea454417ee">Net Zero Teesside Power Limited</Customer_x002f_OperatorName>
    <m63bd5d2e6554c968a3f4ff9289590fe xmlns="dbe221e7-66db-4bdb-a92c-aa517c005f15">
      <Terms xmlns="http://schemas.microsoft.com/office/infopath/2007/PartnerControls"/>
    </m63bd5d2e6554c968a3f4ff9289590fe>
    <ncb1594ff73b435992550f571a78c184 xmlns="dbe221e7-66db-4bdb-a92c-aa517c005f15">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22401b98bfe4ec6b8dacbec81c66a1e xmlns="dbe221e7-66db-4bdb-a92c-aa517c005f15">
      <Terms xmlns="http://schemas.microsoft.com/office/infopath/2007/PartnerControls"/>
    </d22401b98bfe4ec6b8dacbec81c66a1e>
    <DocumentDate xmlns="eebef177-55b5-4448-a5fb-28ea454417ee">2025-01-24T00:00:00+00:00</DocumentDate>
    <CurrentPermit xmlns="eebef177-55b5-4448-a5fb-28ea454417ee">N/A - Do not select for New Permits</CurrentPermit>
    <c52c737aaa794145b5e1ab0b33580095 xmlns="dbe221e7-66db-4bdb-a92c-aa517c005f15">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f91636ce86a943e5a85e589048b494b2 xmlns="dbe221e7-66db-4bdb-a92c-aa517c005f15">
      <Terms xmlns="http://schemas.microsoft.com/office/infopath/2007/PartnerControls"/>
    </f91636ce86a943e5a85e589048b494b2>
    <mb0b523b12654e57a98fd73f451222f6 xmlns="dbe221e7-66db-4bdb-a92c-aa517c005f15">
      <Terms xmlns="http://schemas.microsoft.com/office/infopath/2007/PartnerControls"/>
    </mb0b523b12654e57a98fd73f451222f6>
    <d3564be703db47eda46ec138bc1ba091 xmlns="dbe221e7-66db-4bdb-a92c-aa517c005f15">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EPRNumber xmlns="eebef177-55b5-4448-a5fb-28ea454417ee">EPR/KP3427ST</EPRNumber>
    <FacilityAddressPostcode xmlns="eebef177-55b5-4448-a5fb-28ea454417ee">TS10 5QW</FacilityAddressPostcode>
    <ed3cfd1978f244c4af5dc9d642a18018 xmlns="dbe221e7-66db-4bdb-a92c-aa517c005f15">
      <Terms xmlns="http://schemas.microsoft.com/office/infopath/2007/PartnerControls"/>
    </ed3cfd1978f244c4af5dc9d642a18018>
    <ExternalAuthor xmlns="eebef177-55b5-4448-a5fb-28ea454417ee">India Lewin</ExternalAuthor>
    <SiteName xmlns="eebef177-55b5-4448-a5fb-28ea454417ee">Net Zero Teesside CCUS Project</SiteName>
    <p517ccc45a7e4674ae144f9410147bb3 xmlns="dbe221e7-66db-4bdb-a92c-aa517c005f15">
      <Terms xmlns="http://schemas.microsoft.com/office/infopath/2007/PartnerControls">
        <TermInfo xmlns="http://schemas.microsoft.com/office/infopath/2007/PartnerControls">
          <TermName xmlns="http://schemas.microsoft.com/office/infopath/2007/PartnerControls">Waste Operations</TermName>
          <TermId xmlns="http://schemas.microsoft.com/office/infopath/2007/PartnerControls">dc63c9b7-da6e-463c-b2cf-265b08d49156</TermId>
        </TermInfo>
      </Terms>
    </p517ccc45a7e4674ae144f9410147bb3>
    <FacilityAddress xmlns="eebef177-55b5-4448-a5fb-28ea454417ee">Redcar, Cleveland</FacilityAddress>
    <la34db7254a948be973d9738b9f07ba7 xmlns="dbe221e7-66db-4bdb-a92c-aa517c005f15">
      <Terms xmlns="http://schemas.microsoft.com/office/infopath/2007/PartnerControls">
        <TermInfo xmlns="http://schemas.microsoft.com/office/infopath/2007/PartnerControls">
          <TermName xmlns="http://schemas.microsoft.com/office/infopath/2007/PartnerControls">To be confirmed</TermName>
          <TermId xmlns="http://schemas.microsoft.com/office/infopath/2007/PartnerControls">848d856d-b418-408d-977a-0b756acaad6b</TermId>
        </TermInfo>
      </Terms>
    </la34db7254a948be973d9738b9f07ba7>
  </documentManagement>
</p:properties>
</file>

<file path=customXml/itemProps1.xml><?xml version="1.0" encoding="utf-8"?>
<ds:datastoreItem xmlns:ds="http://schemas.openxmlformats.org/officeDocument/2006/customXml" ds:itemID="{0FE58A0B-FF79-40D6-AAA8-69027BB1C95E}">
  <ds:schemaRefs>
    <ds:schemaRef ds:uri="http://schemas.microsoft.com/sharepoint/v3/contenttype/forms"/>
  </ds:schemaRefs>
</ds:datastoreItem>
</file>

<file path=customXml/itemProps2.xml><?xml version="1.0" encoding="utf-8"?>
<ds:datastoreItem xmlns:ds="http://schemas.openxmlformats.org/officeDocument/2006/customXml" ds:itemID="{B2264BD4-DFAC-442C-A3EC-3200ED52C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e221e7-66db-4bdb-a92c-aa517c005f15"/>
    <ds:schemaRef ds:uri="662745e8-e224-48e8-a2e3-254862b8c2f5"/>
    <ds:schemaRef ds:uri="eebef177-55b5-4448-a5fb-28ea454417ee"/>
    <ds:schemaRef ds:uri="5ffd8e36-f429-4edc-ab50-c5be84842779"/>
    <ds:schemaRef ds:uri="0a6acde7-f8d2-45c7-a1f6-65f49a3b67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EF25C0-9DDB-44FE-ABB5-EB2CD760D1E0}">
  <ds:schemaRefs>
    <ds:schemaRef ds:uri="http://schemas.microsoft.com/office/2006/documentManagement/types"/>
    <ds:schemaRef ds:uri="http://purl.org/dc/elements/1.1/"/>
    <ds:schemaRef ds:uri="http://purl.org/dc/dcmitype/"/>
    <ds:schemaRef ds:uri="http://schemas.microsoft.com/office/2006/metadata/properties"/>
    <ds:schemaRef ds:uri="http://purl.org/dc/terms/"/>
    <ds:schemaRef ds:uri="http://www.w3.org/XML/1998/namespace"/>
    <ds:schemaRef ds:uri="http://schemas.microsoft.com/office/infopath/2007/PartnerControls"/>
    <ds:schemaRef ds:uri="eebef177-55b5-4448-a5fb-28ea454417ee"/>
    <ds:schemaRef ds:uri="http://schemas.openxmlformats.org/package/2006/metadata/core-properties"/>
    <ds:schemaRef ds:uri="0a6acde7-f8d2-45c7-a1f6-65f49a3b67d5"/>
    <ds:schemaRef ds:uri="5ffd8e36-f429-4edc-ab50-c5be84842779"/>
    <ds:schemaRef ds:uri="662745e8-e224-48e8-a2e3-254862b8c2f5"/>
    <ds:schemaRef ds:uri="dbe221e7-66db-4bdb-a92c-aa517c005f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 Sheet</vt:lpstr>
      <vt:lpstr>100% Re-use</vt:lpstr>
      <vt:lpstr>No Re-use</vt:lpstr>
      <vt:lpstr>Original AG Costs</vt:lpstr>
      <vt:lpstr>Volume Estimates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Graham, Angela</dc:creator>
  <cp:keywords/>
  <dc:description/>
  <cp:lastModifiedBy>Waller, Nicola</cp:lastModifiedBy>
  <cp:revision/>
  <dcterms:created xsi:type="dcterms:W3CDTF">2024-05-10T17:43:52Z</dcterms:created>
  <dcterms:modified xsi:type="dcterms:W3CDTF">2025-04-16T09:46:39Z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0x0101000E9AD557692E154F9D2697C8C6432F76003AABF5B2DBBC844D96D8DDC7C5B45685</vt:lpwstr>
  </property>
  <property fmtid="{D5CDD505-2E9C-101B-9397-08002B2CF9AE}" pid="3" name="PermitDocumentType">
    <vt:lpwstr/>
  </property>
  <property fmtid="{D5CDD505-2E9C-101B-9397-08002B2CF9AE}" pid="4" name="MediaServiceImageTags">
    <vt:lpwstr/>
  </property>
  <property fmtid="{D5CDD505-2E9C-101B-9397-08002B2CF9AE}" pid="5" name="TypeofPermit">
    <vt:lpwstr>556;#To be confirmed|848d856d-b418-408d-977a-0b756acaad6b</vt:lpwstr>
  </property>
  <property fmtid="{D5CDD505-2E9C-101B-9397-08002B2CF9AE}" pid="6" name="DisclosureStatus">
    <vt:lpwstr>41;#Public Register|f1fcf6a6-5d97-4f1d-964e-a2f916eb1f18</vt:lpwstr>
  </property>
  <property fmtid="{D5CDD505-2E9C-101B-9397-08002B2CF9AE}" pid="7" name="EventType1">
    <vt:lpwstr/>
  </property>
  <property fmtid="{D5CDD505-2E9C-101B-9397-08002B2CF9AE}" pid="8" name="ActivityGrouping">
    <vt:lpwstr>14;#Application ＆ Associated Docs|5eadfd3c-6deb-44e1-b7e1-16accd427bec</vt:lpwstr>
  </property>
  <property fmtid="{D5CDD505-2E9C-101B-9397-08002B2CF9AE}" pid="9" name="RegulatedActivityClass">
    <vt:lpwstr>40;#Waste Operations|dc63c9b7-da6e-463c-b2cf-265b08d49156</vt:lpwstr>
  </property>
  <property fmtid="{D5CDD505-2E9C-101B-9397-08002B2CF9AE}" pid="10" name="Catchment">
    <vt:lpwstr/>
  </property>
  <property fmtid="{D5CDD505-2E9C-101B-9397-08002B2CF9AE}" pid="11" name="MajorProjectID">
    <vt:lpwstr/>
  </property>
  <property fmtid="{D5CDD505-2E9C-101B-9397-08002B2CF9AE}" pid="12" name="StandardRulesID">
    <vt:lpwstr/>
  </property>
  <property fmtid="{D5CDD505-2E9C-101B-9397-08002B2CF9AE}" pid="13" name="CessationStatus">
    <vt:lpwstr/>
  </property>
  <property fmtid="{D5CDD505-2E9C-101B-9397-08002B2CF9AE}" pid="14" name="Regime">
    <vt:lpwstr>11;#EPR|0e5af97d-1a8c-4d8f-a20b-528a11cab1f6</vt:lpwstr>
  </property>
  <property fmtid="{D5CDD505-2E9C-101B-9397-08002B2CF9AE}" pid="15" name="RegulatedActivitySub_x002d_Class">
    <vt:lpwstr/>
  </property>
  <property fmtid="{D5CDD505-2E9C-101B-9397-08002B2CF9AE}" pid="16" name="RegulatedActivitySub-Class">
    <vt:lpwstr/>
  </property>
</Properties>
</file>