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1.xml" ContentType="application/vnd.ms-excel.threaded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08"/>
  <workbookPr codeName="ThisWorkbook"/>
  <mc:AlternateContent xmlns:mc="http://schemas.openxmlformats.org/markup-compatibility/2006">
    <mc:Choice Requires="x15">
      <x15ac:absPath xmlns:x15ac="http://schemas.microsoft.com/office/spreadsheetml/2010/11/ac" url="\\na.aecomnet.com\lfs\EMEA\Nottingham-UKNQT1\DCS\Projects\EGE\60689030_H2Teesside\400_Technical\432_Operational\Permit\1.Inputs\"/>
    </mc:Choice>
  </mc:AlternateContent>
  <xr:revisionPtr revIDLastSave="0" documentId="13_ncr:1_{BC7514BE-B8ED-4F37-86F7-5A8D503ED9F5}" xr6:coauthVersionLast="47" xr6:coauthVersionMax="47" xr10:uidLastSave="{00000000-0000-0000-0000-000000000000}"/>
  <bookViews>
    <workbookView xWindow="-28908" yWindow="-108" windowWidth="29016" windowHeight="15816" xr2:uid="{00000000-000D-0000-FFFF-FFFF00000000}"/>
  </bookViews>
  <sheets>
    <sheet name="Emissions Summary" sheetId="16" r:id="rId1"/>
    <sheet name="Boiler - Dry gas calc" sheetId="17" r:id="rId2"/>
    <sheet name="Boiler StartUp Calculations " sheetId="18" r:id="rId3"/>
    <sheet name="FH StartUp Calculations " sheetId="19" r:id="rId4"/>
    <sheet name="Flare Calculations C1" sheetId="20" r:id="rId5"/>
    <sheet name="Flare Calculations C2" sheetId="21" r:id="rId6"/>
    <sheet name="Flare Calculations C3" sheetId="22" r:id="rId7"/>
    <sheet name="SSAir Quality - Emissions" sheetId="14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9" l="1"/>
  <c r="C17" i="19"/>
  <c r="C17" i="18"/>
  <c r="I40" i="16"/>
  <c r="I38" i="16"/>
  <c r="I39" i="16" s="1"/>
  <c r="H40" i="16"/>
  <c r="H38" i="16"/>
  <c r="H39" i="16" s="1"/>
  <c r="G40" i="16"/>
  <c r="G38" i="16"/>
  <c r="G39" i="16" s="1"/>
  <c r="I22" i="16"/>
  <c r="H22" i="16"/>
  <c r="I11" i="16"/>
  <c r="H11" i="16"/>
  <c r="G22" i="16"/>
  <c r="G11" i="16"/>
  <c r="F24" i="16"/>
  <c r="F25" i="16" s="1"/>
  <c r="F41" i="16"/>
  <c r="F40" i="16"/>
  <c r="F39" i="16"/>
  <c r="F38" i="16"/>
  <c r="F4" i="16"/>
  <c r="F200" i="22"/>
  <c r="F199" i="22"/>
  <c r="F198" i="22"/>
  <c r="F197" i="22"/>
  <c r="F196" i="22"/>
  <c r="F195" i="22"/>
  <c r="C193" i="22"/>
  <c r="C175" i="22"/>
  <c r="C174" i="22"/>
  <c r="C173" i="22"/>
  <c r="C172" i="22"/>
  <c r="N164" i="22"/>
  <c r="N163" i="22"/>
  <c r="N162" i="22"/>
  <c r="F156" i="22"/>
  <c r="I155" i="22"/>
  <c r="I156" i="22" s="1"/>
  <c r="I157" i="22" s="1"/>
  <c r="C154" i="22"/>
  <c r="C155" i="22" s="1"/>
  <c r="I153" i="22"/>
  <c r="C145" i="22"/>
  <c r="C191" i="22" s="1"/>
  <c r="C143" i="22"/>
  <c r="C188" i="22" s="1"/>
  <c r="C135" i="22"/>
  <c r="C120" i="22"/>
  <c r="C116" i="22"/>
  <c r="C176" i="22" s="1"/>
  <c r="J115" i="22"/>
  <c r="I115" i="22"/>
  <c r="J111" i="22"/>
  <c r="I111" i="22"/>
  <c r="H111" i="22"/>
  <c r="E100" i="22"/>
  <c r="E101" i="22" s="1"/>
  <c r="E99" i="22"/>
  <c r="G94" i="22"/>
  <c r="C92" i="22"/>
  <c r="G82" i="22"/>
  <c r="F82" i="22"/>
  <c r="E79" i="22"/>
  <c r="E97" i="22" s="1"/>
  <c r="F73" i="22"/>
  <c r="E43" i="22"/>
  <c r="E42" i="22"/>
  <c r="U41" i="22"/>
  <c r="S41" i="22"/>
  <c r="P41" i="22"/>
  <c r="Q41" i="22" s="1"/>
  <c r="O41" i="22"/>
  <c r="N41" i="22"/>
  <c r="R41" i="22" s="1"/>
  <c r="F41" i="22"/>
  <c r="U40" i="22"/>
  <c r="S40" i="22"/>
  <c r="R40" i="22"/>
  <c r="Q40" i="22"/>
  <c r="O40" i="22"/>
  <c r="N40" i="22"/>
  <c r="P40" i="22" s="1"/>
  <c r="F40" i="22"/>
  <c r="U39" i="22"/>
  <c r="S39" i="22"/>
  <c r="R39" i="22"/>
  <c r="O39" i="22"/>
  <c r="N39" i="22"/>
  <c r="P39" i="22" s="1"/>
  <c r="Q39" i="22" s="1"/>
  <c r="F39" i="22"/>
  <c r="U38" i="22"/>
  <c r="O38" i="22"/>
  <c r="S38" i="22" s="1"/>
  <c r="N38" i="22"/>
  <c r="R38" i="22" s="1"/>
  <c r="F38" i="22"/>
  <c r="U37" i="22"/>
  <c r="S37" i="22"/>
  <c r="R37" i="22"/>
  <c r="P37" i="22"/>
  <c r="Q37" i="22" s="1"/>
  <c r="O37" i="22"/>
  <c r="N37" i="22"/>
  <c r="F37" i="22"/>
  <c r="R36" i="22"/>
  <c r="Q36" i="22"/>
  <c r="P36" i="22"/>
  <c r="O36" i="22"/>
  <c r="S36" i="22" s="1"/>
  <c r="N36" i="22"/>
  <c r="I36" i="22"/>
  <c r="H36" i="22"/>
  <c r="F36" i="22"/>
  <c r="U35" i="22"/>
  <c r="S35" i="22"/>
  <c r="O35" i="22"/>
  <c r="P35" i="22" s="1"/>
  <c r="Q35" i="22" s="1"/>
  <c r="N35" i="22"/>
  <c r="R35" i="22" s="1"/>
  <c r="I35" i="22"/>
  <c r="H35" i="22"/>
  <c r="F35" i="22"/>
  <c r="U34" i="22"/>
  <c r="R34" i="22"/>
  <c r="P34" i="22"/>
  <c r="Q34" i="22" s="1"/>
  <c r="O34" i="22"/>
  <c r="S34" i="22" s="1"/>
  <c r="N34" i="22"/>
  <c r="I34" i="22"/>
  <c r="H34" i="22"/>
  <c r="F34" i="22"/>
  <c r="U33" i="22"/>
  <c r="P33" i="22"/>
  <c r="Q33" i="22" s="1"/>
  <c r="O33" i="22"/>
  <c r="S33" i="22" s="1"/>
  <c r="N33" i="22"/>
  <c r="R33" i="22" s="1"/>
  <c r="I33" i="22"/>
  <c r="H33" i="22"/>
  <c r="F33" i="22"/>
  <c r="O32" i="22"/>
  <c r="S32" i="22" s="1"/>
  <c r="N32" i="22"/>
  <c r="P32" i="22" s="1"/>
  <c r="Q32" i="22" s="1"/>
  <c r="I32" i="22"/>
  <c r="U32" i="22" s="1"/>
  <c r="H32" i="22"/>
  <c r="F32" i="22"/>
  <c r="U31" i="22"/>
  <c r="S31" i="22"/>
  <c r="P31" i="22"/>
  <c r="Q31" i="22" s="1"/>
  <c r="O31" i="22"/>
  <c r="N31" i="22"/>
  <c r="R31" i="22" s="1"/>
  <c r="F31" i="22"/>
  <c r="U30" i="22"/>
  <c r="S30" i="22"/>
  <c r="O30" i="22"/>
  <c r="N30" i="22"/>
  <c r="I30" i="22"/>
  <c r="H30" i="22"/>
  <c r="F30" i="22"/>
  <c r="U29" i="22"/>
  <c r="R29" i="22"/>
  <c r="P29" i="22"/>
  <c r="Q29" i="22" s="1"/>
  <c r="O29" i="22"/>
  <c r="S29" i="22" s="1"/>
  <c r="N29" i="22"/>
  <c r="F29" i="22"/>
  <c r="O28" i="22"/>
  <c r="S28" i="22" s="1"/>
  <c r="N28" i="22"/>
  <c r="I28" i="22"/>
  <c r="H28" i="22"/>
  <c r="F28" i="22"/>
  <c r="U27" i="22"/>
  <c r="S27" i="22"/>
  <c r="O27" i="22"/>
  <c r="P27" i="22" s="1"/>
  <c r="Q27" i="22" s="1"/>
  <c r="N27" i="22"/>
  <c r="R27" i="22" s="1"/>
  <c r="I27" i="22"/>
  <c r="H27" i="22"/>
  <c r="F27" i="22"/>
  <c r="U26" i="22"/>
  <c r="R26" i="22"/>
  <c r="O26" i="22"/>
  <c r="S26" i="22" s="1"/>
  <c r="N26" i="22"/>
  <c r="I26" i="22"/>
  <c r="H26" i="22"/>
  <c r="F26" i="22"/>
  <c r="U25" i="22"/>
  <c r="P25" i="22"/>
  <c r="Q25" i="22" s="1"/>
  <c r="O25" i="22"/>
  <c r="S25" i="22" s="1"/>
  <c r="N25" i="22"/>
  <c r="R25" i="22" s="1"/>
  <c r="I25" i="22"/>
  <c r="H25" i="22"/>
  <c r="F25" i="22"/>
  <c r="U24" i="22"/>
  <c r="O24" i="22"/>
  <c r="S24" i="22" s="1"/>
  <c r="N24" i="22"/>
  <c r="F24" i="22"/>
  <c r="U23" i="22"/>
  <c r="R23" i="22"/>
  <c r="F23" i="22"/>
  <c r="U22" i="22"/>
  <c r="S22" i="22"/>
  <c r="F22" i="22"/>
  <c r="U21" i="22"/>
  <c r="F21" i="22"/>
  <c r="C17" i="22"/>
  <c r="C105" i="22" s="1"/>
  <c r="F200" i="21"/>
  <c r="F199" i="21"/>
  <c r="F198" i="21"/>
  <c r="F197" i="21"/>
  <c r="F196" i="21"/>
  <c r="F195" i="21"/>
  <c r="C193" i="21"/>
  <c r="C175" i="21"/>
  <c r="C174" i="21"/>
  <c r="C173" i="21"/>
  <c r="C172" i="21"/>
  <c r="N164" i="21"/>
  <c r="N163" i="21"/>
  <c r="N162" i="21"/>
  <c r="I156" i="21"/>
  <c r="F156" i="21"/>
  <c r="I155" i="21"/>
  <c r="C155" i="21"/>
  <c r="C154" i="21"/>
  <c r="I153" i="21"/>
  <c r="C145" i="21"/>
  <c r="C191" i="21" s="1"/>
  <c r="C143" i="21"/>
  <c r="C188" i="21" s="1"/>
  <c r="C135" i="21"/>
  <c r="C120" i="21"/>
  <c r="C116" i="21"/>
  <c r="C118" i="21" s="1"/>
  <c r="J115" i="21"/>
  <c r="I115" i="21"/>
  <c r="J111" i="21"/>
  <c r="I111" i="21"/>
  <c r="H111" i="21"/>
  <c r="E97" i="21"/>
  <c r="E99" i="21" s="1"/>
  <c r="E100" i="21" s="1"/>
  <c r="E101" i="21" s="1"/>
  <c r="G94" i="21"/>
  <c r="C92" i="21"/>
  <c r="G82" i="21"/>
  <c r="F82" i="21"/>
  <c r="E79" i="21"/>
  <c r="F73" i="21"/>
  <c r="E43" i="21"/>
  <c r="E42" i="21"/>
  <c r="U41" i="21"/>
  <c r="P41" i="21"/>
  <c r="Q41" i="21" s="1"/>
  <c r="O41" i="21"/>
  <c r="S41" i="21" s="1"/>
  <c r="N41" i="21"/>
  <c r="R41" i="21" s="1"/>
  <c r="F41" i="21"/>
  <c r="U40" i="21"/>
  <c r="S40" i="21"/>
  <c r="R40" i="21"/>
  <c r="P40" i="21"/>
  <c r="Q40" i="21" s="1"/>
  <c r="O40" i="21"/>
  <c r="N40" i="21"/>
  <c r="F40" i="21"/>
  <c r="U39" i="21"/>
  <c r="S39" i="21"/>
  <c r="R39" i="21"/>
  <c r="P39" i="21"/>
  <c r="Q39" i="21" s="1"/>
  <c r="O39" i="21"/>
  <c r="N39" i="21"/>
  <c r="F39" i="21"/>
  <c r="U38" i="21"/>
  <c r="R38" i="21"/>
  <c r="O38" i="21"/>
  <c r="S38" i="21" s="1"/>
  <c r="N38" i="21"/>
  <c r="F38" i="21"/>
  <c r="U37" i="21"/>
  <c r="S37" i="21"/>
  <c r="O37" i="21"/>
  <c r="N37" i="21"/>
  <c r="F37" i="21"/>
  <c r="U36" i="21"/>
  <c r="S36" i="21"/>
  <c r="R36" i="21"/>
  <c r="O36" i="21"/>
  <c r="N36" i="21"/>
  <c r="P36" i="21" s="1"/>
  <c r="Q36" i="21" s="1"/>
  <c r="I36" i="21"/>
  <c r="H36" i="21"/>
  <c r="F36" i="21"/>
  <c r="S35" i="21"/>
  <c r="R35" i="21"/>
  <c r="P35" i="21"/>
  <c r="Q35" i="21" s="1"/>
  <c r="O35" i="21"/>
  <c r="N35" i="21"/>
  <c r="I35" i="21"/>
  <c r="U35" i="21" s="1"/>
  <c r="H35" i="21"/>
  <c r="F35" i="21"/>
  <c r="U34" i="21"/>
  <c r="R34" i="21"/>
  <c r="Q34" i="21"/>
  <c r="P34" i="21"/>
  <c r="O34" i="21"/>
  <c r="S34" i="21" s="1"/>
  <c r="N34" i="21"/>
  <c r="I34" i="21"/>
  <c r="H34" i="21"/>
  <c r="F34" i="21"/>
  <c r="S33" i="21"/>
  <c r="O33" i="21"/>
  <c r="N33" i="21"/>
  <c r="I33" i="21"/>
  <c r="U33" i="21" s="1"/>
  <c r="H33" i="21"/>
  <c r="F33" i="21"/>
  <c r="R32" i="21"/>
  <c r="O32" i="21"/>
  <c r="S32" i="21" s="1"/>
  <c r="N32" i="21"/>
  <c r="I32" i="21"/>
  <c r="H32" i="21"/>
  <c r="F32" i="21"/>
  <c r="U31" i="21"/>
  <c r="Q31" i="21"/>
  <c r="P31" i="21"/>
  <c r="O31" i="21"/>
  <c r="S31" i="21" s="1"/>
  <c r="N31" i="21"/>
  <c r="R31" i="21" s="1"/>
  <c r="F31" i="21"/>
  <c r="U30" i="21"/>
  <c r="S30" i="21"/>
  <c r="R30" i="21"/>
  <c r="P30" i="21"/>
  <c r="Q30" i="21" s="1"/>
  <c r="O30" i="21"/>
  <c r="N30" i="21"/>
  <c r="I30" i="21"/>
  <c r="H30" i="21"/>
  <c r="F30" i="21"/>
  <c r="U29" i="21"/>
  <c r="R29" i="21"/>
  <c r="O29" i="21"/>
  <c r="S29" i="21" s="1"/>
  <c r="N29" i="21"/>
  <c r="F29" i="21"/>
  <c r="U28" i="21"/>
  <c r="S28" i="21"/>
  <c r="O28" i="21"/>
  <c r="N28" i="21"/>
  <c r="P28" i="21" s="1"/>
  <c r="Q28" i="21" s="1"/>
  <c r="I28" i="21"/>
  <c r="H28" i="21"/>
  <c r="F28" i="21"/>
  <c r="U27" i="21"/>
  <c r="R27" i="21"/>
  <c r="O27" i="21"/>
  <c r="N27" i="21"/>
  <c r="I27" i="21"/>
  <c r="H27" i="21"/>
  <c r="F27" i="21"/>
  <c r="R26" i="21"/>
  <c r="O26" i="21"/>
  <c r="S26" i="21" s="1"/>
  <c r="N26" i="21"/>
  <c r="I26" i="21"/>
  <c r="U26" i="21" s="1"/>
  <c r="H26" i="21"/>
  <c r="F26" i="21"/>
  <c r="S25" i="21"/>
  <c r="O25" i="21"/>
  <c r="N25" i="21"/>
  <c r="R25" i="21" s="1"/>
  <c r="I25" i="21"/>
  <c r="H25" i="21"/>
  <c r="F25" i="21"/>
  <c r="U24" i="21"/>
  <c r="S24" i="21"/>
  <c r="R24" i="21"/>
  <c r="O24" i="21"/>
  <c r="N24" i="21"/>
  <c r="F24" i="21"/>
  <c r="U23" i="21"/>
  <c r="R23" i="21"/>
  <c r="F23" i="21"/>
  <c r="F42" i="21" s="1"/>
  <c r="U22" i="21"/>
  <c r="S22" i="21"/>
  <c r="F22" i="21"/>
  <c r="U21" i="21"/>
  <c r="F21" i="21"/>
  <c r="C17" i="21"/>
  <c r="C105" i="21" s="1"/>
  <c r="F200" i="20"/>
  <c r="F199" i="20"/>
  <c r="F198" i="20"/>
  <c r="F197" i="20"/>
  <c r="F196" i="20"/>
  <c r="F195" i="20"/>
  <c r="C193" i="20"/>
  <c r="C188" i="20"/>
  <c r="C175" i="20"/>
  <c r="C174" i="20"/>
  <c r="C173" i="20"/>
  <c r="C172" i="20"/>
  <c r="N164" i="20"/>
  <c r="N163" i="20"/>
  <c r="N162" i="20"/>
  <c r="F156" i="20"/>
  <c r="I155" i="20"/>
  <c r="I156" i="20" s="1"/>
  <c r="C155" i="20"/>
  <c r="C154" i="20"/>
  <c r="I153" i="20"/>
  <c r="C145" i="20"/>
  <c r="C191" i="20" s="1"/>
  <c r="C143" i="20"/>
  <c r="C135" i="20"/>
  <c r="C120" i="20"/>
  <c r="C116" i="20"/>
  <c r="C176" i="20" s="1"/>
  <c r="J115" i="20"/>
  <c r="I115" i="20"/>
  <c r="I111" i="20" s="1"/>
  <c r="J111" i="20"/>
  <c r="H111" i="20"/>
  <c r="E99" i="20"/>
  <c r="E100" i="20" s="1"/>
  <c r="E101" i="20" s="1"/>
  <c r="E97" i="20"/>
  <c r="G94" i="20"/>
  <c r="C92" i="20"/>
  <c r="G82" i="20"/>
  <c r="F82" i="20"/>
  <c r="E79" i="20"/>
  <c r="F73" i="20"/>
  <c r="E43" i="20"/>
  <c r="E42" i="20"/>
  <c r="U41" i="20"/>
  <c r="S41" i="20"/>
  <c r="R41" i="20"/>
  <c r="O41" i="20"/>
  <c r="N41" i="20"/>
  <c r="P41" i="20" s="1"/>
  <c r="Q41" i="20" s="1"/>
  <c r="F41" i="20"/>
  <c r="U40" i="20"/>
  <c r="R40" i="20"/>
  <c r="O40" i="20"/>
  <c r="P40" i="20" s="1"/>
  <c r="Q40" i="20" s="1"/>
  <c r="N40" i="20"/>
  <c r="F40" i="20"/>
  <c r="U39" i="20"/>
  <c r="S39" i="20"/>
  <c r="R39" i="20"/>
  <c r="P39" i="20"/>
  <c r="Q39" i="20" s="1"/>
  <c r="O39" i="20"/>
  <c r="N39" i="20"/>
  <c r="F39" i="20"/>
  <c r="U38" i="20"/>
  <c r="S38" i="20"/>
  <c r="O38" i="20"/>
  <c r="N38" i="20"/>
  <c r="P38" i="20" s="1"/>
  <c r="Q38" i="20" s="1"/>
  <c r="F38" i="20"/>
  <c r="U37" i="20"/>
  <c r="R37" i="20"/>
  <c r="O37" i="20"/>
  <c r="S37" i="20" s="1"/>
  <c r="N37" i="20"/>
  <c r="F37" i="20"/>
  <c r="S36" i="20"/>
  <c r="R36" i="20"/>
  <c r="O36" i="20"/>
  <c r="N36" i="20"/>
  <c r="I36" i="20"/>
  <c r="H36" i="20"/>
  <c r="F36" i="20"/>
  <c r="U35" i="20"/>
  <c r="O35" i="20"/>
  <c r="S35" i="20" s="1"/>
  <c r="N35" i="20"/>
  <c r="R35" i="20" s="1"/>
  <c r="I35" i="20"/>
  <c r="H35" i="20"/>
  <c r="F35" i="20"/>
  <c r="U34" i="20"/>
  <c r="O34" i="20"/>
  <c r="S34" i="20" s="1"/>
  <c r="N34" i="20"/>
  <c r="I34" i="20"/>
  <c r="H34" i="20"/>
  <c r="F34" i="20"/>
  <c r="U33" i="20"/>
  <c r="S33" i="20"/>
  <c r="R33" i="20"/>
  <c r="O33" i="20"/>
  <c r="N33" i="20"/>
  <c r="P33" i="20" s="1"/>
  <c r="Q33" i="20" s="1"/>
  <c r="I33" i="20"/>
  <c r="H33" i="20"/>
  <c r="F33" i="20"/>
  <c r="O32" i="20"/>
  <c r="S32" i="20" s="1"/>
  <c r="N32" i="20"/>
  <c r="P32" i="20" s="1"/>
  <c r="Q32" i="20" s="1"/>
  <c r="I32" i="20"/>
  <c r="H32" i="20"/>
  <c r="F32" i="20"/>
  <c r="U31" i="20"/>
  <c r="S31" i="20"/>
  <c r="O31" i="20"/>
  <c r="N31" i="20"/>
  <c r="R31" i="20" s="1"/>
  <c r="F31" i="20"/>
  <c r="O30" i="20"/>
  <c r="S30" i="20" s="1"/>
  <c r="N30" i="20"/>
  <c r="I30" i="20"/>
  <c r="H30" i="20"/>
  <c r="F30" i="20"/>
  <c r="U29" i="20"/>
  <c r="R29" i="20"/>
  <c r="O29" i="20"/>
  <c r="S29" i="20" s="1"/>
  <c r="N29" i="20"/>
  <c r="F29" i="20"/>
  <c r="O28" i="20"/>
  <c r="S28" i="20" s="1"/>
  <c r="N28" i="20"/>
  <c r="I28" i="20"/>
  <c r="U28" i="20" s="1"/>
  <c r="H28" i="20"/>
  <c r="F28" i="20"/>
  <c r="O27" i="20"/>
  <c r="S27" i="20" s="1"/>
  <c r="N27" i="20"/>
  <c r="I27" i="20"/>
  <c r="U27" i="20" s="1"/>
  <c r="H27" i="20"/>
  <c r="F27" i="20"/>
  <c r="U26" i="20"/>
  <c r="O26" i="20"/>
  <c r="S26" i="20" s="1"/>
  <c r="N26" i="20"/>
  <c r="I26" i="20"/>
  <c r="H26" i="20"/>
  <c r="F26" i="20"/>
  <c r="S25" i="20"/>
  <c r="R25" i="20"/>
  <c r="O25" i="20"/>
  <c r="N25" i="20"/>
  <c r="I25" i="20"/>
  <c r="U25" i="20" s="1"/>
  <c r="H25" i="20"/>
  <c r="F25" i="20"/>
  <c r="U24" i="20"/>
  <c r="R24" i="20"/>
  <c r="O24" i="20"/>
  <c r="N24" i="20"/>
  <c r="F24" i="20"/>
  <c r="U23" i="20"/>
  <c r="R23" i="20"/>
  <c r="F23" i="20"/>
  <c r="U22" i="20"/>
  <c r="S22" i="20"/>
  <c r="F22" i="20"/>
  <c r="U21" i="20"/>
  <c r="F21" i="20"/>
  <c r="C17" i="20"/>
  <c r="C105" i="20" s="1"/>
  <c r="G90" i="19"/>
  <c r="C88" i="19"/>
  <c r="G78" i="19"/>
  <c r="F78" i="19"/>
  <c r="E75" i="19"/>
  <c r="E93" i="19" s="1"/>
  <c r="E95" i="19" s="1"/>
  <c r="E96" i="19" s="1"/>
  <c r="E97" i="19" s="1"/>
  <c r="F69" i="19"/>
  <c r="E39" i="19"/>
  <c r="E38" i="19"/>
  <c r="O37" i="19"/>
  <c r="N37" i="19"/>
  <c r="R37" i="19" s="1"/>
  <c r="I37" i="19"/>
  <c r="U37" i="19" s="1"/>
  <c r="H37" i="19"/>
  <c r="F37" i="19"/>
  <c r="O36" i="19"/>
  <c r="S36" i="19" s="1"/>
  <c r="N36" i="19"/>
  <c r="P36" i="19" s="1"/>
  <c r="Q36" i="19" s="1"/>
  <c r="I36" i="19"/>
  <c r="H36" i="19"/>
  <c r="F36" i="19"/>
  <c r="S35" i="19"/>
  <c r="P35" i="19"/>
  <c r="Q35" i="19" s="1"/>
  <c r="O35" i="19"/>
  <c r="N35" i="19"/>
  <c r="R35" i="19" s="1"/>
  <c r="I35" i="19"/>
  <c r="H35" i="19"/>
  <c r="F35" i="19"/>
  <c r="O34" i="19"/>
  <c r="S34" i="19" s="1"/>
  <c r="N34" i="19"/>
  <c r="R34" i="19" s="1"/>
  <c r="I34" i="19"/>
  <c r="H34" i="19"/>
  <c r="F34" i="19"/>
  <c r="O33" i="19"/>
  <c r="S33" i="19" s="1"/>
  <c r="N33" i="19"/>
  <c r="I33" i="19"/>
  <c r="H33" i="19"/>
  <c r="F33" i="19"/>
  <c r="U32" i="19"/>
  <c r="O32" i="19"/>
  <c r="S32" i="19" s="1"/>
  <c r="N32" i="19"/>
  <c r="R32" i="19" s="1"/>
  <c r="I32" i="19"/>
  <c r="H32" i="19"/>
  <c r="F32" i="19"/>
  <c r="U31" i="19"/>
  <c r="O31" i="19"/>
  <c r="S31" i="19" s="1"/>
  <c r="N31" i="19"/>
  <c r="R31" i="19" s="1"/>
  <c r="F31" i="19"/>
  <c r="U30" i="19"/>
  <c r="S30" i="19"/>
  <c r="R30" i="19"/>
  <c r="P30" i="19"/>
  <c r="Q30" i="19" s="1"/>
  <c r="O30" i="19"/>
  <c r="N30" i="19"/>
  <c r="I30" i="19"/>
  <c r="H30" i="19"/>
  <c r="F30" i="19"/>
  <c r="U29" i="19"/>
  <c r="R29" i="19"/>
  <c r="O29" i="19"/>
  <c r="S29" i="19" s="1"/>
  <c r="N29" i="19"/>
  <c r="F29" i="19"/>
  <c r="O28" i="19"/>
  <c r="S28" i="19" s="1"/>
  <c r="N28" i="19"/>
  <c r="R28" i="19" s="1"/>
  <c r="I28" i="19"/>
  <c r="U28" i="19" s="1"/>
  <c r="H28" i="19"/>
  <c r="F28" i="19"/>
  <c r="O27" i="19"/>
  <c r="S27" i="19" s="1"/>
  <c r="N27" i="19"/>
  <c r="R27" i="19" s="1"/>
  <c r="I27" i="19"/>
  <c r="U27" i="19" s="1"/>
  <c r="H27" i="19"/>
  <c r="F27" i="19"/>
  <c r="U26" i="19"/>
  <c r="O26" i="19"/>
  <c r="S26" i="19" s="1"/>
  <c r="N26" i="19"/>
  <c r="R26" i="19" s="1"/>
  <c r="I26" i="19"/>
  <c r="H26" i="19"/>
  <c r="F26" i="19"/>
  <c r="O25" i="19"/>
  <c r="N25" i="19"/>
  <c r="R25" i="19" s="1"/>
  <c r="I25" i="19"/>
  <c r="U25" i="19" s="1"/>
  <c r="H25" i="19"/>
  <c r="F25" i="19"/>
  <c r="U24" i="19"/>
  <c r="O24" i="19"/>
  <c r="S24" i="19" s="1"/>
  <c r="N24" i="19"/>
  <c r="R24" i="19" s="1"/>
  <c r="F24" i="19"/>
  <c r="U23" i="19"/>
  <c r="R23" i="19"/>
  <c r="F23" i="19"/>
  <c r="U22" i="19"/>
  <c r="S22" i="19"/>
  <c r="F22" i="19"/>
  <c r="U21" i="19"/>
  <c r="F21" i="19"/>
  <c r="G90" i="18"/>
  <c r="C88" i="18"/>
  <c r="G78" i="18"/>
  <c r="F78" i="18"/>
  <c r="E75" i="18"/>
  <c r="E93" i="18" s="1"/>
  <c r="E95" i="18" s="1"/>
  <c r="E96" i="18" s="1"/>
  <c r="E97" i="18" s="1"/>
  <c r="I57" i="18"/>
  <c r="F69" i="18" s="1"/>
  <c r="E39" i="18"/>
  <c r="E38" i="18"/>
  <c r="R37" i="18"/>
  <c r="O37" i="18"/>
  <c r="N37" i="18"/>
  <c r="I37" i="18"/>
  <c r="H37" i="18"/>
  <c r="F37" i="18"/>
  <c r="S36" i="18"/>
  <c r="R36" i="18"/>
  <c r="O36" i="18"/>
  <c r="N36" i="18"/>
  <c r="P36" i="18" s="1"/>
  <c r="Q36" i="18" s="1"/>
  <c r="I36" i="18"/>
  <c r="H36" i="18"/>
  <c r="F36" i="18"/>
  <c r="O35" i="18"/>
  <c r="S35" i="18" s="1"/>
  <c r="N35" i="18"/>
  <c r="I35" i="18"/>
  <c r="H35" i="18"/>
  <c r="F35" i="18"/>
  <c r="S34" i="18"/>
  <c r="R34" i="18"/>
  <c r="Q34" i="18"/>
  <c r="O34" i="18"/>
  <c r="N34" i="18"/>
  <c r="P34" i="18" s="1"/>
  <c r="I34" i="18"/>
  <c r="H34" i="18"/>
  <c r="F34" i="18"/>
  <c r="O33" i="18"/>
  <c r="S33" i="18" s="1"/>
  <c r="N33" i="18"/>
  <c r="P33" i="18" s="1"/>
  <c r="Q33" i="18" s="1"/>
  <c r="I33" i="18"/>
  <c r="H33" i="18"/>
  <c r="F33" i="18"/>
  <c r="U32" i="18"/>
  <c r="O32" i="18"/>
  <c r="S32" i="18" s="1"/>
  <c r="N32" i="18"/>
  <c r="P32" i="18" s="1"/>
  <c r="Q32" i="18" s="1"/>
  <c r="I32" i="18"/>
  <c r="H32" i="18"/>
  <c r="F32" i="18"/>
  <c r="U31" i="18"/>
  <c r="R31" i="18"/>
  <c r="O31" i="18"/>
  <c r="S31" i="18" s="1"/>
  <c r="N31" i="18"/>
  <c r="F31" i="18"/>
  <c r="O30" i="18"/>
  <c r="S30" i="18" s="1"/>
  <c r="N30" i="18"/>
  <c r="R30" i="18" s="1"/>
  <c r="I30" i="18"/>
  <c r="U30" i="18" s="1"/>
  <c r="H30" i="18"/>
  <c r="F30" i="18"/>
  <c r="U29" i="18"/>
  <c r="O29" i="18"/>
  <c r="S29" i="18" s="1"/>
  <c r="N29" i="18"/>
  <c r="F29" i="18"/>
  <c r="S28" i="18"/>
  <c r="O28" i="18"/>
  <c r="N28" i="18"/>
  <c r="R28" i="18" s="1"/>
  <c r="I28" i="18"/>
  <c r="U28" i="18" s="1"/>
  <c r="H28" i="18"/>
  <c r="F28" i="18"/>
  <c r="U27" i="18"/>
  <c r="O27" i="18"/>
  <c r="S27" i="18" s="1"/>
  <c r="N27" i="18"/>
  <c r="R27" i="18" s="1"/>
  <c r="I27" i="18"/>
  <c r="H27" i="18"/>
  <c r="F27" i="18"/>
  <c r="O26" i="18"/>
  <c r="S26" i="18" s="1"/>
  <c r="N26" i="18"/>
  <c r="P26" i="18" s="1"/>
  <c r="Q26" i="18" s="1"/>
  <c r="I26" i="18"/>
  <c r="U26" i="18" s="1"/>
  <c r="H26" i="18"/>
  <c r="F26" i="18"/>
  <c r="S25" i="18"/>
  <c r="R25" i="18"/>
  <c r="P25" i="18"/>
  <c r="Q25" i="18" s="1"/>
  <c r="O25" i="18"/>
  <c r="N25" i="18"/>
  <c r="I25" i="18"/>
  <c r="H25" i="18"/>
  <c r="F25" i="18"/>
  <c r="U24" i="18"/>
  <c r="O24" i="18"/>
  <c r="N24" i="18"/>
  <c r="F24" i="18"/>
  <c r="U23" i="18"/>
  <c r="R23" i="18"/>
  <c r="F23" i="18"/>
  <c r="U22" i="18"/>
  <c r="S22" i="18"/>
  <c r="F22" i="18"/>
  <c r="U21" i="18"/>
  <c r="F21" i="18"/>
  <c r="R36" i="19" l="1"/>
  <c r="P31" i="19"/>
  <c r="Q31" i="19" s="1"/>
  <c r="P37" i="19"/>
  <c r="Q37" i="19" s="1"/>
  <c r="O38" i="19"/>
  <c r="S38" i="19" s="1"/>
  <c r="S37" i="19"/>
  <c r="P34" i="19"/>
  <c r="Q34" i="19" s="1"/>
  <c r="F38" i="19"/>
  <c r="G33" i="19" s="1"/>
  <c r="K33" i="19" s="1"/>
  <c r="P24" i="19"/>
  <c r="Q24" i="19" s="1"/>
  <c r="P26" i="19"/>
  <c r="Q26" i="19" s="1"/>
  <c r="J33" i="19"/>
  <c r="R32" i="18"/>
  <c r="P27" i="18"/>
  <c r="Q27" i="18" s="1"/>
  <c r="R26" i="18"/>
  <c r="P37" i="18"/>
  <c r="Q37" i="18" s="1"/>
  <c r="P28" i="18"/>
  <c r="Q28" i="18" s="1"/>
  <c r="N38" i="18"/>
  <c r="G24" i="22"/>
  <c r="G39" i="22"/>
  <c r="G40" i="20"/>
  <c r="G32" i="21"/>
  <c r="J32" i="21" s="1"/>
  <c r="G29" i="21"/>
  <c r="C48" i="21"/>
  <c r="G36" i="21"/>
  <c r="J36" i="21" s="1"/>
  <c r="G28" i="21"/>
  <c r="J28" i="21" s="1"/>
  <c r="G39" i="21"/>
  <c r="G31" i="21"/>
  <c r="G22" i="21"/>
  <c r="G37" i="21"/>
  <c r="R32" i="22"/>
  <c r="G25" i="22"/>
  <c r="K25" i="22" s="1"/>
  <c r="G26" i="19"/>
  <c r="K26" i="19" s="1"/>
  <c r="R30" i="20"/>
  <c r="P30" i="20"/>
  <c r="Q30" i="20" s="1"/>
  <c r="P25" i="21"/>
  <c r="Q25" i="21" s="1"/>
  <c r="P30" i="22"/>
  <c r="Q30" i="22" s="1"/>
  <c r="R30" i="22"/>
  <c r="C118" i="20"/>
  <c r="G41" i="21"/>
  <c r="S27" i="21"/>
  <c r="O42" i="21"/>
  <c r="S42" i="21" s="1"/>
  <c r="O42" i="20"/>
  <c r="S42" i="20" s="1"/>
  <c r="G30" i="19"/>
  <c r="K30" i="19" s="1"/>
  <c r="G36" i="19"/>
  <c r="P24" i="20"/>
  <c r="Q24" i="20" s="1"/>
  <c r="G27" i="20"/>
  <c r="G36" i="20"/>
  <c r="J36" i="20" s="1"/>
  <c r="P27" i="21"/>
  <c r="Q27" i="21" s="1"/>
  <c r="G22" i="19"/>
  <c r="S25" i="19"/>
  <c r="U30" i="20"/>
  <c r="C106" i="21"/>
  <c r="C178" i="21"/>
  <c r="R33" i="19"/>
  <c r="P33" i="19"/>
  <c r="Q33" i="19" s="1"/>
  <c r="S24" i="20"/>
  <c r="G33" i="21"/>
  <c r="K33" i="21" s="1"/>
  <c r="F38" i="18"/>
  <c r="G27" i="18" s="1"/>
  <c r="U37" i="18"/>
  <c r="P29" i="19"/>
  <c r="Q29" i="19" s="1"/>
  <c r="G37" i="20"/>
  <c r="G26" i="21"/>
  <c r="R33" i="21"/>
  <c r="P33" i="21"/>
  <c r="Q33" i="21" s="1"/>
  <c r="P37" i="21"/>
  <c r="Q37" i="21" s="1"/>
  <c r="R37" i="21"/>
  <c r="C178" i="20"/>
  <c r="C106" i="20"/>
  <c r="P35" i="20"/>
  <c r="Q35" i="20" s="1"/>
  <c r="H164" i="22"/>
  <c r="H163" i="22"/>
  <c r="H162" i="22"/>
  <c r="G40" i="21"/>
  <c r="O38" i="18"/>
  <c r="S38" i="18" s="1"/>
  <c r="G23" i="21"/>
  <c r="G34" i="22"/>
  <c r="K34" i="22" s="1"/>
  <c r="P25" i="19"/>
  <c r="Q25" i="19" s="1"/>
  <c r="G27" i="22"/>
  <c r="K27" i="22" s="1"/>
  <c r="P38" i="18"/>
  <c r="Q38" i="18" s="1"/>
  <c r="U28" i="22"/>
  <c r="G27" i="19"/>
  <c r="K27" i="19" s="1"/>
  <c r="G32" i="20"/>
  <c r="J32" i="20" s="1"/>
  <c r="P37" i="20"/>
  <c r="Q37" i="20" s="1"/>
  <c r="R28" i="22"/>
  <c r="P28" i="22"/>
  <c r="Q28" i="22" s="1"/>
  <c r="R38" i="18"/>
  <c r="P28" i="20"/>
  <c r="Q28" i="20" s="1"/>
  <c r="R28" i="20"/>
  <c r="P27" i="19"/>
  <c r="Q27" i="19" s="1"/>
  <c r="G35" i="21"/>
  <c r="K35" i="21" s="1"/>
  <c r="R29" i="18"/>
  <c r="P29" i="18"/>
  <c r="Q29" i="18" s="1"/>
  <c r="U32" i="20"/>
  <c r="G24" i="21"/>
  <c r="G29" i="22"/>
  <c r="P29" i="21"/>
  <c r="Q29" i="21" s="1"/>
  <c r="G30" i="21"/>
  <c r="K30" i="21" s="1"/>
  <c r="I157" i="20"/>
  <c r="P26" i="20"/>
  <c r="Q26" i="20" s="1"/>
  <c r="R26" i="20"/>
  <c r="R24" i="22"/>
  <c r="P24" i="22"/>
  <c r="Q24" i="22" s="1"/>
  <c r="N42" i="22"/>
  <c r="J30" i="19"/>
  <c r="G23" i="20"/>
  <c r="G38" i="20"/>
  <c r="G34" i="21"/>
  <c r="N42" i="21"/>
  <c r="G38" i="21"/>
  <c r="S24" i="18"/>
  <c r="R33" i="18"/>
  <c r="S37" i="18"/>
  <c r="P25" i="20"/>
  <c r="Q25" i="20" s="1"/>
  <c r="N42" i="20"/>
  <c r="P36" i="20"/>
  <c r="Q36" i="20" s="1"/>
  <c r="K32" i="21"/>
  <c r="U32" i="21"/>
  <c r="C178" i="22"/>
  <c r="C106" i="22"/>
  <c r="C118" i="22"/>
  <c r="R24" i="18"/>
  <c r="R32" i="20"/>
  <c r="S40" i="20"/>
  <c r="P28" i="19"/>
  <c r="Q28" i="19" s="1"/>
  <c r="R38" i="20"/>
  <c r="P24" i="21"/>
  <c r="Q24" i="21" s="1"/>
  <c r="C176" i="21"/>
  <c r="F42" i="22"/>
  <c r="P31" i="18"/>
  <c r="Q31" i="18" s="1"/>
  <c r="P26" i="22"/>
  <c r="Q26" i="22" s="1"/>
  <c r="P24" i="18"/>
  <c r="Q24" i="18" s="1"/>
  <c r="J27" i="22"/>
  <c r="G38" i="22"/>
  <c r="J33" i="20"/>
  <c r="P26" i="21"/>
  <c r="Q26" i="21" s="1"/>
  <c r="P32" i="21"/>
  <c r="Q32" i="21" s="1"/>
  <c r="P32" i="19"/>
  <c r="Q32" i="19" s="1"/>
  <c r="R27" i="20"/>
  <c r="P27" i="20"/>
  <c r="Q27" i="20" s="1"/>
  <c r="U36" i="20"/>
  <c r="R28" i="21"/>
  <c r="P38" i="21"/>
  <c r="Q38" i="21" s="1"/>
  <c r="G24" i="19"/>
  <c r="G32" i="19"/>
  <c r="K32" i="19" s="1"/>
  <c r="G25" i="19"/>
  <c r="K25" i="19" s="1"/>
  <c r="G25" i="21"/>
  <c r="J25" i="21" s="1"/>
  <c r="G30" i="22"/>
  <c r="U36" i="22"/>
  <c r="G25" i="20"/>
  <c r="K25" i="20" s="1"/>
  <c r="P34" i="20"/>
  <c r="Q34" i="20" s="1"/>
  <c r="R34" i="20"/>
  <c r="O42" i="22"/>
  <c r="S42" i="22" s="1"/>
  <c r="F42" i="20"/>
  <c r="G21" i="20"/>
  <c r="G34" i="19"/>
  <c r="K34" i="19" s="1"/>
  <c r="U25" i="18"/>
  <c r="P30" i="18"/>
  <c r="Q30" i="18" s="1"/>
  <c r="G24" i="20"/>
  <c r="P29" i="20"/>
  <c r="Q29" i="20" s="1"/>
  <c r="P31" i="20"/>
  <c r="Q31" i="20" s="1"/>
  <c r="G21" i="21"/>
  <c r="G42" i="21" s="1"/>
  <c r="G23" i="22"/>
  <c r="P38" i="22"/>
  <c r="Q38" i="22" s="1"/>
  <c r="J27" i="19"/>
  <c r="N38" i="19"/>
  <c r="U25" i="21"/>
  <c r="I157" i="21"/>
  <c r="P35" i="18"/>
  <c r="Q35" i="18" s="1"/>
  <c r="G33" i="20"/>
  <c r="K33" i="20" s="1"/>
  <c r="R35" i="18"/>
  <c r="G27" i="21"/>
  <c r="G21" i="19" l="1"/>
  <c r="G29" i="19"/>
  <c r="G31" i="19"/>
  <c r="G23" i="19"/>
  <c r="G35" i="19"/>
  <c r="K35" i="19" s="1"/>
  <c r="C44" i="19"/>
  <c r="J34" i="19"/>
  <c r="G37" i="19"/>
  <c r="G28" i="19"/>
  <c r="G35" i="18"/>
  <c r="G26" i="18"/>
  <c r="J26" i="18" s="1"/>
  <c r="G30" i="18"/>
  <c r="J30" i="18" s="1"/>
  <c r="G28" i="18"/>
  <c r="G24" i="18"/>
  <c r="K24" i="18" s="1"/>
  <c r="E48" i="21"/>
  <c r="C131" i="21"/>
  <c r="E131" i="21" s="1"/>
  <c r="I106" i="21"/>
  <c r="J106" i="21" s="1"/>
  <c r="C51" i="18"/>
  <c r="C62" i="18"/>
  <c r="J25" i="20"/>
  <c r="J26" i="19"/>
  <c r="K40" i="20"/>
  <c r="J40" i="20"/>
  <c r="K29" i="21"/>
  <c r="J29" i="21"/>
  <c r="J29" i="19"/>
  <c r="K29" i="19"/>
  <c r="K27" i="20"/>
  <c r="J27" i="20"/>
  <c r="K36" i="20"/>
  <c r="J35" i="21"/>
  <c r="J24" i="19"/>
  <c r="K24" i="19"/>
  <c r="I107" i="21"/>
  <c r="J107" i="21" s="1"/>
  <c r="K36" i="19"/>
  <c r="J36" i="19"/>
  <c r="J25" i="22"/>
  <c r="K29" i="22"/>
  <c r="J29" i="22"/>
  <c r="J34" i="22"/>
  <c r="I108" i="21"/>
  <c r="H162" i="21"/>
  <c r="H164" i="21"/>
  <c r="H163" i="21"/>
  <c r="G42" i="20"/>
  <c r="K36" i="21"/>
  <c r="C48" i="22"/>
  <c r="G36" i="22"/>
  <c r="G41" i="22"/>
  <c r="G32" i="22"/>
  <c r="G31" i="22"/>
  <c r="G37" i="22"/>
  <c r="G26" i="22"/>
  <c r="G28" i="22"/>
  <c r="G40" i="22"/>
  <c r="L168" i="21"/>
  <c r="E167" i="21" s="1"/>
  <c r="E166" i="21" s="1"/>
  <c r="E165" i="21" s="1"/>
  <c r="K24" i="21"/>
  <c r="J24" i="21"/>
  <c r="I105" i="21"/>
  <c r="G25" i="18"/>
  <c r="G22" i="18"/>
  <c r="G21" i="18"/>
  <c r="G34" i="18"/>
  <c r="G36" i="18"/>
  <c r="G32" i="18"/>
  <c r="G29" i="18"/>
  <c r="C44" i="18"/>
  <c r="G33" i="18"/>
  <c r="G23" i="18"/>
  <c r="E44" i="19"/>
  <c r="G31" i="18"/>
  <c r="J30" i="21"/>
  <c r="G26" i="20"/>
  <c r="G39" i="20"/>
  <c r="G35" i="20"/>
  <c r="G41" i="20"/>
  <c r="G31" i="20"/>
  <c r="G29" i="20"/>
  <c r="C48" i="20"/>
  <c r="G22" i="20"/>
  <c r="G28" i="20"/>
  <c r="G34" i="20"/>
  <c r="G21" i="22"/>
  <c r="C107" i="22"/>
  <c r="K38" i="21"/>
  <c r="J38" i="21"/>
  <c r="G33" i="22"/>
  <c r="G37" i="18"/>
  <c r="R42" i="21"/>
  <c r="P42" i="21"/>
  <c r="Q42" i="21" s="1"/>
  <c r="K32" i="20"/>
  <c r="G22" i="22"/>
  <c r="G35" i="22"/>
  <c r="K25" i="21"/>
  <c r="K28" i="21"/>
  <c r="K34" i="21"/>
  <c r="J34" i="21"/>
  <c r="J35" i="19"/>
  <c r="J33" i="21"/>
  <c r="K38" i="22"/>
  <c r="J38" i="22"/>
  <c r="G43" i="21"/>
  <c r="E163" i="21" s="1"/>
  <c r="H162" i="20"/>
  <c r="H163" i="20"/>
  <c r="H164" i="20"/>
  <c r="K38" i="20"/>
  <c r="J38" i="20"/>
  <c r="J40" i="21"/>
  <c r="K40" i="21"/>
  <c r="K37" i="20"/>
  <c r="J37" i="20"/>
  <c r="K41" i="21"/>
  <c r="J41" i="21"/>
  <c r="R38" i="19"/>
  <c r="P38" i="19"/>
  <c r="Q38" i="19" s="1"/>
  <c r="J25" i="19"/>
  <c r="K27" i="18"/>
  <c r="J27" i="18"/>
  <c r="J39" i="22"/>
  <c r="K39" i="22"/>
  <c r="K24" i="20"/>
  <c r="J24" i="20"/>
  <c r="L168" i="20"/>
  <c r="E167" i="20" s="1"/>
  <c r="E166" i="20" s="1"/>
  <c r="E165" i="20" s="1"/>
  <c r="K26" i="21"/>
  <c r="R42" i="22"/>
  <c r="P42" i="22"/>
  <c r="Q42" i="22" s="1"/>
  <c r="C107" i="21"/>
  <c r="K37" i="21"/>
  <c r="J37" i="21"/>
  <c r="J24" i="22"/>
  <c r="K24" i="22"/>
  <c r="L168" i="22"/>
  <c r="E167" i="22" s="1"/>
  <c r="E166" i="22" s="1"/>
  <c r="E165" i="22" s="1"/>
  <c r="C107" i="20"/>
  <c r="J27" i="21"/>
  <c r="K27" i="21"/>
  <c r="K30" i="22"/>
  <c r="J30" i="22"/>
  <c r="R42" i="20"/>
  <c r="P42" i="20"/>
  <c r="Q42" i="20" s="1"/>
  <c r="K31" i="21"/>
  <c r="J31" i="21"/>
  <c r="K26" i="18"/>
  <c r="J32" i="19"/>
  <c r="J26" i="21"/>
  <c r="K30" i="18"/>
  <c r="K39" i="21"/>
  <c r="J39" i="21"/>
  <c r="G30" i="20"/>
  <c r="J28" i="19" l="1"/>
  <c r="K28" i="19"/>
  <c r="G38" i="19"/>
  <c r="K37" i="19"/>
  <c r="J37" i="19"/>
  <c r="G39" i="19"/>
  <c r="K31" i="19"/>
  <c r="J31" i="19"/>
  <c r="K28" i="18"/>
  <c r="J28" i="18"/>
  <c r="J24" i="18"/>
  <c r="J35" i="18"/>
  <c r="K35" i="18"/>
  <c r="C66" i="22"/>
  <c r="C55" i="22"/>
  <c r="C131" i="22"/>
  <c r="E131" i="22" s="1"/>
  <c r="E48" i="22"/>
  <c r="I106" i="22"/>
  <c r="J106" i="22" s="1"/>
  <c r="I108" i="22"/>
  <c r="I107" i="22"/>
  <c r="J107" i="22" s="1"/>
  <c r="I105" i="22"/>
  <c r="J32" i="18"/>
  <c r="K32" i="18"/>
  <c r="K36" i="18"/>
  <c r="J36" i="18"/>
  <c r="J28" i="20"/>
  <c r="K28" i="20"/>
  <c r="E48" i="20"/>
  <c r="C131" i="20"/>
  <c r="E131" i="20" s="1"/>
  <c r="I106" i="20"/>
  <c r="J106" i="20" s="1"/>
  <c r="I107" i="20"/>
  <c r="J107" i="20" s="1"/>
  <c r="I105" i="20"/>
  <c r="I108" i="20"/>
  <c r="K30" i="20"/>
  <c r="J30" i="20"/>
  <c r="K29" i="18"/>
  <c r="J29" i="18"/>
  <c r="J38" i="18" s="1"/>
  <c r="C45" i="18" s="1"/>
  <c r="E45" i="18" s="1"/>
  <c r="K34" i="20"/>
  <c r="J34" i="20"/>
  <c r="L164" i="21"/>
  <c r="E162" i="21" s="1"/>
  <c r="C162" i="21" s="1"/>
  <c r="C196" i="21" s="1"/>
  <c r="G38" i="18"/>
  <c r="C166" i="20"/>
  <c r="C199" i="20" s="1"/>
  <c r="C168" i="20"/>
  <c r="C167" i="20"/>
  <c r="C200" i="20" s="1"/>
  <c r="C169" i="20"/>
  <c r="C165" i="20"/>
  <c r="C108" i="21"/>
  <c r="J25" i="18"/>
  <c r="K25" i="18"/>
  <c r="K29" i="20"/>
  <c r="J29" i="20"/>
  <c r="J105" i="21"/>
  <c r="C109" i="21"/>
  <c r="C110" i="21" s="1"/>
  <c r="J31" i="20"/>
  <c r="K31" i="20"/>
  <c r="J42" i="21"/>
  <c r="C49" i="21" s="1"/>
  <c r="E49" i="21" s="1"/>
  <c r="K35" i="22"/>
  <c r="J35" i="22"/>
  <c r="K41" i="20"/>
  <c r="J41" i="20"/>
  <c r="K42" i="21"/>
  <c r="C50" i="21" s="1"/>
  <c r="E44" i="18"/>
  <c r="K36" i="22"/>
  <c r="J36" i="22"/>
  <c r="J39" i="20"/>
  <c r="K39" i="20"/>
  <c r="J40" i="22"/>
  <c r="K40" i="22"/>
  <c r="C55" i="21"/>
  <c r="C66" i="21"/>
  <c r="G43" i="20"/>
  <c r="E163" i="20" s="1"/>
  <c r="C163" i="20" s="1"/>
  <c r="C197" i="20" s="1"/>
  <c r="J26" i="20"/>
  <c r="J42" i="20" s="1"/>
  <c r="C49" i="20" s="1"/>
  <c r="E49" i="20" s="1"/>
  <c r="K26" i="20"/>
  <c r="K42" i="20" s="1"/>
  <c r="C50" i="20" s="1"/>
  <c r="K28" i="22"/>
  <c r="J28" i="22"/>
  <c r="C54" i="18"/>
  <c r="G43" i="22"/>
  <c r="E163" i="22" s="1"/>
  <c r="K26" i="22"/>
  <c r="K42" i="22" s="1"/>
  <c r="C50" i="22" s="1"/>
  <c r="J26" i="22"/>
  <c r="J42" i="22" s="1"/>
  <c r="C49" i="22" s="1"/>
  <c r="E49" i="22" s="1"/>
  <c r="C168" i="21"/>
  <c r="C166" i="21"/>
  <c r="C199" i="21" s="1"/>
  <c r="C165" i="21"/>
  <c r="C167" i="21"/>
  <c r="C200" i="21" s="1"/>
  <c r="C163" i="21"/>
  <c r="C197" i="21" s="1"/>
  <c r="C169" i="21"/>
  <c r="K37" i="18"/>
  <c r="J37" i="18"/>
  <c r="J31" i="18"/>
  <c r="K31" i="18"/>
  <c r="J37" i="22"/>
  <c r="K37" i="22"/>
  <c r="C168" i="22"/>
  <c r="C163" i="22"/>
  <c r="C197" i="22" s="1"/>
  <c r="C166" i="22"/>
  <c r="C199" i="22" s="1"/>
  <c r="C165" i="22"/>
  <c r="C169" i="22"/>
  <c r="C167" i="22"/>
  <c r="C200" i="22" s="1"/>
  <c r="K33" i="18"/>
  <c r="J33" i="18"/>
  <c r="C62" i="19"/>
  <c r="C51" i="19"/>
  <c r="G42" i="22"/>
  <c r="L163" i="21"/>
  <c r="E164" i="21" s="1"/>
  <c r="C164" i="21" s="1"/>
  <c r="C198" i="21" s="1"/>
  <c r="H41" i="16" s="1"/>
  <c r="K34" i="18"/>
  <c r="J34" i="18"/>
  <c r="J35" i="20"/>
  <c r="K35" i="20"/>
  <c r="K31" i="22"/>
  <c r="J31" i="22"/>
  <c r="K38" i="19"/>
  <c r="C46" i="19" s="1"/>
  <c r="C55" i="20"/>
  <c r="C66" i="20"/>
  <c r="K33" i="22"/>
  <c r="J33" i="22"/>
  <c r="K32" i="22"/>
  <c r="J32" i="22"/>
  <c r="G39" i="18"/>
  <c r="K41" i="22"/>
  <c r="J41" i="22"/>
  <c r="J38" i="19"/>
  <c r="C45" i="19" s="1"/>
  <c r="E45" i="19" s="1"/>
  <c r="K38" i="18" l="1"/>
  <c r="C46" i="18" s="1"/>
  <c r="E50" i="20"/>
  <c r="C81" i="20" s="1"/>
  <c r="C125" i="20"/>
  <c r="C126" i="20" s="1"/>
  <c r="H48" i="20"/>
  <c r="C79" i="20"/>
  <c r="C80" i="20" s="1"/>
  <c r="L162" i="20"/>
  <c r="E161" i="20" s="1"/>
  <c r="C161" i="20" s="1"/>
  <c r="C195" i="20" s="1"/>
  <c r="L164" i="20"/>
  <c r="E162" i="20" s="1"/>
  <c r="C162" i="20" s="1"/>
  <c r="C196" i="20" s="1"/>
  <c r="L163" i="20"/>
  <c r="E164" i="20" s="1"/>
  <c r="C164" i="20" s="1"/>
  <c r="C198" i="20" s="1"/>
  <c r="G41" i="16" s="1"/>
  <c r="C125" i="22"/>
  <c r="C126" i="22" s="1"/>
  <c r="C79" i="22"/>
  <c r="C80" i="22" s="1"/>
  <c r="E50" i="22"/>
  <c r="C81" i="22" s="1"/>
  <c r="H48" i="22"/>
  <c r="L164" i="22"/>
  <c r="E162" i="22" s="1"/>
  <c r="C162" i="22" s="1"/>
  <c r="C196" i="22" s="1"/>
  <c r="L163" i="22"/>
  <c r="E164" i="22" s="1"/>
  <c r="C164" i="22" s="1"/>
  <c r="C198" i="22" s="1"/>
  <c r="I41" i="16" s="1"/>
  <c r="L162" i="22"/>
  <c r="E161" i="22" s="1"/>
  <c r="C161" i="22" s="1"/>
  <c r="C195" i="22" s="1"/>
  <c r="E46" i="18"/>
  <c r="C77" i="18" s="1"/>
  <c r="C75" i="18"/>
  <c r="C76" i="18" s="1"/>
  <c r="C111" i="21"/>
  <c r="C146" i="21" s="1"/>
  <c r="C148" i="21" s="1"/>
  <c r="C115" i="21"/>
  <c r="I58" i="18"/>
  <c r="C54" i="19"/>
  <c r="C177" i="21"/>
  <c r="G108" i="21"/>
  <c r="J108" i="21" s="1"/>
  <c r="C108" i="20"/>
  <c r="J105" i="22"/>
  <c r="C109" i="22"/>
  <c r="C110" i="22" s="1"/>
  <c r="J105" i="20"/>
  <c r="C109" i="20"/>
  <c r="C110" i="20" s="1"/>
  <c r="C108" i="22"/>
  <c r="C58" i="21"/>
  <c r="C58" i="20"/>
  <c r="H44" i="19"/>
  <c r="E46" i="19"/>
  <c r="C77" i="19" s="1"/>
  <c r="C75" i="19"/>
  <c r="C76" i="19" s="1"/>
  <c r="E50" i="21"/>
  <c r="C81" i="21" s="1"/>
  <c r="C125" i="21"/>
  <c r="C126" i="21" s="1"/>
  <c r="H48" i="21"/>
  <c r="C79" i="21"/>
  <c r="C80" i="21" s="1"/>
  <c r="C58" i="22"/>
  <c r="L162" i="21"/>
  <c r="E161" i="21" s="1"/>
  <c r="C161" i="21" s="1"/>
  <c r="C195" i="21" s="1"/>
  <c r="I58" i="19" l="1"/>
  <c r="C82" i="21"/>
  <c r="C83" i="21" s="1"/>
  <c r="C97" i="21"/>
  <c r="C98" i="21" s="1"/>
  <c r="C99" i="21" s="1"/>
  <c r="C100" i="21" s="1"/>
  <c r="C101" i="21" s="1"/>
  <c r="C82" i="22"/>
  <c r="C83" i="22" s="1"/>
  <c r="C97" i="22"/>
  <c r="C98" i="22" s="1"/>
  <c r="C99" i="22" s="1"/>
  <c r="C100" i="22" s="1"/>
  <c r="C101" i="22" s="1"/>
  <c r="C78" i="19"/>
  <c r="C79" i="19" s="1"/>
  <c r="C93" i="19"/>
  <c r="C94" i="19" s="1"/>
  <c r="C95" i="19" s="1"/>
  <c r="C96" i="19" s="1"/>
  <c r="C97" i="19" s="1"/>
  <c r="I62" i="20"/>
  <c r="D58" i="18"/>
  <c r="D59" i="18" s="1"/>
  <c r="P44" i="18"/>
  <c r="C115" i="22"/>
  <c r="C111" i="22"/>
  <c r="C146" i="22" s="1"/>
  <c r="C148" i="22" s="1"/>
  <c r="H44" i="18"/>
  <c r="C129" i="22"/>
  <c r="C127" i="22"/>
  <c r="C179" i="22" s="1"/>
  <c r="I62" i="22"/>
  <c r="C127" i="21"/>
  <c r="C179" i="21" s="1"/>
  <c r="C129" i="21"/>
  <c r="C93" i="18"/>
  <c r="C94" i="18" s="1"/>
  <c r="C95" i="18" s="1"/>
  <c r="C96" i="18" s="1"/>
  <c r="C97" i="18" s="1"/>
  <c r="C78" i="18"/>
  <c r="C79" i="18" s="1"/>
  <c r="G108" i="20"/>
  <c r="J108" i="20" s="1"/>
  <c r="C177" i="20"/>
  <c r="I62" i="21"/>
  <c r="C119" i="21"/>
  <c r="C121" i="21"/>
  <c r="C138" i="21" s="1"/>
  <c r="C181" i="21" s="1"/>
  <c r="C82" i="20"/>
  <c r="C83" i="20" s="1"/>
  <c r="C97" i="20"/>
  <c r="C98" i="20" s="1"/>
  <c r="C99" i="20" s="1"/>
  <c r="C100" i="20" s="1"/>
  <c r="C101" i="20" s="1"/>
  <c r="G108" i="22"/>
  <c r="J108" i="22" s="1"/>
  <c r="C177" i="22"/>
  <c r="C129" i="20"/>
  <c r="C127" i="20"/>
  <c r="C179" i="20" s="1"/>
  <c r="C111" i="20"/>
  <c r="C146" i="20" s="1"/>
  <c r="C148" i="20" s="1"/>
  <c r="C115" i="20"/>
  <c r="D62" i="21" l="1"/>
  <c r="D63" i="21" s="1"/>
  <c r="P48" i="21"/>
  <c r="C67" i="18"/>
  <c r="C64" i="18"/>
  <c r="C69" i="18"/>
  <c r="D62" i="20"/>
  <c r="D63" i="20" s="1"/>
  <c r="P48" i="20"/>
  <c r="C121" i="22"/>
  <c r="C138" i="22" s="1"/>
  <c r="C181" i="22" s="1"/>
  <c r="C119" i="22"/>
  <c r="I79" i="18"/>
  <c r="C130" i="21"/>
  <c r="C150" i="21" s="1"/>
  <c r="C192" i="21" s="1"/>
  <c r="C132" i="21"/>
  <c r="C121" i="20"/>
  <c r="C138" i="20" s="1"/>
  <c r="C181" i="20" s="1"/>
  <c r="C119" i="20"/>
  <c r="D62" i="22"/>
  <c r="D63" i="22" s="1"/>
  <c r="P48" i="22"/>
  <c r="C130" i="20"/>
  <c r="C150" i="20" s="1"/>
  <c r="C192" i="20" s="1"/>
  <c r="C132" i="20"/>
  <c r="C130" i="22"/>
  <c r="C150" i="22" s="1"/>
  <c r="C192" i="22" s="1"/>
  <c r="C132" i="22"/>
  <c r="D58" i="19"/>
  <c r="D59" i="19" s="1"/>
  <c r="P44" i="19"/>
  <c r="C64" i="19" l="1"/>
  <c r="I79" i="19" s="1"/>
  <c r="C67" i="19"/>
  <c r="C69" i="19"/>
  <c r="C156" i="20"/>
  <c r="C133" i="20"/>
  <c r="C151" i="20" s="1"/>
  <c r="C157" i="20"/>
  <c r="C182" i="20"/>
  <c r="C149" i="20"/>
  <c r="C71" i="22"/>
  <c r="C68" i="22"/>
  <c r="I83" i="22" s="1"/>
  <c r="C73" i="22"/>
  <c r="C182" i="21"/>
  <c r="C133" i="21"/>
  <c r="C157" i="21"/>
  <c r="C149" i="21"/>
  <c r="C156" i="21"/>
  <c r="C68" i="20"/>
  <c r="I83" i="20" s="1"/>
  <c r="C71" i="20"/>
  <c r="C73" i="20"/>
  <c r="I69" i="18"/>
  <c r="C71" i="18"/>
  <c r="C82" i="18" s="1"/>
  <c r="C83" i="18" s="1"/>
  <c r="I70" i="18"/>
  <c r="I67" i="18"/>
  <c r="G89" i="18"/>
  <c r="C87" i="18"/>
  <c r="C89" i="18" s="1"/>
  <c r="C90" i="18" s="1"/>
  <c r="D24" i="16" s="1"/>
  <c r="C182" i="22"/>
  <c r="C133" i="22"/>
  <c r="C157" i="22"/>
  <c r="C149" i="22"/>
  <c r="C156" i="22"/>
  <c r="C71" i="21"/>
  <c r="C68" i="21"/>
  <c r="I83" i="21" s="1"/>
  <c r="C73" i="21"/>
  <c r="C84" i="18" l="1"/>
  <c r="D6" i="16"/>
  <c r="C75" i="20"/>
  <c r="C86" i="20" s="1"/>
  <c r="C87" i="20" s="1"/>
  <c r="C88" i="20" s="1"/>
  <c r="I73" i="20"/>
  <c r="I74" i="20"/>
  <c r="G84" i="18"/>
  <c r="G83" i="18"/>
  <c r="G93" i="21"/>
  <c r="C91" i="21"/>
  <c r="C93" i="21" s="1"/>
  <c r="C94" i="21" s="1"/>
  <c r="I71" i="21"/>
  <c r="C134" i="20"/>
  <c r="C187" i="20" s="1"/>
  <c r="C183" i="20" s="1"/>
  <c r="G93" i="22"/>
  <c r="C91" i="22"/>
  <c r="C93" i="22" s="1"/>
  <c r="C94" i="22" s="1"/>
  <c r="I71" i="22"/>
  <c r="C71" i="19"/>
  <c r="C82" i="19" s="1"/>
  <c r="C83" i="19" s="1"/>
  <c r="I69" i="19"/>
  <c r="I70" i="19"/>
  <c r="C87" i="19"/>
  <c r="C89" i="19" s="1"/>
  <c r="C90" i="19" s="1"/>
  <c r="E24" i="16" s="1"/>
  <c r="I67" i="19"/>
  <c r="G89" i="19"/>
  <c r="C75" i="22"/>
  <c r="C86" i="22" s="1"/>
  <c r="C87" i="22" s="1"/>
  <c r="C88" i="22" s="1"/>
  <c r="I73" i="22"/>
  <c r="I74" i="22"/>
  <c r="I73" i="21"/>
  <c r="C75" i="21"/>
  <c r="C86" i="21" s="1"/>
  <c r="C87" i="21" s="1"/>
  <c r="C88" i="21" s="1"/>
  <c r="I74" i="21"/>
  <c r="C91" i="20"/>
  <c r="C93" i="20" s="1"/>
  <c r="C94" i="20" s="1"/>
  <c r="I71" i="20"/>
  <c r="G93" i="20"/>
  <c r="C136" i="20"/>
  <c r="C134" i="22"/>
  <c r="C187" i="22" s="1"/>
  <c r="C183" i="22" s="1"/>
  <c r="C134" i="21"/>
  <c r="C187" i="21" s="1"/>
  <c r="C183" i="21" s="1"/>
  <c r="C84" i="19" l="1"/>
  <c r="E6" i="16"/>
  <c r="E43" i="16" s="1"/>
  <c r="C136" i="21"/>
  <c r="C184" i="21"/>
  <c r="C185" i="21" s="1"/>
  <c r="C139" i="20"/>
  <c r="C137" i="20"/>
  <c r="C189" i="20" s="1"/>
  <c r="G84" i="19"/>
  <c r="G83" i="19"/>
  <c r="C136" i="22"/>
  <c r="C184" i="20"/>
  <c r="C185" i="20" s="1"/>
  <c r="G88" i="20"/>
  <c r="G87" i="20"/>
  <c r="G87" i="21"/>
  <c r="G88" i="21"/>
  <c r="G87" i="22"/>
  <c r="G88" i="22"/>
  <c r="C184" i="22"/>
  <c r="C185" i="22" s="1"/>
  <c r="C137" i="22" l="1"/>
  <c r="C189" i="22" s="1"/>
  <c r="C139" i="22"/>
  <c r="C137" i="21"/>
  <c r="C189" i="21" s="1"/>
  <c r="C139" i="21" l="1"/>
  <c r="C9" i="16" l="1"/>
  <c r="C8" i="16" s="1"/>
  <c r="C4" i="16"/>
  <c r="D4" i="16" s="1"/>
  <c r="D9" i="16" s="1"/>
  <c r="D8" i="16" s="1"/>
  <c r="C5" i="16" l="1"/>
  <c r="D5" i="16" s="1"/>
  <c r="E4" i="16" s="1"/>
  <c r="E9" i="16" s="1"/>
  <c r="E8" i="16" s="1"/>
  <c r="D22" i="16" l="1"/>
  <c r="D25" i="16" s="1"/>
  <c r="C29" i="16"/>
  <c r="C38" i="16" s="1"/>
  <c r="C42" i="16" l="1"/>
  <c r="E25" i="16" l="1"/>
  <c r="D38" i="16"/>
  <c r="D39" i="16"/>
  <c r="D40" i="16"/>
  <c r="E10" i="16"/>
  <c r="E39" i="16" l="1"/>
  <c r="E40" i="16"/>
  <c r="E38" i="16"/>
  <c r="C30" i="16"/>
  <c r="C39" i="16" s="1"/>
  <c r="E17" i="17"/>
  <c r="C17" i="17" s="1"/>
  <c r="C18" i="17"/>
  <c r="E18" i="17" s="1"/>
  <c r="F16" i="17"/>
  <c r="C12" i="17"/>
  <c r="C11" i="17"/>
  <c r="C10" i="17"/>
  <c r="C9" i="17"/>
  <c r="C7" i="17"/>
  <c r="E11" i="17"/>
  <c r="E9" i="17"/>
  <c r="E7" i="17"/>
  <c r="I9" i="17" l="1"/>
  <c r="I12" i="17"/>
  <c r="I7" i="17"/>
  <c r="I8" i="17"/>
  <c r="I10" i="17"/>
  <c r="I11" i="17"/>
  <c r="C19" i="17"/>
  <c r="C13" i="17"/>
  <c r="M7" i="17" l="1"/>
  <c r="D8" i="17"/>
  <c r="D9" i="17"/>
  <c r="D10" i="17"/>
  <c r="D12" i="17"/>
  <c r="D7" i="17"/>
  <c r="D11" i="17"/>
  <c r="C23" i="16" l="1"/>
  <c r="E13" i="17"/>
  <c r="F12" i="17" s="1"/>
  <c r="D13" i="17"/>
  <c r="C24" i="16" l="1"/>
  <c r="C25" i="16" s="1"/>
  <c r="F8" i="17"/>
  <c r="H8" i="17" s="1"/>
  <c r="H12" i="17"/>
  <c r="G12" i="17"/>
  <c r="F7" i="17"/>
  <c r="F9" i="17"/>
  <c r="F11" i="17"/>
  <c r="F10" i="17"/>
  <c r="G8" i="17" l="1"/>
  <c r="G9" i="17"/>
  <c r="H9" i="17"/>
  <c r="H10" i="17"/>
  <c r="G10" i="17"/>
  <c r="F13" i="17"/>
  <c r="G7" i="17"/>
  <c r="H7" i="17"/>
  <c r="J8" i="17"/>
  <c r="G11" i="17"/>
  <c r="H11" i="17"/>
  <c r="J12" i="17"/>
  <c r="G13" i="17" l="1"/>
  <c r="J9" i="17"/>
  <c r="J11" i="17"/>
  <c r="H13" i="17"/>
  <c r="J7" i="17"/>
  <c r="J10" i="17"/>
  <c r="J13" i="17" l="1"/>
  <c r="M13" i="17" l="1"/>
  <c r="N13" i="17" s="1"/>
  <c r="C23" i="17" s="1"/>
  <c r="F23" i="17" s="1"/>
  <c r="C22" i="17"/>
  <c r="K12" i="17"/>
  <c r="L12" i="17" s="1"/>
  <c r="K8" i="17"/>
  <c r="L8" i="17" s="1"/>
  <c r="K11" i="17"/>
  <c r="L11" i="17" s="1"/>
  <c r="K7" i="17"/>
  <c r="K10" i="17"/>
  <c r="L10" i="17" s="1"/>
  <c r="K9" i="17"/>
  <c r="L9" i="17" s="1"/>
  <c r="K13" i="17" l="1"/>
  <c r="L7" i="17"/>
  <c r="L13" i="17" s="1"/>
  <c r="F22" i="17"/>
  <c r="C20" i="17"/>
  <c r="J22" i="17" l="1"/>
  <c r="H22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Chuansen Ren</author>
  </authors>
  <commentList>
    <comment ref="E17" authorId="0" shapeId="0" xr:uid="{A35A351A-8476-47C5-867E-BE6020B08FFE}">
      <text>
        <r>
          <rPr>
            <b/>
            <sz val="9"/>
            <color indexed="81"/>
            <rFont val="Tahoma"/>
            <family val="2"/>
          </rPr>
          <t>Chuansen Ren:</t>
        </r>
        <r>
          <rPr>
            <sz val="9"/>
            <color indexed="81"/>
            <rFont val="Tahoma"/>
            <family val="2"/>
          </rPr>
          <t xml:space="preserve">
This maximum rate is determined according to an academic paper: Bubbico R., Dusserre G., Mazzarotta B., 2016, Calculation of the flame size from burning liquid pools, Chemical
Engineering Transactions, 53, 67-72 DOI: 10.3303/CET1653012</t>
        </r>
      </text>
    </comment>
    <comment ref="F38" authorId="0" shapeId="0" xr:uid="{AE27C709-00E6-409D-875E-B72588E486EB}">
      <text>
        <r>
          <rPr>
            <b/>
            <sz val="9"/>
            <color indexed="81"/>
            <rFont val="Tahoma"/>
            <family val="2"/>
          </rPr>
          <t>Chuansen Ren:</t>
        </r>
        <r>
          <rPr>
            <sz val="9"/>
            <color indexed="81"/>
            <rFont val="Tahoma"/>
            <family val="2"/>
          </rPr>
          <t xml:space="preserve">
Average Molecular Weight 
MWTave = ∑Wtr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Chuansen Ren</author>
    <author>tc={322CE11C-4C99-4BC3-8F8C-BF1325DC7B96}</author>
    <author>tc={AAC50BBD-4F0C-4E60-BD68-57165333A301}</author>
  </authors>
  <commentList>
    <comment ref="E17" authorId="0" shapeId="0" xr:uid="{EC28484E-F40D-4D02-B270-A8479A7C5AAF}">
      <text>
        <r>
          <rPr>
            <b/>
            <sz val="9"/>
            <color indexed="81"/>
            <rFont val="Tahoma"/>
            <family val="2"/>
          </rPr>
          <t>Chuansen Ren:</t>
        </r>
        <r>
          <rPr>
            <sz val="9"/>
            <color indexed="81"/>
            <rFont val="Tahoma"/>
            <family val="2"/>
          </rPr>
          <t xml:space="preserve">
This maximum rate is determined according to an academic paper: Bubbico R., Dusserre G., Mazzarotta B., 2016, Calculation of the flame size from burning liquid pools, Chemical
Engineering Transactions, 53, 67-72 DOI: 10.3303/CET1653012</t>
        </r>
      </text>
    </comment>
    <comment ref="E29" authorId="1" shapeId="0" xr:uid="{322CE11C-4C99-4BC3-8F8C-BF1325DC7B96}">
      <text>
        <t>[Threaded comment]
Your version of Excel allows you to read this threaded comment; however, any edits to it will get removed if the file is opened in a newer version of Excel. Learn more: https://go.microsoft.com/fwlink/?linkid=870924
Comment:
    TBC</t>
      </text>
    </comment>
    <comment ref="E31" authorId="2" shapeId="0" xr:uid="{AAC50BBD-4F0C-4E60-BD68-57165333A301}">
      <text>
        <t>[Threaded comment]
Your version of Excel allows you to read this threaded comment; however, any edits to it will get removed if the file is opened in a newer version of Excel. Learn more: https://go.microsoft.com/fwlink/?linkid=870924
Comment:
    TBC</t>
      </text>
    </comment>
    <comment ref="F38" authorId="0" shapeId="0" xr:uid="{87E3B2BD-2CCF-40AD-B61B-B43ED8112F57}">
      <text>
        <r>
          <rPr>
            <b/>
            <sz val="9"/>
            <color indexed="81"/>
            <rFont val="Tahoma"/>
            <family val="2"/>
          </rPr>
          <t>Chuansen Ren:</t>
        </r>
        <r>
          <rPr>
            <sz val="9"/>
            <color indexed="81"/>
            <rFont val="Tahoma"/>
            <family val="2"/>
          </rPr>
          <t xml:space="preserve">
Average Molecular Weight 
MWTave = ∑Wtr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Chuansen Ren</author>
    <author>C. Ren</author>
    <author>matthew_mitchell</author>
  </authors>
  <commentList>
    <comment ref="E17" authorId="0" shapeId="0" xr:uid="{23FEB1A3-BEDF-4FCF-87DC-9B176252C7FA}">
      <text>
        <r>
          <rPr>
            <b/>
            <sz val="9"/>
            <color indexed="81"/>
            <rFont val="Tahoma"/>
            <family val="2"/>
          </rPr>
          <t>Chuansen Ren:</t>
        </r>
        <r>
          <rPr>
            <sz val="9"/>
            <color indexed="81"/>
            <rFont val="Tahoma"/>
            <family val="2"/>
          </rPr>
          <t xml:space="preserve">
This maximum rate is determined according to an academic paper: Bubbico R., Dusserre G., Mazzarotta B., 2016, Calculation of the flame size from burning liquid pools, Chemical
Engineering Transactions, 53, 67-72 DOI: 10.3303/CET1653012</t>
        </r>
      </text>
    </comment>
    <comment ref="F42" authorId="0" shapeId="0" xr:uid="{AD6D588C-5C84-470C-ABCD-1272724B44B8}">
      <text>
        <r>
          <rPr>
            <b/>
            <sz val="9"/>
            <color indexed="81"/>
            <rFont val="Tahoma"/>
            <family val="2"/>
          </rPr>
          <t>Chuansen Ren:</t>
        </r>
        <r>
          <rPr>
            <sz val="9"/>
            <color indexed="81"/>
            <rFont val="Tahoma"/>
            <family val="2"/>
          </rPr>
          <t xml:space="preserve">
Average Molecular Weight 
MWTave = ∑Wtr</t>
        </r>
      </text>
    </comment>
    <comment ref="I105" authorId="1" shapeId="0" xr:uid="{16346D3F-3A1A-4491-A2D1-602F8D06C200}">
      <text>
        <r>
          <rPr>
            <b/>
            <sz val="8"/>
            <color indexed="81"/>
            <rFont val="Tahoma"/>
            <family val="2"/>
          </rPr>
          <t>C. Ren:</t>
        </r>
        <r>
          <rPr>
            <sz val="8"/>
            <color indexed="81"/>
            <rFont val="Tahoma"/>
            <family val="2"/>
          </rPr>
          <t xml:space="preserve">
at 15 Deg c</t>
        </r>
      </text>
    </comment>
    <comment ref="I106" authorId="1" shapeId="0" xr:uid="{A3C8C598-6EB8-4DBD-82AE-CE0E1E26D399}">
      <text>
        <r>
          <rPr>
            <b/>
            <sz val="8"/>
            <color indexed="81"/>
            <rFont val="Tahoma"/>
            <family val="2"/>
          </rPr>
          <t>C. Ren:</t>
        </r>
        <r>
          <rPr>
            <sz val="8"/>
            <color indexed="81"/>
            <rFont val="Tahoma"/>
            <family val="2"/>
          </rPr>
          <t xml:space="preserve">
at 0 Deg C</t>
        </r>
      </text>
    </comment>
    <comment ref="I107" authorId="2" shapeId="0" xr:uid="{0229BF62-0BD0-43B8-9B88-0842EC534A8E}">
      <text>
        <r>
          <rPr>
            <b/>
            <sz val="9"/>
            <color indexed="81"/>
            <rFont val="Tahoma"/>
            <family val="2"/>
          </rPr>
          <t>1 m3 = 35.3 scf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08" authorId="2" shapeId="0" xr:uid="{21BE58B1-8A25-4D23-9A4F-103C458078C5}">
      <text>
        <r>
          <rPr>
            <b/>
            <sz val="9"/>
            <color indexed="81"/>
            <rFont val="Tahoma"/>
            <family val="2"/>
          </rPr>
          <t xml:space="preserve">1 m3 = 35.3 scf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31" authorId="0" shapeId="0" xr:uid="{286DE36F-8F9F-4A67-ADED-E28A2AE3F41F}">
      <text>
        <r>
          <rPr>
            <b/>
            <sz val="9"/>
            <color indexed="81"/>
            <rFont val="Tahoma"/>
            <family val="2"/>
          </rPr>
          <t>Chuansen Ren:</t>
        </r>
        <r>
          <rPr>
            <sz val="9"/>
            <color indexed="81"/>
            <rFont val="Tahoma"/>
            <family val="2"/>
          </rPr>
          <t xml:space="preserve">
O. Reg. 419/05</t>
        </r>
      </text>
    </comment>
    <comment ref="C154" authorId="0" shapeId="0" xr:uid="{7956C38D-17F5-46FB-8EC2-1DBD07A95343}">
      <text>
        <r>
          <rPr>
            <b/>
            <sz val="9"/>
            <color indexed="81"/>
            <rFont val="Tahoma"/>
            <family val="2"/>
          </rPr>
          <t>Chuansen Ren:</t>
        </r>
        <r>
          <rPr>
            <sz val="9"/>
            <color indexed="81"/>
            <rFont val="Tahoma"/>
            <family val="2"/>
          </rPr>
          <t xml:space="preserve">
Use this in modelling</t>
        </r>
      </text>
    </comment>
    <comment ref="C156" authorId="0" shapeId="0" xr:uid="{529B6FC9-607D-4396-9081-31E7E43E4FE0}">
      <text>
        <r>
          <rPr>
            <b/>
            <sz val="9"/>
            <color indexed="81"/>
            <rFont val="Tahoma"/>
            <family val="2"/>
          </rPr>
          <t>Chuansen Ren:</t>
        </r>
        <r>
          <rPr>
            <sz val="9"/>
            <color indexed="81"/>
            <rFont val="Tahoma"/>
            <family val="2"/>
          </rPr>
          <t xml:space="preserve">
Don't use this in modelling</t>
        </r>
      </text>
    </comment>
    <comment ref="C157" authorId="0" shapeId="0" xr:uid="{E7269163-5CE2-4914-AD4A-77D3C8650FF4}">
      <text>
        <r>
          <rPr>
            <b/>
            <sz val="9"/>
            <color indexed="81"/>
            <rFont val="Tahoma"/>
            <family val="2"/>
          </rPr>
          <t>Chuansen Ren:</t>
        </r>
        <r>
          <rPr>
            <sz val="9"/>
            <color indexed="81"/>
            <rFont val="Tahoma"/>
            <family val="2"/>
          </rPr>
          <t xml:space="preserve">
Don't use this in modelling either</t>
        </r>
      </text>
    </comment>
    <comment ref="E161" authorId="0" shapeId="0" xr:uid="{2B8D11DB-9FFE-4BF1-8BF7-224CF9656491}">
      <text>
        <r>
          <rPr>
            <b/>
            <sz val="9"/>
            <color indexed="81"/>
            <rFont val="Tahoma"/>
            <family val="2"/>
          </rPr>
          <t>Chuansen Ren:</t>
        </r>
        <r>
          <rPr>
            <sz val="9"/>
            <color indexed="81"/>
            <rFont val="Tahoma"/>
            <family val="2"/>
          </rPr>
          <t xml:space="preserve">
AP42</t>
        </r>
      </text>
    </comment>
    <comment ref="E162" authorId="0" shapeId="0" xr:uid="{5FC745E6-51C4-4BAD-B615-5483709B3DFE}">
      <text>
        <r>
          <rPr>
            <b/>
            <sz val="9"/>
            <color indexed="81"/>
            <rFont val="Tahoma"/>
            <family val="2"/>
          </rPr>
          <t>Chuansen Ren:</t>
        </r>
        <r>
          <rPr>
            <sz val="9"/>
            <color indexed="81"/>
            <rFont val="Tahoma"/>
            <family val="2"/>
          </rPr>
          <t xml:space="preserve">
AP42</t>
        </r>
      </text>
    </comment>
    <comment ref="J162" authorId="0" shapeId="0" xr:uid="{53DC70A5-1CA4-4A4A-952E-3219CE77D9E4}">
      <text>
        <r>
          <rPr>
            <b/>
            <sz val="9"/>
            <color indexed="81"/>
            <rFont val="Tahoma"/>
            <family val="2"/>
          </rPr>
          <t>Chuansen Ren:</t>
        </r>
        <r>
          <rPr>
            <sz val="9"/>
            <color indexed="81"/>
            <rFont val="Tahoma"/>
            <family val="2"/>
          </rPr>
          <t xml:space="preserve">
Grade B
Factor developed using the higher (gross) heating value of the vent gas</t>
        </r>
      </text>
    </comment>
    <comment ref="E163" authorId="0" shapeId="0" xr:uid="{58F9D5E1-1CDA-4701-85F2-096F70266A78}">
      <text>
        <r>
          <rPr>
            <b/>
            <sz val="9"/>
            <color indexed="81"/>
            <rFont val="Tahoma"/>
            <family val="2"/>
          </rPr>
          <t>Chuansen Ren:</t>
        </r>
        <r>
          <rPr>
            <sz val="9"/>
            <color indexed="81"/>
            <rFont val="Tahoma"/>
            <family val="2"/>
          </rPr>
          <t xml:space="preserve">
Assume X% overall combustion efficiency, but NMVOC has a lower efficiency than methane</t>
        </r>
      </text>
    </comment>
    <comment ref="H163" authorId="0" shapeId="0" xr:uid="{CEEAEDA2-1B59-4EC0-AB8A-E4C86C4F2AD6}">
      <text>
        <r>
          <rPr>
            <b/>
            <sz val="9"/>
            <color indexed="81"/>
            <rFont val="Tahoma"/>
            <family val="2"/>
          </rPr>
          <t>Chuansen Ren:</t>
        </r>
        <r>
          <rPr>
            <sz val="9"/>
            <color indexed="81"/>
            <rFont val="Tahoma"/>
            <family val="2"/>
          </rPr>
          <t xml:space="preserve">
Emissions Estimation Protocol for Petroleum Refineries Version 3, Table 6-3</t>
        </r>
      </text>
    </comment>
    <comment ref="J163" authorId="0" shapeId="0" xr:uid="{09DE478F-6E44-4DE1-BA14-490AF7346F3D}">
      <text>
        <r>
          <rPr>
            <b/>
            <sz val="9"/>
            <color indexed="81"/>
            <rFont val="Tahoma"/>
            <family val="2"/>
          </rPr>
          <t>Chuansen Ren:</t>
        </r>
        <r>
          <rPr>
            <sz val="9"/>
            <color indexed="81"/>
            <rFont val="Tahoma"/>
            <family val="2"/>
          </rPr>
          <t xml:space="preserve">
Grade B
Soot in concentration values: 
nonsmoking flares, 0 micrograms per liter (μg/L); 
lightly smoking flares, 40 μg/L; 
average smoking flares, 177 μg/L; and 
heavily smoking flares, 274 μg/L.
Emissions Estimation Protocol for Petroleum Refineries Version 3, Table 6-3</t>
        </r>
      </text>
    </comment>
    <comment ref="P163" authorId="0" shapeId="0" xr:uid="{950DC7F5-7095-4D67-B2F7-5BEE84D65CF5}">
      <text>
        <r>
          <rPr>
            <b/>
            <sz val="9"/>
            <color indexed="81"/>
            <rFont val="Tahoma"/>
            <family val="2"/>
          </rPr>
          <t>Chuansen Ren:</t>
        </r>
        <r>
          <rPr>
            <sz val="9"/>
            <color indexed="81"/>
            <rFont val="Tahoma"/>
            <family val="2"/>
          </rPr>
          <t xml:space="preserve">
McEwen &amp; Johnson (2012) https://doi.org/10.1080/10473289.2011.650040</t>
        </r>
      </text>
    </comment>
    <comment ref="E164" authorId="0" shapeId="0" xr:uid="{960EDD5B-90CE-4E84-940B-7319E9A75DF0}">
      <text>
        <r>
          <rPr>
            <b/>
            <sz val="9"/>
            <color indexed="81"/>
            <rFont val="Tahoma"/>
            <family val="2"/>
          </rPr>
          <t>Chuansen Ren:</t>
        </r>
        <r>
          <rPr>
            <sz val="9"/>
            <color indexed="81"/>
            <rFont val="Tahoma"/>
            <family val="2"/>
          </rPr>
          <t xml:space="preserve">
AP42, average smoking flares, g/m3</t>
        </r>
      </text>
    </comment>
    <comment ref="J164" authorId="0" shapeId="0" xr:uid="{A9690BBA-B42B-4D69-852F-5A6FE3C1525D}">
      <text>
        <r>
          <rPr>
            <b/>
            <sz val="9"/>
            <color indexed="81"/>
            <rFont val="Tahoma"/>
            <family val="2"/>
          </rPr>
          <t>Chuansen Ren:</t>
        </r>
        <r>
          <rPr>
            <sz val="9"/>
            <color indexed="81"/>
            <rFont val="Tahoma"/>
            <family val="2"/>
          </rPr>
          <t xml:space="preserve">
Poorly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Chuansen Ren</author>
    <author>C. Ren</author>
    <author>matthew_mitchell</author>
  </authors>
  <commentList>
    <comment ref="E17" authorId="0" shapeId="0" xr:uid="{3C1BA0B2-2DDD-492F-8062-7555275D1535}">
      <text>
        <r>
          <rPr>
            <b/>
            <sz val="9"/>
            <color indexed="81"/>
            <rFont val="Tahoma"/>
            <family val="2"/>
          </rPr>
          <t>Chuansen Ren:</t>
        </r>
        <r>
          <rPr>
            <sz val="9"/>
            <color indexed="81"/>
            <rFont val="Tahoma"/>
            <family val="2"/>
          </rPr>
          <t xml:space="preserve">
This maximum rate is determined according to an academic paper: Bubbico R., Dusserre G., Mazzarotta B., 2016, Calculation of the flame size from burning liquid pools, Chemical
Engineering Transactions, 53, 67-72 DOI: 10.3303/CET1653012</t>
        </r>
      </text>
    </comment>
    <comment ref="F42" authorId="0" shapeId="0" xr:uid="{858E5226-E678-4E1F-8364-B07A0B0BC741}">
      <text>
        <r>
          <rPr>
            <b/>
            <sz val="9"/>
            <color indexed="81"/>
            <rFont val="Tahoma"/>
            <family val="2"/>
          </rPr>
          <t>Chuansen Ren:</t>
        </r>
        <r>
          <rPr>
            <sz val="9"/>
            <color indexed="81"/>
            <rFont val="Tahoma"/>
            <family val="2"/>
          </rPr>
          <t xml:space="preserve">
Average Molecular Weight 
MWTave = ∑Wtr</t>
        </r>
      </text>
    </comment>
    <comment ref="I105" authorId="1" shapeId="0" xr:uid="{305C05E9-5596-4BA9-840A-B747037DE875}">
      <text>
        <r>
          <rPr>
            <b/>
            <sz val="8"/>
            <color indexed="81"/>
            <rFont val="Tahoma"/>
            <family val="2"/>
          </rPr>
          <t>C. Ren:</t>
        </r>
        <r>
          <rPr>
            <sz val="8"/>
            <color indexed="81"/>
            <rFont val="Tahoma"/>
            <family val="2"/>
          </rPr>
          <t xml:space="preserve">
at 15 Deg c</t>
        </r>
      </text>
    </comment>
    <comment ref="I106" authorId="1" shapeId="0" xr:uid="{C699B342-22FB-4873-97E5-D8A47407CAFB}">
      <text>
        <r>
          <rPr>
            <b/>
            <sz val="8"/>
            <color indexed="81"/>
            <rFont val="Tahoma"/>
            <family val="2"/>
          </rPr>
          <t>C. Ren:</t>
        </r>
        <r>
          <rPr>
            <sz val="8"/>
            <color indexed="81"/>
            <rFont val="Tahoma"/>
            <family val="2"/>
          </rPr>
          <t xml:space="preserve">
at 0 Deg C</t>
        </r>
      </text>
    </comment>
    <comment ref="I107" authorId="2" shapeId="0" xr:uid="{FD0120F5-9740-45BE-AE56-F5165B4BB38A}">
      <text>
        <r>
          <rPr>
            <b/>
            <sz val="9"/>
            <color indexed="81"/>
            <rFont val="Tahoma"/>
            <family val="2"/>
          </rPr>
          <t>1 m3 = 35.3 scf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08" authorId="2" shapeId="0" xr:uid="{1DBEE1B4-A36E-4A24-8800-DD547DE829B3}">
      <text>
        <r>
          <rPr>
            <b/>
            <sz val="9"/>
            <color indexed="81"/>
            <rFont val="Tahoma"/>
            <family val="2"/>
          </rPr>
          <t xml:space="preserve">1 m3 = 35.3 scf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31" authorId="0" shapeId="0" xr:uid="{5293FADA-C9E4-492E-A8E2-3A8B8652B409}">
      <text>
        <r>
          <rPr>
            <b/>
            <sz val="9"/>
            <color indexed="81"/>
            <rFont val="Tahoma"/>
            <family val="2"/>
          </rPr>
          <t>Chuansen Ren:</t>
        </r>
        <r>
          <rPr>
            <sz val="9"/>
            <color indexed="81"/>
            <rFont val="Tahoma"/>
            <family val="2"/>
          </rPr>
          <t xml:space="preserve">
O. Reg. 419/05</t>
        </r>
      </text>
    </comment>
    <comment ref="C154" authorId="0" shapeId="0" xr:uid="{A1755BF1-A289-412A-B314-DC2A31211830}">
      <text>
        <r>
          <rPr>
            <b/>
            <sz val="9"/>
            <color indexed="81"/>
            <rFont val="Tahoma"/>
            <family val="2"/>
          </rPr>
          <t>Chuansen Ren:</t>
        </r>
        <r>
          <rPr>
            <sz val="9"/>
            <color indexed="81"/>
            <rFont val="Tahoma"/>
            <family val="2"/>
          </rPr>
          <t xml:space="preserve">
Use this in modelling</t>
        </r>
      </text>
    </comment>
    <comment ref="C156" authorId="0" shapeId="0" xr:uid="{E4CA41E7-E5B2-43FD-AA37-12D8BE52A24B}">
      <text>
        <r>
          <rPr>
            <b/>
            <sz val="9"/>
            <color indexed="81"/>
            <rFont val="Tahoma"/>
            <family val="2"/>
          </rPr>
          <t>Chuansen Ren:</t>
        </r>
        <r>
          <rPr>
            <sz val="9"/>
            <color indexed="81"/>
            <rFont val="Tahoma"/>
            <family val="2"/>
          </rPr>
          <t xml:space="preserve">
Don't use this in modelling</t>
        </r>
      </text>
    </comment>
    <comment ref="C157" authorId="0" shapeId="0" xr:uid="{3995AB96-3F9C-4B01-932F-FA6C0408DBB6}">
      <text>
        <r>
          <rPr>
            <b/>
            <sz val="9"/>
            <color indexed="81"/>
            <rFont val="Tahoma"/>
            <family val="2"/>
          </rPr>
          <t>Chuansen Ren:</t>
        </r>
        <r>
          <rPr>
            <sz val="9"/>
            <color indexed="81"/>
            <rFont val="Tahoma"/>
            <family val="2"/>
          </rPr>
          <t xml:space="preserve">
Don't use this in modelling either</t>
        </r>
      </text>
    </comment>
    <comment ref="E161" authorId="0" shapeId="0" xr:uid="{845DCB63-1BF3-47A8-9778-A009D6187A90}">
      <text>
        <r>
          <rPr>
            <b/>
            <sz val="9"/>
            <color indexed="81"/>
            <rFont val="Tahoma"/>
            <family val="2"/>
          </rPr>
          <t>Chuansen Ren:</t>
        </r>
        <r>
          <rPr>
            <sz val="9"/>
            <color indexed="81"/>
            <rFont val="Tahoma"/>
            <family val="2"/>
          </rPr>
          <t xml:space="preserve">
AP42</t>
        </r>
      </text>
    </comment>
    <comment ref="E162" authorId="0" shapeId="0" xr:uid="{F686EEF7-B28B-461F-8EE7-B3586C4355BD}">
      <text>
        <r>
          <rPr>
            <b/>
            <sz val="9"/>
            <color indexed="81"/>
            <rFont val="Tahoma"/>
            <family val="2"/>
          </rPr>
          <t>Chuansen Ren:</t>
        </r>
        <r>
          <rPr>
            <sz val="9"/>
            <color indexed="81"/>
            <rFont val="Tahoma"/>
            <family val="2"/>
          </rPr>
          <t xml:space="preserve">
AP42</t>
        </r>
      </text>
    </comment>
    <comment ref="J162" authorId="0" shapeId="0" xr:uid="{DC0FB682-CC78-4718-8B63-F2161C100379}">
      <text>
        <r>
          <rPr>
            <b/>
            <sz val="9"/>
            <color indexed="81"/>
            <rFont val="Tahoma"/>
            <family val="2"/>
          </rPr>
          <t>Chuansen Ren:</t>
        </r>
        <r>
          <rPr>
            <sz val="9"/>
            <color indexed="81"/>
            <rFont val="Tahoma"/>
            <family val="2"/>
          </rPr>
          <t xml:space="preserve">
Grade B
Factor developed using the higher (gross) heating value of the vent gas</t>
        </r>
      </text>
    </comment>
    <comment ref="E163" authorId="0" shapeId="0" xr:uid="{96643F73-8AEC-4BF2-9FC7-196B19BAD947}">
      <text>
        <r>
          <rPr>
            <b/>
            <sz val="9"/>
            <color indexed="81"/>
            <rFont val="Tahoma"/>
            <family val="2"/>
          </rPr>
          <t>Chuansen Ren:</t>
        </r>
        <r>
          <rPr>
            <sz val="9"/>
            <color indexed="81"/>
            <rFont val="Tahoma"/>
            <family val="2"/>
          </rPr>
          <t xml:space="preserve">
Assume X% overall combustion efficiency, but NMVOC has a lower efficiency than methane</t>
        </r>
      </text>
    </comment>
    <comment ref="H163" authorId="0" shapeId="0" xr:uid="{7A99E9E9-DDC4-4339-BE43-F20110FCA16D}">
      <text>
        <r>
          <rPr>
            <b/>
            <sz val="9"/>
            <color indexed="81"/>
            <rFont val="Tahoma"/>
            <family val="2"/>
          </rPr>
          <t>Chuansen Ren:</t>
        </r>
        <r>
          <rPr>
            <sz val="9"/>
            <color indexed="81"/>
            <rFont val="Tahoma"/>
            <family val="2"/>
          </rPr>
          <t xml:space="preserve">
Emissions Estimation Protocol for Petroleum Refineries Version 3, Table 6-3</t>
        </r>
      </text>
    </comment>
    <comment ref="J163" authorId="0" shapeId="0" xr:uid="{DCB7C297-E6F5-43C3-9E2A-A60D01CD133B}">
      <text>
        <r>
          <rPr>
            <b/>
            <sz val="9"/>
            <color indexed="81"/>
            <rFont val="Tahoma"/>
            <family val="2"/>
          </rPr>
          <t>Chuansen Ren:</t>
        </r>
        <r>
          <rPr>
            <sz val="9"/>
            <color indexed="81"/>
            <rFont val="Tahoma"/>
            <family val="2"/>
          </rPr>
          <t xml:space="preserve">
Grade B
Soot in concentration values: 
nonsmoking flares, 0 micrograms per liter (μg/L); 
lightly smoking flares, 40 μg/L; 
average smoking flares, 177 μg/L; and 
heavily smoking flares, 274 μg/L.
Emissions Estimation Protocol for Petroleum Refineries Version 3, Table 6-3</t>
        </r>
      </text>
    </comment>
    <comment ref="P163" authorId="0" shapeId="0" xr:uid="{05368E14-4C70-4CE9-ACF9-B57575C6ECE0}">
      <text>
        <r>
          <rPr>
            <b/>
            <sz val="9"/>
            <color indexed="81"/>
            <rFont val="Tahoma"/>
            <family val="2"/>
          </rPr>
          <t>Chuansen Ren:</t>
        </r>
        <r>
          <rPr>
            <sz val="9"/>
            <color indexed="81"/>
            <rFont val="Tahoma"/>
            <family val="2"/>
          </rPr>
          <t xml:space="preserve">
McEwen &amp; Johnson (2012) https://doi.org/10.1080/10473289.2011.650040</t>
        </r>
      </text>
    </comment>
    <comment ref="E164" authorId="0" shapeId="0" xr:uid="{980DB8DF-5E0B-4186-B170-586AAE4759CB}">
      <text>
        <r>
          <rPr>
            <b/>
            <sz val="9"/>
            <color indexed="81"/>
            <rFont val="Tahoma"/>
            <family val="2"/>
          </rPr>
          <t>Chuansen Ren:</t>
        </r>
        <r>
          <rPr>
            <sz val="9"/>
            <color indexed="81"/>
            <rFont val="Tahoma"/>
            <family val="2"/>
          </rPr>
          <t xml:space="preserve">
AP42, average smoking flares, g/m3</t>
        </r>
      </text>
    </comment>
    <comment ref="J164" authorId="0" shapeId="0" xr:uid="{E5EAC0AF-318D-4990-8452-23C4E81CA8D3}">
      <text>
        <r>
          <rPr>
            <b/>
            <sz val="9"/>
            <color indexed="81"/>
            <rFont val="Tahoma"/>
            <family val="2"/>
          </rPr>
          <t>Chuansen Ren:</t>
        </r>
        <r>
          <rPr>
            <sz val="9"/>
            <color indexed="81"/>
            <rFont val="Tahoma"/>
            <family val="2"/>
          </rPr>
          <t xml:space="preserve">
Poorly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Chuansen Ren</author>
    <author>C. Ren</author>
    <author>matthew_mitchell</author>
  </authors>
  <commentList>
    <comment ref="E17" authorId="0" shapeId="0" xr:uid="{1D2EB706-3257-4235-965A-5C51BCC2B6CF}">
      <text>
        <r>
          <rPr>
            <b/>
            <sz val="9"/>
            <color indexed="81"/>
            <rFont val="Tahoma"/>
            <family val="2"/>
          </rPr>
          <t>Chuansen Ren:</t>
        </r>
        <r>
          <rPr>
            <sz val="9"/>
            <color indexed="81"/>
            <rFont val="Tahoma"/>
            <family val="2"/>
          </rPr>
          <t xml:space="preserve">
This maximum rate is determined according to an academic paper: Bubbico R., Dusserre G., Mazzarotta B., 2016, Calculation of the flame size from burning liquid pools, Chemical
Engineering Transactions, 53, 67-72 DOI: 10.3303/CET1653012</t>
        </r>
      </text>
    </comment>
    <comment ref="F42" authorId="0" shapeId="0" xr:uid="{B4F942A9-0E58-4B49-BD7B-71E310318265}">
      <text>
        <r>
          <rPr>
            <b/>
            <sz val="9"/>
            <color indexed="81"/>
            <rFont val="Tahoma"/>
            <family val="2"/>
          </rPr>
          <t>Chuansen Ren:</t>
        </r>
        <r>
          <rPr>
            <sz val="9"/>
            <color indexed="81"/>
            <rFont val="Tahoma"/>
            <family val="2"/>
          </rPr>
          <t xml:space="preserve">
Average Molecular Weight 
MWTave = ∑Wtr</t>
        </r>
      </text>
    </comment>
    <comment ref="I105" authorId="1" shapeId="0" xr:uid="{874EF399-3386-450D-9D69-94AC2290FA80}">
      <text>
        <r>
          <rPr>
            <b/>
            <sz val="8"/>
            <color indexed="81"/>
            <rFont val="Tahoma"/>
            <family val="2"/>
          </rPr>
          <t>C. Ren:</t>
        </r>
        <r>
          <rPr>
            <sz val="8"/>
            <color indexed="81"/>
            <rFont val="Tahoma"/>
            <family val="2"/>
          </rPr>
          <t xml:space="preserve">
at 15 Deg c</t>
        </r>
      </text>
    </comment>
    <comment ref="I106" authorId="1" shapeId="0" xr:uid="{99441EF7-64A1-47EF-BA89-D89AB0F73834}">
      <text>
        <r>
          <rPr>
            <b/>
            <sz val="8"/>
            <color indexed="81"/>
            <rFont val="Tahoma"/>
            <family val="2"/>
          </rPr>
          <t>C. Ren:</t>
        </r>
        <r>
          <rPr>
            <sz val="8"/>
            <color indexed="81"/>
            <rFont val="Tahoma"/>
            <family val="2"/>
          </rPr>
          <t xml:space="preserve">
at 0 Deg C</t>
        </r>
      </text>
    </comment>
    <comment ref="I107" authorId="2" shapeId="0" xr:uid="{003FE45F-FE92-4EF7-8F43-7C441E0E11B7}">
      <text>
        <r>
          <rPr>
            <b/>
            <sz val="9"/>
            <color indexed="81"/>
            <rFont val="Tahoma"/>
            <family val="2"/>
          </rPr>
          <t>1 m3 = 35.3 scf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08" authorId="2" shapeId="0" xr:uid="{10C8A1DE-2D5A-47A7-B25A-C1FACE1E3921}">
      <text>
        <r>
          <rPr>
            <b/>
            <sz val="9"/>
            <color indexed="81"/>
            <rFont val="Tahoma"/>
            <family val="2"/>
          </rPr>
          <t xml:space="preserve">1 m3 = 35.3 scf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31" authorId="0" shapeId="0" xr:uid="{2CB1CA6A-B7C8-4B9E-8B76-718FE6ACA34D}">
      <text>
        <r>
          <rPr>
            <b/>
            <sz val="9"/>
            <color indexed="81"/>
            <rFont val="Tahoma"/>
            <family val="2"/>
          </rPr>
          <t>Chuansen Ren:</t>
        </r>
        <r>
          <rPr>
            <sz val="9"/>
            <color indexed="81"/>
            <rFont val="Tahoma"/>
            <family val="2"/>
          </rPr>
          <t xml:space="preserve">
O. Reg. 419/05</t>
        </r>
      </text>
    </comment>
    <comment ref="C154" authorId="0" shapeId="0" xr:uid="{1C45ECA5-62DF-4AE4-8DFC-B10C33794013}">
      <text>
        <r>
          <rPr>
            <b/>
            <sz val="9"/>
            <color indexed="81"/>
            <rFont val="Tahoma"/>
            <family val="2"/>
          </rPr>
          <t>Chuansen Ren:</t>
        </r>
        <r>
          <rPr>
            <sz val="9"/>
            <color indexed="81"/>
            <rFont val="Tahoma"/>
            <family val="2"/>
          </rPr>
          <t xml:space="preserve">
Use this in modelling</t>
        </r>
      </text>
    </comment>
    <comment ref="C156" authorId="0" shapeId="0" xr:uid="{206DC5F3-EF6B-44D1-A958-EBD7657EA530}">
      <text>
        <r>
          <rPr>
            <b/>
            <sz val="9"/>
            <color indexed="81"/>
            <rFont val="Tahoma"/>
            <family val="2"/>
          </rPr>
          <t>Chuansen Ren:</t>
        </r>
        <r>
          <rPr>
            <sz val="9"/>
            <color indexed="81"/>
            <rFont val="Tahoma"/>
            <family val="2"/>
          </rPr>
          <t xml:space="preserve">
Don't use this in modelling</t>
        </r>
      </text>
    </comment>
    <comment ref="C157" authorId="0" shapeId="0" xr:uid="{9DABEEA8-9BE8-494A-817E-F4DB40277728}">
      <text>
        <r>
          <rPr>
            <b/>
            <sz val="9"/>
            <color indexed="81"/>
            <rFont val="Tahoma"/>
            <family val="2"/>
          </rPr>
          <t>Chuansen Ren:</t>
        </r>
        <r>
          <rPr>
            <sz val="9"/>
            <color indexed="81"/>
            <rFont val="Tahoma"/>
            <family val="2"/>
          </rPr>
          <t xml:space="preserve">
Don't use this in modelling either</t>
        </r>
      </text>
    </comment>
    <comment ref="E161" authorId="0" shapeId="0" xr:uid="{0E4384E4-F56A-4557-8DB4-E162E8B92D2B}">
      <text>
        <r>
          <rPr>
            <b/>
            <sz val="9"/>
            <color indexed="81"/>
            <rFont val="Tahoma"/>
            <family val="2"/>
          </rPr>
          <t>Chuansen Ren:</t>
        </r>
        <r>
          <rPr>
            <sz val="9"/>
            <color indexed="81"/>
            <rFont val="Tahoma"/>
            <family val="2"/>
          </rPr>
          <t xml:space="preserve">
AP42</t>
        </r>
      </text>
    </comment>
    <comment ref="E162" authorId="0" shapeId="0" xr:uid="{7CCF3773-2A06-41A1-8F20-7005A585E724}">
      <text>
        <r>
          <rPr>
            <b/>
            <sz val="9"/>
            <color indexed="81"/>
            <rFont val="Tahoma"/>
            <family val="2"/>
          </rPr>
          <t>Chuansen Ren:</t>
        </r>
        <r>
          <rPr>
            <sz val="9"/>
            <color indexed="81"/>
            <rFont val="Tahoma"/>
            <family val="2"/>
          </rPr>
          <t xml:space="preserve">
AP42</t>
        </r>
      </text>
    </comment>
    <comment ref="J162" authorId="0" shapeId="0" xr:uid="{8A2DCE08-AEB8-4900-A5CC-5CCE7B666D3F}">
      <text>
        <r>
          <rPr>
            <b/>
            <sz val="9"/>
            <color indexed="81"/>
            <rFont val="Tahoma"/>
            <family val="2"/>
          </rPr>
          <t>Chuansen Ren:</t>
        </r>
        <r>
          <rPr>
            <sz val="9"/>
            <color indexed="81"/>
            <rFont val="Tahoma"/>
            <family val="2"/>
          </rPr>
          <t xml:space="preserve">
Grade B
Factor developed using the higher (gross) heating value of the vent gas</t>
        </r>
      </text>
    </comment>
    <comment ref="E163" authorId="0" shapeId="0" xr:uid="{21882537-C6B2-4DD6-8E55-15EBD10BB624}">
      <text>
        <r>
          <rPr>
            <b/>
            <sz val="9"/>
            <color indexed="81"/>
            <rFont val="Tahoma"/>
            <family val="2"/>
          </rPr>
          <t>Chuansen Ren:</t>
        </r>
        <r>
          <rPr>
            <sz val="9"/>
            <color indexed="81"/>
            <rFont val="Tahoma"/>
            <family val="2"/>
          </rPr>
          <t xml:space="preserve">
Assume X% overall combustion efficiency, but NMVOC has a lower efficiency than methane</t>
        </r>
      </text>
    </comment>
    <comment ref="H163" authorId="0" shapeId="0" xr:uid="{BC5AB728-8DB0-4822-BFF4-AE7DBDD5BB3F}">
      <text>
        <r>
          <rPr>
            <b/>
            <sz val="9"/>
            <color indexed="81"/>
            <rFont val="Tahoma"/>
            <family val="2"/>
          </rPr>
          <t>Chuansen Ren:</t>
        </r>
        <r>
          <rPr>
            <sz val="9"/>
            <color indexed="81"/>
            <rFont val="Tahoma"/>
            <family val="2"/>
          </rPr>
          <t xml:space="preserve">
Emissions Estimation Protocol for Petroleum Refineries Version 3, Table 6-3</t>
        </r>
      </text>
    </comment>
    <comment ref="J163" authorId="0" shapeId="0" xr:uid="{FBE1E127-8B08-43C8-B1F5-A0EB60237D78}">
      <text>
        <r>
          <rPr>
            <b/>
            <sz val="9"/>
            <color indexed="81"/>
            <rFont val="Tahoma"/>
            <family val="2"/>
          </rPr>
          <t>Chuansen Ren:</t>
        </r>
        <r>
          <rPr>
            <sz val="9"/>
            <color indexed="81"/>
            <rFont val="Tahoma"/>
            <family val="2"/>
          </rPr>
          <t xml:space="preserve">
Grade B
Soot in concentration values: 
nonsmoking flares, 0 micrograms per liter (μg/L); 
lightly smoking flares, 40 μg/L; 
average smoking flares, 177 μg/L; and 
heavily smoking flares, 274 μg/L.
Emissions Estimation Protocol for Petroleum Refineries Version 3, Table 6-3</t>
        </r>
      </text>
    </comment>
    <comment ref="P163" authorId="0" shapeId="0" xr:uid="{A945AC2D-114D-4503-9F5F-B9556293D9E2}">
      <text>
        <r>
          <rPr>
            <b/>
            <sz val="9"/>
            <color indexed="81"/>
            <rFont val="Tahoma"/>
            <family val="2"/>
          </rPr>
          <t>Chuansen Ren:</t>
        </r>
        <r>
          <rPr>
            <sz val="9"/>
            <color indexed="81"/>
            <rFont val="Tahoma"/>
            <family val="2"/>
          </rPr>
          <t xml:space="preserve">
McEwen &amp; Johnson (2012) https://doi.org/10.1080/10473289.2011.650040</t>
        </r>
      </text>
    </comment>
    <comment ref="E164" authorId="0" shapeId="0" xr:uid="{73DDABAA-E475-4209-B7F2-3CD61A84331F}">
      <text>
        <r>
          <rPr>
            <b/>
            <sz val="9"/>
            <color indexed="81"/>
            <rFont val="Tahoma"/>
            <family val="2"/>
          </rPr>
          <t>Chuansen Ren:</t>
        </r>
        <r>
          <rPr>
            <sz val="9"/>
            <color indexed="81"/>
            <rFont val="Tahoma"/>
            <family val="2"/>
          </rPr>
          <t xml:space="preserve">
AP42, average smoking flares, g/m3</t>
        </r>
      </text>
    </comment>
    <comment ref="J164" authorId="0" shapeId="0" xr:uid="{5B36CACE-2E58-45B5-A10E-85909EE2FA00}">
      <text>
        <r>
          <rPr>
            <b/>
            <sz val="9"/>
            <color indexed="81"/>
            <rFont val="Tahoma"/>
            <family val="2"/>
          </rPr>
          <t>Chuansen Ren:</t>
        </r>
        <r>
          <rPr>
            <sz val="9"/>
            <color indexed="81"/>
            <rFont val="Tahoma"/>
            <family val="2"/>
          </rPr>
          <t xml:space="preserve">
Poorly</t>
        </r>
      </text>
    </comment>
  </commentList>
</comments>
</file>

<file path=xl/sharedStrings.xml><?xml version="1.0" encoding="utf-8"?>
<sst xmlns="http://schemas.openxmlformats.org/spreadsheetml/2006/main" count="2382" uniqueCount="502">
  <si>
    <t>Source</t>
  </si>
  <si>
    <t>From ES</t>
  </si>
  <si>
    <t>Standard</t>
  </si>
  <si>
    <t>Scaled/calc from BP data</t>
  </si>
  <si>
    <t>From BP</t>
  </si>
  <si>
    <t xml:space="preserve">Derived from generic data </t>
  </si>
  <si>
    <t>Units</t>
  </si>
  <si>
    <t>Boiler (normal)</t>
  </si>
  <si>
    <t>Boiler (start up)</t>
  </si>
  <si>
    <t>Fired Heater (start up)</t>
  </si>
  <si>
    <t>Emergency Generator (3.1 MW output)</t>
  </si>
  <si>
    <t>Flare (emergency Case 1)</t>
  </si>
  <si>
    <t>Flare (emergency Case 2)</t>
  </si>
  <si>
    <t>Flare (emergency Case 3)</t>
  </si>
  <si>
    <t>Flare (Pilot)</t>
  </si>
  <si>
    <t>MW thermal</t>
  </si>
  <si>
    <t>MWth</t>
  </si>
  <si>
    <t>Efficiency</t>
  </si>
  <si>
    <t>Flowrate (Normal)</t>
  </si>
  <si>
    <t>kNm³/hr</t>
  </si>
  <si>
    <t xml:space="preserve">Flowrate (design) </t>
  </si>
  <si>
    <t xml:space="preserve">kNm³/hr (note 1) </t>
  </si>
  <si>
    <t>Fuel Flowrate</t>
  </si>
  <si>
    <t>t/h</t>
  </si>
  <si>
    <t>Kg/s</t>
  </si>
  <si>
    <t>Temperature</t>
  </si>
  <si>
    <t>°C</t>
  </si>
  <si>
    <t>Real/Effective stack height</t>
  </si>
  <si>
    <t>m</t>
  </si>
  <si>
    <t>Exhaust Composition</t>
  </si>
  <si>
    <t>Water</t>
  </si>
  <si>
    <t>mol %</t>
  </si>
  <si>
    <t>Carbon Dioxide</t>
  </si>
  <si>
    <t>Oxygen</t>
  </si>
  <si>
    <t>Nitrogen</t>
  </si>
  <si>
    <t>Argon</t>
  </si>
  <si>
    <t>Ammonia</t>
  </si>
  <si>
    <t>By Vendor</t>
  </si>
  <si>
    <t>NOx</t>
  </si>
  <si>
    <t>ppmv</t>
  </si>
  <si>
    <t>By DEC  (note 2)</t>
  </si>
  <si>
    <t>By DEC (Note 4)</t>
  </si>
  <si>
    <t>SO2</t>
  </si>
  <si>
    <t>Note 3</t>
  </si>
  <si>
    <t>1.5 (Note 5)</t>
  </si>
  <si>
    <r>
      <t xml:space="preserve">Diameter - sized to achieve around </t>
    </r>
    <r>
      <rPr>
        <b/>
        <sz val="11"/>
        <color rgb="FFFF0000"/>
        <rFont val="Calibri"/>
        <family val="2"/>
      </rPr>
      <t>15 m/s</t>
    </r>
    <r>
      <rPr>
        <sz val="11"/>
        <color rgb="FF000000"/>
        <rFont val="Calibri"/>
        <family val="2"/>
      </rPr>
      <t xml:space="preserve"> on normal Op or calculated for flares</t>
    </r>
  </si>
  <si>
    <t xml:space="preserve">Exhaust airflow at actual stack conditions </t>
  </si>
  <si>
    <t>km3/h</t>
  </si>
  <si>
    <t>m3/s</t>
  </si>
  <si>
    <t>1.0227 (0.248 kg/s)</t>
  </si>
  <si>
    <t>Velocity</t>
  </si>
  <si>
    <t>m/s</t>
  </si>
  <si>
    <t>Reference Oxygen Content (%)</t>
  </si>
  <si>
    <t>Reference Emission temperature (deg C)</t>
  </si>
  <si>
    <t>Reference H2O Content (%)</t>
  </si>
  <si>
    <t>NOx emissions  Long Term</t>
  </si>
  <si>
    <t>mg/Nm3 (ELV/BAT)</t>
  </si>
  <si>
    <t>Nox emissions  Short Term</t>
  </si>
  <si>
    <t xml:space="preserve">CO emissions </t>
  </si>
  <si>
    <t>Negligible emissions from hydrogen</t>
  </si>
  <si>
    <t>PM emissions</t>
  </si>
  <si>
    <t>Negligible emissions from Hydrogen/Nat gas</t>
  </si>
  <si>
    <t xml:space="preserve">Ammonia </t>
  </si>
  <si>
    <t>No SCR at start up</t>
  </si>
  <si>
    <t>g/kW-hr (Tier 2)</t>
  </si>
  <si>
    <t>PM</t>
  </si>
  <si>
    <t>CO</t>
  </si>
  <si>
    <t>NOx emissions Long-term</t>
  </si>
  <si>
    <t>g/s</t>
  </si>
  <si>
    <t>NOx emissions  Short-term</t>
  </si>
  <si>
    <t>CO emissions  short-term</t>
  </si>
  <si>
    <t xml:space="preserve">PM emissions </t>
  </si>
  <si>
    <t>Molar Gas Calc Sheet</t>
  </si>
  <si>
    <t>Unit 1 - Boiler - Normal Operation</t>
  </si>
  <si>
    <t>Data and Physical Properties</t>
  </si>
  <si>
    <r>
      <t>x</t>
    </r>
    <r>
      <rPr>
        <i/>
        <vertAlign val="subscript"/>
        <sz val="11"/>
        <color indexed="8"/>
        <rFont val="Arial"/>
        <family val="2"/>
      </rPr>
      <t>i</t>
    </r>
  </si>
  <si>
    <r>
      <t>M</t>
    </r>
    <r>
      <rPr>
        <i/>
        <vertAlign val="subscript"/>
        <sz val="11"/>
        <color indexed="8"/>
        <rFont val="Arial"/>
        <family val="2"/>
      </rPr>
      <t>i</t>
    </r>
  </si>
  <si>
    <r>
      <t>w</t>
    </r>
    <r>
      <rPr>
        <i/>
        <vertAlign val="subscript"/>
        <sz val="11"/>
        <color indexed="8"/>
        <rFont val="Arial"/>
        <family val="2"/>
      </rPr>
      <t>i</t>
    </r>
  </si>
  <si>
    <t>wt%</t>
  </si>
  <si>
    <t>Gi</t>
  </si>
  <si>
    <t>ρi</t>
  </si>
  <si>
    <t>Qi</t>
  </si>
  <si>
    <t>Composition Material</t>
  </si>
  <si>
    <t>Mol%</t>
  </si>
  <si>
    <t>Mol Fraction</t>
  </si>
  <si>
    <t>Molar Mass</t>
  </si>
  <si>
    <t>Mass Fraction</t>
  </si>
  <si>
    <t>Mass %</t>
  </si>
  <si>
    <t>Component Mass Flow</t>
  </si>
  <si>
    <t>Density 
@T K</t>
  </si>
  <si>
    <t>Volumetric Flow Rate@T K</t>
  </si>
  <si>
    <t>Concentration</t>
  </si>
  <si>
    <t>dry gas volume %</t>
  </si>
  <si>
    <t>Volume dry ref O2, 273K</t>
  </si>
  <si>
    <t>kg/s</t>
  </si>
  <si>
    <t>kg/m3</t>
  </si>
  <si>
    <t>mg/m3</t>
  </si>
  <si>
    <t>Nm3/s</t>
  </si>
  <si>
    <t>O2</t>
  </si>
  <si>
    <t>CO2</t>
  </si>
  <si>
    <t>Ar</t>
  </si>
  <si>
    <t>N2</t>
  </si>
  <si>
    <t>H2O</t>
  </si>
  <si>
    <t>Total</t>
  </si>
  <si>
    <t>P</t>
  </si>
  <si>
    <t>Pressure</t>
  </si>
  <si>
    <t>bara</t>
  </si>
  <si>
    <t>G</t>
  </si>
  <si>
    <t>Mass Flowrate</t>
  </si>
  <si>
    <t>kg/hr</t>
  </si>
  <si>
    <t>d</t>
  </si>
  <si>
    <t>Pipe diameter</t>
  </si>
  <si>
    <t>mm</t>
  </si>
  <si>
    <t>T</t>
  </si>
  <si>
    <t>C</t>
  </si>
  <si>
    <t>K</t>
  </si>
  <si>
    <t>A</t>
  </si>
  <si>
    <t>Area of Pipe</t>
  </si>
  <si>
    <t>m2</t>
  </si>
  <si>
    <t>ui</t>
  </si>
  <si>
    <t>reference O2</t>
  </si>
  <si>
    <t>%</t>
  </si>
  <si>
    <t>vol flow at T</t>
  </si>
  <si>
    <t>Am3/s</t>
  </si>
  <si>
    <t>Am3/hr</t>
  </si>
  <si>
    <t>Nm3/hr to T only</t>
  </si>
  <si>
    <t>normalised flow at ref</t>
  </si>
  <si>
    <t>Nm3/hr</t>
  </si>
  <si>
    <t>Scenario</t>
  </si>
  <si>
    <t>H2T</t>
  </si>
  <si>
    <t>Data</t>
  </si>
  <si>
    <t>F-101 Steam Boiler Package BH001-PR-DAT-544-00037.pdf</t>
  </si>
  <si>
    <t>Emission Source</t>
  </si>
  <si>
    <t>Boiler</t>
  </si>
  <si>
    <t>Inputs</t>
  </si>
  <si>
    <t>Key Calculated Values</t>
  </si>
  <si>
    <t>Stack Physical Parameters</t>
  </si>
  <si>
    <t>Parameter</t>
  </si>
  <si>
    <t>Value</t>
  </si>
  <si>
    <t>Factor</t>
  </si>
  <si>
    <t>Stack Name</t>
  </si>
  <si>
    <t>Emission Points</t>
  </si>
  <si>
    <t>Coordinates (X, Y)</t>
  </si>
  <si>
    <t>Release Height</t>
  </si>
  <si>
    <t>Diameter of Equivalent Area</t>
  </si>
  <si>
    <t>Fuel Flow Rate</t>
  </si>
  <si>
    <t>tonne/hour</t>
  </si>
  <si>
    <t>The maximum is determined by the formula as (0.081/1000)*(PI()*(C16/2)^2)*3600</t>
  </si>
  <si>
    <t>Step 1</t>
  </si>
  <si>
    <t xml:space="preserve"> Enter Gas Fuel Compostion </t>
  </si>
  <si>
    <t>Component</t>
  </si>
  <si>
    <t>Formula</t>
  </si>
  <si>
    <t xml:space="preserve"> Molecular weight MWT</t>
  </si>
  <si>
    <r>
      <t>Component Mole Percentage 
C</t>
    </r>
    <r>
      <rPr>
        <b/>
        <i/>
        <sz val="9"/>
        <rFont val="Calibri"/>
        <family val="2"/>
      </rPr>
      <t>mol</t>
    </r>
  </si>
  <si>
    <r>
      <t>Relative Weight 
W</t>
    </r>
    <r>
      <rPr>
        <b/>
        <i/>
        <sz val="9"/>
        <rFont val="Calibri"/>
        <family val="2"/>
      </rPr>
      <t>tr</t>
    </r>
    <r>
      <rPr>
        <b/>
        <sz val="9"/>
        <rFont val="Calibri"/>
        <family val="2"/>
      </rPr>
      <t xml:space="preserve"> = C</t>
    </r>
    <r>
      <rPr>
        <b/>
        <i/>
        <sz val="9"/>
        <rFont val="Calibri"/>
        <family val="2"/>
      </rPr>
      <t>mol</t>
    </r>
    <r>
      <rPr>
        <b/>
        <sz val="9"/>
        <rFont val="Calibri"/>
        <family val="2"/>
      </rPr>
      <t>/100*MWT</t>
    </r>
  </si>
  <si>
    <r>
      <t>Component Weight Percentage 
C</t>
    </r>
    <r>
      <rPr>
        <b/>
        <i/>
        <sz val="9"/>
        <rFont val="Calibri"/>
        <family val="2"/>
      </rPr>
      <t xml:space="preserve">wt </t>
    </r>
    <r>
      <rPr>
        <b/>
        <sz val="9"/>
        <rFont val="Calibri"/>
        <family val="2"/>
      </rPr>
      <t>= W</t>
    </r>
    <r>
      <rPr>
        <b/>
        <i/>
        <sz val="9"/>
        <rFont val="Calibri"/>
        <family val="2"/>
      </rPr>
      <t>tr</t>
    </r>
    <r>
      <rPr>
        <b/>
        <sz val="9"/>
        <rFont val="Calibri"/>
        <family val="2"/>
      </rPr>
      <t>/MWT</t>
    </r>
    <r>
      <rPr>
        <b/>
        <i/>
        <sz val="9"/>
        <rFont val="Calibri"/>
        <family val="2"/>
      </rPr>
      <t>ave</t>
    </r>
  </si>
  <si>
    <t>Gross Heating Value (Higher Heating Value) (GJ/t)</t>
  </si>
  <si>
    <t>Net heating Value (Lower Heating Value) (GJ/t)</t>
  </si>
  <si>
    <r>
      <t>HHV*</t>
    </r>
    <r>
      <rPr>
        <b/>
        <i/>
        <sz val="9"/>
        <rFont val="Calibri"/>
        <family val="2"/>
      </rPr>
      <t>Cwt</t>
    </r>
  </si>
  <si>
    <r>
      <t>LHV*</t>
    </r>
    <r>
      <rPr>
        <b/>
        <i/>
        <sz val="9"/>
        <rFont val="Calibri"/>
        <family val="2"/>
      </rPr>
      <t>Cwt</t>
    </r>
  </si>
  <si>
    <t>Fuel Molecular Carbon Content</t>
  </si>
  <si>
    <t>Fuel Molecular Hydrogen Content</t>
  </si>
  <si>
    <t>Component Carbon (Ratio to Fuel)</t>
  </si>
  <si>
    <t>Component Hydrogen (Ratio to Fuel)</t>
  </si>
  <si>
    <t>Comb. O2 required (Ratio to Fuel)</t>
  </si>
  <si>
    <t>Comb. Air required (Ratio to Fuel)</t>
  </si>
  <si>
    <t>Flue Molecular CO2 (Ration to Fuel)</t>
  </si>
  <si>
    <t>Flue Molecular H2O (Ratio to Fuel)</t>
  </si>
  <si>
    <t>LHV (J/g-mol)</t>
  </si>
  <si>
    <t xml:space="preserve">      ---</t>
  </si>
  <si>
    <t xml:space="preserve">Water </t>
  </si>
  <si>
    <t>Hydrogen Sulphide</t>
  </si>
  <si>
    <t>H2S</t>
  </si>
  <si>
    <t>Methane</t>
  </si>
  <si>
    <t>CH4</t>
  </si>
  <si>
    <t>Ethane</t>
  </si>
  <si>
    <t>C2H6</t>
  </si>
  <si>
    <t>Propane</t>
  </si>
  <si>
    <t>C3H8</t>
  </si>
  <si>
    <t>Butanes</t>
  </si>
  <si>
    <t>C4H10, Isobutane, methylpropane</t>
  </si>
  <si>
    <t>C4H10, n-Butane</t>
  </si>
  <si>
    <t>Pentanes</t>
  </si>
  <si>
    <t>C5H12, Isopentane, methylbutane, 2-methylbutane</t>
  </si>
  <si>
    <t>Hexanes</t>
  </si>
  <si>
    <t>C6H14</t>
  </si>
  <si>
    <t>Benzene</t>
  </si>
  <si>
    <t>C6H6</t>
  </si>
  <si>
    <t>Heptanes</t>
  </si>
  <si>
    <t>C7H16</t>
  </si>
  <si>
    <t>Toluene</t>
  </si>
  <si>
    <t>C7H8</t>
  </si>
  <si>
    <t>C8+</t>
  </si>
  <si>
    <t>C8H18</t>
  </si>
  <si>
    <t>Insert components above this row</t>
  </si>
  <si>
    <t>Total gas</t>
  </si>
  <si>
    <t>NMVOCs only</t>
  </si>
  <si>
    <t>Note: If the analysis includes other compounds, add to species of closest molecular weight above.</t>
  </si>
  <si>
    <t xml:space="preserve"> Calculated Properties from Gas Fuel Composition</t>
  </si>
  <si>
    <t>Fuel Gas Molecular Weight (MWTave)</t>
  </si>
  <si>
    <t>g/mol</t>
  </si>
  <si>
    <t>kg/Sm3</t>
  </si>
  <si>
    <t>Total Gas Mass HHV</t>
  </si>
  <si>
    <t>GJ/tonne</t>
  </si>
  <si>
    <t>MJ/Sm3</t>
  </si>
  <si>
    <t>Total Gas Mass LHV</t>
  </si>
  <si>
    <t>Step 2</t>
  </si>
  <si>
    <t>2.1 To calculate stoichiometric waste gas flows</t>
  </si>
  <si>
    <t>Stoichiometric waste gas (wet)</t>
  </si>
  <si>
    <t>Wsw = SUM Vp =</t>
  </si>
  <si>
    <t>m3/m3 gas burnt</t>
  </si>
  <si>
    <t>Stoichiometric waste gas (dry)</t>
  </si>
  <si>
    <t>Wsd = SUM Vp -Vh2o =</t>
  </si>
  <si>
    <t>2.2 To calculate waste gas flows with excess air present</t>
  </si>
  <si>
    <t xml:space="preserve">NB Excess air can be estimated from </t>
  </si>
  <si>
    <t>O2 measurements in dry flue gas:</t>
  </si>
  <si>
    <t>O2 % =</t>
  </si>
  <si>
    <t>Wsd=(21-%O2)/21*Wad</t>
  </si>
  <si>
    <t>Excess air</t>
  </si>
  <si>
    <t xml:space="preserve">Ea % = </t>
  </si>
  <si>
    <t>Wsd=(21-%O2)/21*(Wsd+Ea*Vs)</t>
  </si>
  <si>
    <t xml:space="preserve">Ea = </t>
  </si>
  <si>
    <t>Va-Vs</t>
  </si>
  <si>
    <t>Wsd+Ea*Vs=Wsd*21/(21-%O2)</t>
  </si>
  <si>
    <t>Vs</t>
  </si>
  <si>
    <t>Ea*Vs=Wsd/(21-%O2)*[21-(21-%O2)]</t>
  </si>
  <si>
    <t>Va = actual air</t>
  </si>
  <si>
    <t>Ea*Vs=Wsd/(21-%O2)*%O2</t>
  </si>
  <si>
    <t>Vs = Stoichiometric air</t>
  </si>
  <si>
    <t>Ea=%O2/(21-%O2)*(Wsd/Vs)</t>
  </si>
  <si>
    <t>Actual Air Va</t>
  </si>
  <si>
    <t>Va = Vs(1+Ea)</t>
  </si>
  <si>
    <t>Actual waste gas Wa:</t>
  </si>
  <si>
    <t>Waw (wet) =Wsw +Ea*Vs</t>
  </si>
  <si>
    <t>@ CO2 %</t>
  </si>
  <si>
    <t>Wad (dry) =Wsd +Ea*Vs</t>
  </si>
  <si>
    <t>@ O2 %</t>
  </si>
  <si>
    <t>Measured O2</t>
  </si>
  <si>
    <t>Reported at reference O2%, dry</t>
  </si>
  <si>
    <t>Reference O2</t>
  </si>
  <si>
    <t xml:space="preserve"> </t>
  </si>
  <si>
    <t>2.3 To calculate waste gas flow rate based on natural gas consumption rate</t>
  </si>
  <si>
    <t>Assumed fuel usage (JMcW)</t>
  </si>
  <si>
    <t>GJ/day</t>
  </si>
  <si>
    <t>GJ/hr</t>
  </si>
  <si>
    <t>Calorific value</t>
  </si>
  <si>
    <t>GJ/m3</t>
  </si>
  <si>
    <t>Sm3 gas/hr</t>
  </si>
  <si>
    <t>at</t>
  </si>
  <si>
    <t>Fuel flow</t>
  </si>
  <si>
    <t>Nm3 gas/hr</t>
  </si>
  <si>
    <t>Actual air flow</t>
  </si>
  <si>
    <t>Nm3 air/hr</t>
  </si>
  <si>
    <t>Waste gas flow rate</t>
  </si>
  <si>
    <t>Normal (Reference O2, dry, 0 C)</t>
  </si>
  <si>
    <t>Nm3/hour</t>
  </si>
  <si>
    <t>mg NOx / Nm3</t>
  </si>
  <si>
    <t>g Nox / s</t>
  </si>
  <si>
    <t>mg CO / Nm3</t>
  </si>
  <si>
    <t>g CO / s</t>
  </si>
  <si>
    <t>Actual</t>
  </si>
  <si>
    <t>(measured or calculated conditions)</t>
  </si>
  <si>
    <t>Temp (K)</t>
  </si>
  <si>
    <t>(temp</t>
  </si>
  <si>
    <t>oC)</t>
  </si>
  <si>
    <t>m3/hour</t>
  </si>
  <si>
    <t>(moisture</t>
  </si>
  <si>
    <t>%H2O)</t>
  </si>
  <si>
    <t>to check</t>
  </si>
  <si>
    <t>(O2</t>
  </si>
  <si>
    <t>%O2)</t>
  </si>
  <si>
    <t>fuel usuage for each boiler</t>
  </si>
  <si>
    <t>gj/s</t>
  </si>
  <si>
    <t>MW</t>
  </si>
  <si>
    <t>gj/min</t>
  </si>
  <si>
    <t>gj/hr</t>
  </si>
  <si>
    <t>MWh</t>
  </si>
  <si>
    <t>gj/day</t>
  </si>
  <si>
    <t>MWh/day</t>
  </si>
  <si>
    <t>gj/year</t>
  </si>
  <si>
    <t>MWh/annum</t>
  </si>
  <si>
    <t>F-201 Startup Fired Heater BH001-PR-DAT-544-00035.pdf</t>
  </si>
  <si>
    <t>Fired Heater</t>
  </si>
  <si>
    <t>LP Flare Package BH001-PR-SPE-014-00009_B01.pdf</t>
  </si>
  <si>
    <t>Flare Case1</t>
  </si>
  <si>
    <t>Hydrogen</t>
  </si>
  <si>
    <t>H2</t>
  </si>
  <si>
    <t>Carbon Monoxide</t>
  </si>
  <si>
    <t>Methanol</t>
  </si>
  <si>
    <t>CH₃OH</t>
  </si>
  <si>
    <t>Step 3</t>
  </si>
  <si>
    <t>Gas Flow Rate (to the Flare)</t>
  </si>
  <si>
    <t>Volume to Mass conversion tool</t>
  </si>
  <si>
    <t>Gas Volume</t>
  </si>
  <si>
    <t xml:space="preserve">Conversion Factor (mass/vol) </t>
  </si>
  <si>
    <t xml:space="preserve"> Gas Mass</t>
  </si>
  <si>
    <t>Mass Flow Rate (M)</t>
  </si>
  <si>
    <t>tonne/h</t>
  </si>
  <si>
    <t>Em in 1 hour / Em</t>
  </si>
  <si>
    <t>sm3</t>
  </si>
  <si>
    <t>tonne</t>
  </si>
  <si>
    <t>-</t>
  </si>
  <si>
    <t>nm3</t>
  </si>
  <si>
    <t>tonne/s</t>
  </si>
  <si>
    <t>scf</t>
  </si>
  <si>
    <t>Volumetric Flow Rate (V)</t>
  </si>
  <si>
    <t>mmscfd</t>
  </si>
  <si>
    <t>1 MMscf = 28.317 103m3</t>
  </si>
  <si>
    <t>mmscf</t>
  </si>
  <si>
    <t>Volume Flow Rate (V) @15 DegC</t>
  </si>
  <si>
    <t>sm3/hr</t>
  </si>
  <si>
    <t>sm3/s</t>
  </si>
  <si>
    <t>Ideal Gas Law Equations PV= nRT</t>
  </si>
  <si>
    <t xml:space="preserve"> Volume at 0 Deg C</t>
  </si>
  <si>
    <t xml:space="preserve"> Volume at 25 Deg C</t>
  </si>
  <si>
    <t xml:space="preserve"> Volume at 15 deg </t>
  </si>
  <si>
    <t>Volume Flow Rate (V) @ 0 Deg C</t>
  </si>
  <si>
    <t>Normalised to 0 Deg C</t>
  </si>
  <si>
    <t>Volume (V)</t>
  </si>
  <si>
    <t>m3/mole</t>
  </si>
  <si>
    <t>Pressure (P)</t>
  </si>
  <si>
    <t>Pa (N/m2)</t>
  </si>
  <si>
    <t>Step 4</t>
  </si>
  <si>
    <t>Efflux Volume Calculations</t>
  </si>
  <si>
    <t>Number of Moles (n)</t>
  </si>
  <si>
    <t>mole</t>
  </si>
  <si>
    <t>Gas Constant (R)</t>
  </si>
  <si>
    <t>JK-1mol-1</t>
  </si>
  <si>
    <t>Flow Volume at STD conditions</t>
  </si>
  <si>
    <t>Temperature (T)</t>
  </si>
  <si>
    <t>kelvins</t>
  </si>
  <si>
    <t>Stack Diameter (Prior to ambient mixing) (D)</t>
  </si>
  <si>
    <t>Temperature before combustion</t>
  </si>
  <si>
    <t>Deg Celcius</t>
  </si>
  <si>
    <t>Stack Area (Prior to ambient mixing)</t>
  </si>
  <si>
    <t>Efflux Velocity (Prior to Ignition)</t>
  </si>
  <si>
    <t>Vnozzle</t>
  </si>
  <si>
    <t>Temp of gas prior to release</t>
  </si>
  <si>
    <t>Deg K</t>
  </si>
  <si>
    <t>Flow Volume at Stack (Actual Temp)</t>
  </si>
  <si>
    <t>Step 5</t>
  </si>
  <si>
    <t>Heat Release Calculations</t>
  </si>
  <si>
    <t>Total Gas Mass LHV (Hc)</t>
  </si>
  <si>
    <t>J/kg</t>
  </si>
  <si>
    <t>Input Energy</t>
  </si>
  <si>
    <t>Combustion Efficiency (%)</t>
  </si>
  <si>
    <t>Was in C128: =(1-59%)/E131</t>
  </si>
  <si>
    <t>Total Heat Release (Qc or: Qtot)</t>
  </si>
  <si>
    <t>Joule/s, W</t>
  </si>
  <si>
    <t>Em*M</t>
  </si>
  <si>
    <t>Heat Release (H)</t>
  </si>
  <si>
    <t>cal/s</t>
  </si>
  <si>
    <t>1 J = 0.23890295762 Cal</t>
  </si>
  <si>
    <t>Radiative Loss Factor (f)</t>
  </si>
  <si>
    <t>Left for heating</t>
  </si>
  <si>
    <t>Net Heat Release (Qn, ADMS5's Fb)</t>
  </si>
  <si>
    <t>J/s, W</t>
  </si>
  <si>
    <t>Hr = (1-f)*H</t>
  </si>
  <si>
    <t>Net Heat Release Rate (Hr)</t>
  </si>
  <si>
    <t>Stack Temperature Increase dTs</t>
  </si>
  <si>
    <t>Assumed Cp = 1012 J/kg.K</t>
  </si>
  <si>
    <t>Air Temperature (T)</t>
  </si>
  <si>
    <t>Ambeint air temperature</t>
  </si>
  <si>
    <t>Flow at Shrouded Flare (Actual Temp)</t>
  </si>
  <si>
    <t>Efflux Velocity (Shrouded Flare)</t>
  </si>
  <si>
    <t>Momentum Flux (pi * Fm)</t>
  </si>
  <si>
    <t>m4/s2</t>
  </si>
  <si>
    <t>elevated, without combustion air, assuming air temperature is 283K.</t>
  </si>
  <si>
    <t>ground, with combustion air, assuming air temperature is 283K</t>
  </si>
  <si>
    <t>https://files.ontario.ca/modelling-open-flares.pdf</t>
  </si>
  <si>
    <t>Step 6</t>
  </si>
  <si>
    <t>Effective Stack Diameter (Pseudo Parameter)</t>
  </si>
  <si>
    <t>Factor/Equation</t>
  </si>
  <si>
    <t>Stack Exit Temperature (Ts)</t>
  </si>
  <si>
    <t>US EPA Guidance</t>
  </si>
  <si>
    <t>Volume Flow Rate (V) @Stack Exit Temperature Deg 1000 Deg C</t>
  </si>
  <si>
    <t>V @ 1000 Deg C = V @ 0 Deg C (Nm3)*(Ts/273)</t>
  </si>
  <si>
    <t>Exit Velocity (Vs) @ AERMOD DEFAULT VALUE</t>
  </si>
  <si>
    <t>Exit Velocity (Vs) @ Stack T of 1000 Deg C</t>
  </si>
  <si>
    <r>
      <t>Vs = V (m</t>
    </r>
    <r>
      <rPr>
        <vertAlign val="superscript"/>
        <sz val="10"/>
        <rFont val="Calibri"/>
        <family val="2"/>
      </rPr>
      <t>3</t>
    </r>
    <r>
      <rPr>
        <sz val="10"/>
        <rFont val="Calibri"/>
        <family val="2"/>
      </rPr>
      <t>/s) / (PI * D</t>
    </r>
    <r>
      <rPr>
        <vertAlign val="superscript"/>
        <sz val="10"/>
        <rFont val="Calibri"/>
        <family val="2"/>
      </rPr>
      <t>2</t>
    </r>
    <r>
      <rPr>
        <sz val="10"/>
        <rFont val="Calibri"/>
        <family val="2"/>
      </rPr>
      <t>/4)</t>
    </r>
  </si>
  <si>
    <t>Effective diameter (ds)</t>
  </si>
  <si>
    <t>(ds) = (0.1066*[(Ts/(T*(Ts-T))*(Hr/Vs)]^0.5) = ds (ft) Iowa DNR</t>
  </si>
  <si>
    <t>Effective diameter (ds), AERSCREEN User’s Guide, USEPA</t>
  </si>
  <si>
    <t>(ds) = 9.88×10−4 × (HR × (1− f))^0.5 EPA</t>
  </si>
  <si>
    <t>lb/MMBtu to g/GJ</t>
  </si>
  <si>
    <t>Effective Stack Height  (Pseudo Parameter)</t>
  </si>
  <si>
    <t>lb to Kg</t>
  </si>
  <si>
    <t>lb to g</t>
  </si>
  <si>
    <t>Stack height above ground (hs)</t>
  </si>
  <si>
    <t>Btu to KJ</t>
  </si>
  <si>
    <t>ft</t>
  </si>
  <si>
    <t>1 m = 3.280839895 ft</t>
  </si>
  <si>
    <t>MMBtu to KJ</t>
  </si>
  <si>
    <t>Effect flare release height (hsl)</t>
  </si>
  <si>
    <t>hsl (ft) = (hs + (7.54x10-3) * (Hr^0.478)) IOWA method</t>
  </si>
  <si>
    <t>MMBtu to GJ</t>
  </si>
  <si>
    <t>Calculation check</t>
  </si>
  <si>
    <t>hsl (m) =hs +((0.00456)*((Hr/4.1868)^0.478))  IOWA method</t>
  </si>
  <si>
    <t>Step 7</t>
  </si>
  <si>
    <t>Emission Rates Calculations</t>
  </si>
  <si>
    <t>US AP42   (lb/MMBtu)</t>
  </si>
  <si>
    <t>Table 13.5-1 (English Units). NOx and Soot; Table 13.5-2 (English Units). CO</t>
  </si>
  <si>
    <t>Table 1.4-1</t>
  </si>
  <si>
    <t xml:space="preserve">NOx </t>
  </si>
  <si>
    <t>Emission Factor</t>
  </si>
  <si>
    <t>units</t>
  </si>
  <si>
    <t xml:space="preserve">CO </t>
  </si>
  <si>
    <t>NOX</t>
  </si>
  <si>
    <t>g/GJ</t>
  </si>
  <si>
    <t>lb/MMBtu</t>
  </si>
  <si>
    <t>Mg/Mg</t>
  </si>
  <si>
    <t>lb/MMSCF</t>
  </si>
  <si>
    <t>NMVOC</t>
  </si>
  <si>
    <t>Soot</t>
  </si>
  <si>
    <t>ug/L exhaust</t>
  </si>
  <si>
    <t>kg soot/10^3 m3 fuel</t>
  </si>
  <si>
    <t>PM10</t>
  </si>
  <si>
    <t>S as H2S</t>
  </si>
  <si>
    <t>https://www3.epa.gov/ttn/chief/ap42/ch13/final/C13S05_02-05-18.pdf</t>
  </si>
  <si>
    <t>H2S (5% unburnt)</t>
  </si>
  <si>
    <t>SO2 (95% burnt S)</t>
  </si>
  <si>
    <t>Acid gas flare Sox EF</t>
  </si>
  <si>
    <t>BTEX by venting</t>
  </si>
  <si>
    <t>Burn Pit Sox EF</t>
  </si>
  <si>
    <t>BTEX by flaring</t>
  </si>
  <si>
    <t>Summary Data</t>
  </si>
  <si>
    <t>Emission Source Height (m)</t>
  </si>
  <si>
    <t>Equivalent Diameter of Area (m)</t>
  </si>
  <si>
    <t>Input Fuel Volume Flow Rate (mmscfd)</t>
  </si>
  <si>
    <t>Input Fuel Mass Flow Rate (t/h)</t>
  </si>
  <si>
    <t>Input Energy (MWth)</t>
  </si>
  <si>
    <t>Op 1: Matching Heat and Momentum</t>
  </si>
  <si>
    <t>Momentum Flux (ADMS5's Fm) (m4/s2)</t>
  </si>
  <si>
    <t>Heat Release (ADMS5's Fb) (MW)</t>
  </si>
  <si>
    <t>Effective exit gas temperature (K)</t>
  </si>
  <si>
    <t>Effective exit velocity (m/s)</t>
  </si>
  <si>
    <t>Effective exit diameter (m)</t>
  </si>
  <si>
    <t>Op 2: Shrouded Flare or Point Source Approach</t>
  </si>
  <si>
    <t>Exit gas temperature (K)</t>
  </si>
  <si>
    <t>Stack Effective Diameter (m)</t>
  </si>
  <si>
    <t>Exit gas velocity (m/s)</t>
  </si>
  <si>
    <t>Op 3: USEPA Flare Approach</t>
  </si>
  <si>
    <t>All: Emission Rate</t>
  </si>
  <si>
    <t>NOx (g/s)</t>
  </si>
  <si>
    <t>CO (g/s)</t>
  </si>
  <si>
    <t>NMVOC (g/s)</t>
  </si>
  <si>
    <t>PM10 (g/s)</t>
  </si>
  <si>
    <t>H2S (g/s)</t>
  </si>
  <si>
    <t>SO2 (g/s)</t>
  </si>
  <si>
    <t>Flare Case2</t>
  </si>
  <si>
    <t>Flare Case3</t>
  </si>
  <si>
    <t>NH3</t>
  </si>
  <si>
    <t xml:space="preserve">Information Requirement </t>
  </si>
  <si>
    <t>Fired Heater (6.9 MWth per unit)</t>
  </si>
  <si>
    <t>Auxiliary boiler exhaust stack (35 MW thermal input) per unit</t>
  </si>
  <si>
    <t>Operation Mode</t>
  </si>
  <si>
    <t>Start up</t>
  </si>
  <si>
    <t>Normal</t>
  </si>
  <si>
    <t>Stack height (m)</t>
  </si>
  <si>
    <t>TBC</t>
  </si>
  <si>
    <t>Diameter (m) - sized to achieve 15 m/s on normal Op</t>
  </si>
  <si>
    <t>Calculated</t>
  </si>
  <si>
    <r>
      <t xml:space="preserve">Stack location (X,Y) - </t>
    </r>
    <r>
      <rPr>
        <b/>
        <sz val="11"/>
        <color rgb="FFFF0000"/>
        <rFont val="Calibri"/>
        <family val="2"/>
      </rPr>
      <t>Phase 1/2</t>
    </r>
  </si>
  <si>
    <t>Phase 1 – 456247, 525229
Phase 2 – 456461, 525665</t>
  </si>
  <si>
    <t>456314.65,525346.02 / 456349,525723</t>
  </si>
  <si>
    <t>Fuel (if applicable)</t>
  </si>
  <si>
    <t>Natural gas</t>
  </si>
  <si>
    <t>Tail Gas (Hydrogen Rich)</t>
  </si>
  <si>
    <t>Exhaust airflow at actual stack conditions (kg/s) at 40MW</t>
  </si>
  <si>
    <t xml:space="preserve">Exhaust airflow at actual stack conditions (kg/s, rounded up) </t>
  </si>
  <si>
    <t>BOL (highest)</t>
  </si>
  <si>
    <t>Stack exhaust temperature (°C)</t>
  </si>
  <si>
    <t>Flue gas composition</t>
  </si>
  <si>
    <t>Exhaust gas O2  vol% (wet)</t>
  </si>
  <si>
    <t xml:space="preserve">BOL </t>
  </si>
  <si>
    <t>Exhaust gas O2  vol% (dry)</t>
  </si>
  <si>
    <t>Exhaust gas CO2 mol%  or vol%</t>
  </si>
  <si>
    <t>Exhaust gas H2O  vol%</t>
  </si>
  <si>
    <t>Exhaust gas N2  vol%</t>
  </si>
  <si>
    <t>Exhaust gas Ar  vol%</t>
  </si>
  <si>
    <t>Exhaust gas SO2  vol%</t>
  </si>
  <si>
    <t>Other gas  vol%</t>
  </si>
  <si>
    <r>
      <t>Raw/Actual exhaust  flow (raw m</t>
    </r>
    <r>
      <rPr>
        <vertAlign val="superscript"/>
        <sz val="11"/>
        <color rgb="FF000000"/>
        <rFont val="Calibri"/>
        <family val="2"/>
      </rPr>
      <t>3</t>
    </r>
    <r>
      <rPr>
        <sz val="11"/>
        <color rgb="FF000000"/>
        <rFont val="Calibri"/>
        <family val="2"/>
      </rPr>
      <t>/s)</t>
    </r>
  </si>
  <si>
    <t>Normalised to T only exhaust flow (Nm³/s)</t>
  </si>
  <si>
    <t>Reference exhaust flow (Nm³/s)</t>
  </si>
  <si>
    <t>Velocity (m/s)</t>
  </si>
  <si>
    <t>PEIR (approximately)</t>
  </si>
  <si>
    <t>Pollutants</t>
  </si>
  <si>
    <t>NOx emissions (mg/Nm3) Long Term</t>
  </si>
  <si>
    <t>From PEIR, matches LCP ELV adjusted for Hydrogen Content</t>
  </si>
  <si>
    <t>Nox emissions (mg/Nm3) Short Term</t>
  </si>
  <si>
    <t>CO emissions (mg/Nm3)</t>
  </si>
  <si>
    <t xml:space="preserve">PM emissions (mg/Nm3) </t>
  </si>
  <si>
    <t>From PEIR</t>
  </si>
  <si>
    <t>Ammonia (mg/Nm3)</t>
  </si>
  <si>
    <t>NOx emissions (g/s) Long-term</t>
  </si>
  <si>
    <t>Calculated from above using Normalised to Temp flow</t>
  </si>
  <si>
    <t>NOx emissions (g/s) Short-term</t>
  </si>
  <si>
    <t>CO emissions (g/s) short-term</t>
  </si>
  <si>
    <t xml:space="preserve">PM emissions (g/s) </t>
  </si>
  <si>
    <t xml:space="preserve">Ammonia (g/s) </t>
  </si>
  <si>
    <t xml:space="preserve">SO2 (g/s)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</si>
</sst>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3" formatCode="_-* #,##0.00_-;\-* #,##0.00_-;_-* &quot;-&quot;??_-;_-@_-"/>
    <numFmt numFmtId="164" formatCode="#,##0.0000"/>
    <numFmt numFmtId="165" formatCode="0.0"/>
    <numFmt numFmtId="166" formatCode="0.000"/>
    <numFmt numFmtId="167" formatCode="0.0000"/>
    <numFmt numFmtId="168" formatCode="_-* #,##0.0_-;\-* #,##0.0_-;_-* &quot;-&quot;??_-;_-@_-"/>
    <numFmt numFmtId="169" formatCode="0.0%"/>
    <numFmt numFmtId="170" formatCode="#,##0.0"/>
    <numFmt numFmtId="171" formatCode="0.000%"/>
    <numFmt numFmtId="172" formatCode="_-* #,##0_-;\-* #,##0_-;_-* &quot;-&quot;??_-;_-@_-"/>
    <numFmt numFmtId="173" formatCode="0.0000000"/>
    <numFmt numFmtId="174" formatCode="_-* #,##0.0000_-;\-* #,##0.0000_-;_-* &quot;-&quot;??_-;_-@_-"/>
    <numFmt numFmtId="175" formatCode="0.000000"/>
    <numFmt numFmtId="176" formatCode="_-* #,##0.00000_-;\-* #,##0.00000_-;_-* &quot;-&quot;??_-;_-@_-"/>
    <numFmt numFmtId="177" formatCode="_-* #,##0.000_-;\-* #,##0.000_-;_-* &quot;-&quot;??_-;_-@_-"/>
    <numFmt numFmtId="178" formatCode="_-* #,##0.000000_-;\-* #,##0.000000_-;_-* &quot;-&quot;??_-;_-@_-"/>
    <numFmt numFmtId="179" formatCode="_(* #,##0_);_(* \(#,##0\);_(* &quot;-&quot;??_);_(@_)"/>
    <numFmt numFmtId="180" formatCode="_(* #,##0.00_);_(* \(#,##0.00\);_(* &quot;-&quot;??_);_(@_)"/>
    <numFmt numFmtId="181" formatCode="_(* #,##0.0_);_(* \(#,##0.0\);_(* &quot;-&quot;??_);_(@_)"/>
    <numFmt numFmtId="182" formatCode="0.00000"/>
    <numFmt numFmtId="183" formatCode="0.00000000"/>
  </numFmts>
  <fonts count="6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indexed="12"/>
      <name val="Calibri"/>
      <family val="2"/>
    </font>
    <font>
      <sz val="10"/>
      <color theme="9" tint="-0.499984740745262"/>
      <name val="Arial"/>
      <family val="2"/>
    </font>
    <font>
      <i/>
      <sz val="10"/>
      <color rgb="FFFF0000"/>
      <name val="Arial"/>
      <family val="2"/>
    </font>
    <font>
      <u/>
      <sz val="10"/>
      <color theme="11"/>
      <name val="Arial"/>
      <family val="2"/>
    </font>
    <font>
      <b/>
      <sz val="10"/>
      <color theme="0"/>
      <name val="Arial"/>
      <family val="2"/>
    </font>
    <font>
      <sz val="1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</font>
    <font>
      <vertAlign val="superscript"/>
      <sz val="11"/>
      <color rgb="FF000000"/>
      <name val="Calibri"/>
      <family val="2"/>
    </font>
    <font>
      <sz val="11"/>
      <color theme="2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sz val="11"/>
      <color indexed="8"/>
      <name val="Arial"/>
      <family val="2"/>
    </font>
    <font>
      <b/>
      <u/>
      <sz val="11"/>
      <color indexed="8"/>
      <name val="Arial"/>
      <family val="2"/>
    </font>
    <font>
      <i/>
      <sz val="11"/>
      <color indexed="8"/>
      <name val="Arial"/>
      <family val="2"/>
    </font>
    <font>
      <i/>
      <vertAlign val="subscript"/>
      <sz val="11"/>
      <color indexed="8"/>
      <name val="Arial"/>
      <family val="2"/>
    </font>
    <font>
      <b/>
      <sz val="11"/>
      <color indexed="8"/>
      <name val="Arial"/>
      <family val="2"/>
    </font>
    <font>
      <i/>
      <sz val="11"/>
      <name val="Arial"/>
      <family val="2"/>
    </font>
    <font>
      <b/>
      <i/>
      <sz val="11"/>
      <color indexed="8"/>
      <name val="Arial"/>
      <family val="2"/>
    </font>
    <font>
      <sz val="8"/>
      <name val="Calibri"/>
      <family val="2"/>
      <scheme val="minor"/>
    </font>
    <font>
      <b/>
      <sz val="11"/>
      <name val="Calibri"/>
      <family val="2"/>
    </font>
    <font>
      <sz val="10"/>
      <name val="Calibri"/>
      <family val="2"/>
    </font>
    <font>
      <b/>
      <sz val="8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sz val="14"/>
      <color indexed="10"/>
      <name val="Calibri"/>
      <family val="2"/>
    </font>
    <font>
      <b/>
      <sz val="9"/>
      <name val="Calibri"/>
      <family val="2"/>
    </font>
    <font>
      <b/>
      <i/>
      <sz val="9"/>
      <name val="Calibri"/>
      <family val="2"/>
    </font>
    <font>
      <sz val="9"/>
      <name val="Calibri"/>
      <family val="2"/>
    </font>
    <font>
      <sz val="9"/>
      <name val="Arial"/>
      <family val="2"/>
    </font>
    <font>
      <i/>
      <sz val="9"/>
      <name val="Calibri"/>
      <family val="2"/>
    </font>
    <font>
      <b/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9"/>
      <color indexed="8"/>
      <name val="Arial"/>
      <family val="2"/>
    </font>
    <font>
      <sz val="9"/>
      <color indexed="10"/>
      <name val="Arial"/>
      <family val="2"/>
    </font>
    <font>
      <b/>
      <i/>
      <sz val="8"/>
      <name val="Calibri"/>
      <family val="2"/>
    </font>
    <font>
      <i/>
      <sz val="8"/>
      <name val="Calibri"/>
      <family val="2"/>
    </font>
    <font>
      <vertAlign val="superscript"/>
      <sz val="10"/>
      <name val="Calibri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8"/>
      <color rgb="FF000000"/>
      <name val="Arial"/>
      <family val="2"/>
    </font>
    <font>
      <sz val="10"/>
      <color theme="0" tint="-0.499984740745262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color rgb="FF000000"/>
      <name val="Arial"/>
      <family val="2"/>
    </font>
  </fonts>
  <fills count="6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99FF"/>
        <bgColor indexed="64"/>
      </patternFill>
    </fill>
    <fill>
      <patternFill patternType="solid">
        <fgColor theme="7" tint="0.39997558519241921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5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  <xf numFmtId="0" fontId="6" fillId="5" borderId="2" applyNumberFormat="0" applyAlignment="0" applyProtection="0"/>
    <xf numFmtId="0" fontId="8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8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8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8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8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8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1" fillId="0" borderId="0"/>
    <xf numFmtId="0" fontId="10" fillId="31" borderId="6" applyNumberFormat="0" applyAlignment="0" applyProtection="0"/>
    <xf numFmtId="0" fontId="13" fillId="32" borderId="7" applyNumberFormat="0" applyProtection="0">
      <alignment vertical="center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0" fillId="33" borderId="1" applyNumberFormat="0" applyBorder="0" applyAlignment="0" applyProtection="0"/>
    <xf numFmtId="0" fontId="10" fillId="34" borderId="0">
      <alignment vertical="center"/>
    </xf>
    <xf numFmtId="0" fontId="10" fillId="35" borderId="8" applyNumberFormat="0" applyAlignment="0" applyProtection="0"/>
    <xf numFmtId="0" fontId="11" fillId="6" borderId="3" applyNumberFormat="0" applyFont="0" applyAlignment="0" applyProtection="0"/>
    <xf numFmtId="0" fontId="16" fillId="36" borderId="9" applyNumberFormat="0" applyAlignment="0" applyProtection="0"/>
    <xf numFmtId="9" fontId="9" fillId="0" borderId="0" applyFont="0" applyFill="0" applyBorder="0" applyAlignment="0" applyProtection="0"/>
    <xf numFmtId="0" fontId="10" fillId="37" borderId="10" applyNumberFormat="0" applyProtection="0">
      <alignment vertical="center"/>
    </xf>
    <xf numFmtId="0" fontId="16" fillId="38" borderId="0" applyNumberFormat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43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>
      <alignment vertical="top"/>
      <protection locked="0"/>
    </xf>
  </cellStyleXfs>
  <cellXfs count="410">
    <xf numFmtId="0" fontId="0" fillId="0" borderId="0" xfId="0"/>
    <xf numFmtId="0" fontId="0" fillId="0" borderId="0" xfId="0" applyAlignment="1">
      <alignment wrapText="1"/>
    </xf>
    <xf numFmtId="0" fontId="7" fillId="0" borderId="11" xfId="0" applyFont="1" applyBorder="1" applyAlignment="1">
      <alignment wrapText="1"/>
    </xf>
    <xf numFmtId="0" fontId="18" fillId="39" borderId="4" xfId="0" applyFont="1" applyFill="1" applyBorder="1" applyAlignment="1">
      <alignment vertical="center" wrapText="1"/>
    </xf>
    <xf numFmtId="0" fontId="19" fillId="0" borderId="4" xfId="0" applyFont="1" applyBorder="1" applyAlignment="1">
      <alignment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165" fontId="19" fillId="0" borderId="4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vertical="center" wrapText="1"/>
    </xf>
    <xf numFmtId="0" fontId="19" fillId="0" borderId="4" xfId="0" applyFont="1" applyBorder="1" applyAlignment="1">
      <alignment horizontal="right" vertical="center" wrapText="1"/>
    </xf>
    <xf numFmtId="2" fontId="0" fillId="0" borderId="0" xfId="0" applyNumberFormat="1"/>
    <xf numFmtId="0" fontId="18" fillId="0" borderId="4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right" vertical="center" wrapText="1"/>
    </xf>
    <xf numFmtId="0" fontId="0" fillId="40" borderId="0" xfId="0" applyFill="1"/>
    <xf numFmtId="0" fontId="0" fillId="0" borderId="4" xfId="0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0" fillId="41" borderId="0" xfId="0" applyFill="1"/>
    <xf numFmtId="2" fontId="0" fillId="40" borderId="0" xfId="0" applyNumberFormat="1" applyFill="1"/>
    <xf numFmtId="0" fontId="10" fillId="0" borderId="0" xfId="47"/>
    <xf numFmtId="0" fontId="24" fillId="42" borderId="0" xfId="47" applyFont="1" applyFill="1" applyAlignment="1">
      <alignment wrapText="1"/>
    </xf>
    <xf numFmtId="0" fontId="26" fillId="42" borderId="0" xfId="47" applyFont="1" applyFill="1"/>
    <xf numFmtId="0" fontId="27" fillId="42" borderId="0" xfId="47" applyFont="1" applyFill="1"/>
    <xf numFmtId="0" fontId="28" fillId="42" borderId="0" xfId="47" applyFont="1" applyFill="1" applyAlignment="1">
      <alignment horizontal="center"/>
    </xf>
    <xf numFmtId="0" fontId="30" fillId="42" borderId="0" xfId="47" applyFont="1" applyFill="1" applyAlignment="1">
      <alignment wrapText="1"/>
    </xf>
    <xf numFmtId="0" fontId="30" fillId="42" borderId="0" xfId="47" applyFont="1" applyFill="1" applyAlignment="1">
      <alignment horizontal="center"/>
    </xf>
    <xf numFmtId="0" fontId="30" fillId="42" borderId="0" xfId="47" applyFont="1" applyFill="1" applyAlignment="1">
      <alignment horizontal="center" wrapText="1"/>
    </xf>
    <xf numFmtId="0" fontId="30" fillId="42" borderId="0" xfId="47" applyFont="1" applyFill="1"/>
    <xf numFmtId="0" fontId="26" fillId="42" borderId="0" xfId="47" applyFont="1" applyFill="1" applyAlignment="1">
      <alignment horizontal="center"/>
    </xf>
    <xf numFmtId="0" fontId="28" fillId="42" borderId="0" xfId="47" applyFont="1" applyFill="1"/>
    <xf numFmtId="167" fontId="28" fillId="43" borderId="0" xfId="47" applyNumberFormat="1" applyFont="1" applyFill="1" applyAlignment="1">
      <alignment horizontal="center"/>
    </xf>
    <xf numFmtId="166" fontId="28" fillId="42" borderId="0" xfId="47" applyNumberFormat="1" applyFont="1" applyFill="1" applyAlignment="1">
      <alignment horizontal="center"/>
    </xf>
    <xf numFmtId="166" fontId="31" fillId="42" borderId="0" xfId="47" applyNumberFormat="1" applyFont="1" applyFill="1" applyAlignment="1">
      <alignment horizontal="center"/>
    </xf>
    <xf numFmtId="166" fontId="26" fillId="42" borderId="0" xfId="47" applyNumberFormat="1" applyFont="1" applyFill="1" applyAlignment="1">
      <alignment horizontal="center"/>
    </xf>
    <xf numFmtId="168" fontId="28" fillId="42" borderId="0" xfId="48" applyNumberFormat="1" applyFont="1" applyFill="1"/>
    <xf numFmtId="166" fontId="28" fillId="42" borderId="0" xfId="47" applyNumberFormat="1" applyFont="1" applyFill="1"/>
    <xf numFmtId="164" fontId="28" fillId="43" borderId="0" xfId="47" applyNumberFormat="1" applyFont="1" applyFill="1" applyAlignment="1">
      <alignment horizontal="center"/>
    </xf>
    <xf numFmtId="0" fontId="28" fillId="43" borderId="0" xfId="47" applyFont="1" applyFill="1" applyAlignment="1">
      <alignment horizontal="center"/>
    </xf>
    <xf numFmtId="165" fontId="30" fillId="42" borderId="0" xfId="47" applyNumberFormat="1" applyFont="1" applyFill="1" applyAlignment="1">
      <alignment horizontal="center"/>
    </xf>
    <xf numFmtId="166" fontId="30" fillId="42" borderId="0" xfId="47" applyNumberFormat="1" applyFont="1" applyFill="1" applyAlignment="1">
      <alignment horizontal="center"/>
    </xf>
    <xf numFmtId="2" fontId="32" fillId="42" borderId="0" xfId="47" applyNumberFormat="1" applyFont="1" applyFill="1"/>
    <xf numFmtId="166" fontId="26" fillId="42" borderId="0" xfId="47" applyNumberFormat="1" applyFont="1" applyFill="1"/>
    <xf numFmtId="0" fontId="28" fillId="43" borderId="0" xfId="47" applyFont="1" applyFill="1"/>
    <xf numFmtId="169" fontId="26" fillId="42" borderId="0" xfId="49" applyNumberFormat="1" applyFont="1" applyFill="1"/>
    <xf numFmtId="2" fontId="28" fillId="43" borderId="0" xfId="47" applyNumberFormat="1" applyFont="1" applyFill="1"/>
    <xf numFmtId="3" fontId="26" fillId="42" borderId="0" xfId="47" applyNumberFormat="1" applyFont="1" applyFill="1"/>
    <xf numFmtId="0" fontId="26" fillId="43" borderId="0" xfId="47" applyFont="1" applyFill="1"/>
    <xf numFmtId="2" fontId="28" fillId="42" borderId="0" xfId="47" applyNumberFormat="1" applyFont="1" applyFill="1"/>
    <xf numFmtId="165" fontId="26" fillId="42" borderId="0" xfId="47" applyNumberFormat="1" applyFont="1" applyFill="1"/>
    <xf numFmtId="1" fontId="26" fillId="42" borderId="0" xfId="47" applyNumberFormat="1" applyFont="1" applyFill="1"/>
    <xf numFmtId="2" fontId="26" fillId="42" borderId="0" xfId="47" applyNumberFormat="1" applyFont="1" applyFill="1"/>
    <xf numFmtId="0" fontId="10" fillId="42" borderId="0" xfId="47" applyFill="1"/>
    <xf numFmtId="0" fontId="19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/>
    </xf>
    <xf numFmtId="165" fontId="19" fillId="0" borderId="5" xfId="0" applyNumberFormat="1" applyFont="1" applyBorder="1" applyAlignment="1">
      <alignment horizontal="center" vertical="center"/>
    </xf>
    <xf numFmtId="170" fontId="19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17" fillId="0" borderId="5" xfId="0" applyFont="1" applyBorder="1" applyAlignment="1">
      <alignment horizontal="center"/>
    </xf>
    <xf numFmtId="166" fontId="17" fillId="0" borderId="5" xfId="0" applyNumberFormat="1" applyFont="1" applyBorder="1" applyAlignment="1">
      <alignment horizontal="center"/>
    </xf>
    <xf numFmtId="166" fontId="23" fillId="0" borderId="5" xfId="0" applyNumberFormat="1" applyFont="1" applyBorder="1" applyAlignment="1">
      <alignment horizontal="center"/>
    </xf>
    <xf numFmtId="165" fontId="17" fillId="0" borderId="5" xfId="0" applyNumberFormat="1" applyFont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wrapText="1"/>
    </xf>
    <xf numFmtId="0" fontId="20" fillId="0" borderId="0" xfId="0" applyFont="1" applyAlignment="1">
      <alignment horizontal="center"/>
    </xf>
    <xf numFmtId="0" fontId="19" fillId="0" borderId="5" xfId="0" applyFont="1" applyBorder="1" applyAlignment="1">
      <alignment vertical="center" wrapText="1"/>
    </xf>
    <xf numFmtId="49" fontId="18" fillId="0" borderId="5" xfId="0" applyNumberFormat="1" applyFont="1" applyBorder="1" applyAlignment="1">
      <alignment vertical="center" wrapText="1"/>
    </xf>
    <xf numFmtId="170" fontId="19" fillId="0" borderId="4" xfId="0" applyNumberFormat="1" applyFont="1" applyBorder="1" applyAlignment="1">
      <alignment horizontal="center" vertical="center"/>
    </xf>
    <xf numFmtId="0" fontId="7" fillId="0" borderId="0" xfId="0" applyFont="1" applyAlignment="1">
      <alignment wrapText="1"/>
    </xf>
    <xf numFmtId="0" fontId="18" fillId="39" borderId="5" xfId="0" applyFont="1" applyFill="1" applyBorder="1" applyAlignment="1">
      <alignment vertical="center" wrapText="1"/>
    </xf>
    <xf numFmtId="4" fontId="19" fillId="0" borderId="5" xfId="0" applyNumberFormat="1" applyFont="1" applyBorder="1" applyAlignment="1">
      <alignment horizontal="center" vertical="center"/>
    </xf>
    <xf numFmtId="0" fontId="0" fillId="44" borderId="4" xfId="0" applyFill="1" applyBorder="1"/>
    <xf numFmtId="0" fontId="7" fillId="0" borderId="4" xfId="0" applyFont="1" applyBorder="1"/>
    <xf numFmtId="166" fontId="17" fillId="0" borderId="4" xfId="0" applyNumberFormat="1" applyFont="1" applyBorder="1" applyAlignment="1">
      <alignment horizontal="center"/>
    </xf>
    <xf numFmtId="2" fontId="26" fillId="43" borderId="0" xfId="47" applyNumberFormat="1" applyFont="1" applyFill="1"/>
    <xf numFmtId="0" fontId="0" fillId="45" borderId="4" xfId="0" applyFill="1" applyBorder="1"/>
    <xf numFmtId="0" fontId="0" fillId="47" borderId="4" xfId="0" applyFill="1" applyBorder="1"/>
    <xf numFmtId="0" fontId="34" fillId="48" borderId="14" xfId="50" applyFont="1" applyFill="1" applyBorder="1" applyAlignment="1">
      <alignment horizontal="left" vertical="center" wrapText="1"/>
    </xf>
    <xf numFmtId="1" fontId="35" fillId="49" borderId="15" xfId="50" applyNumberFormat="1" applyFont="1" applyFill="1" applyBorder="1" applyAlignment="1">
      <alignment horizontal="left" vertical="center" wrapText="1"/>
    </xf>
    <xf numFmtId="0" fontId="34" fillId="48" borderId="16" xfId="50" applyFont="1" applyFill="1" applyBorder="1" applyAlignment="1">
      <alignment horizontal="left" vertical="center" wrapText="1"/>
    </xf>
    <xf numFmtId="1" fontId="35" fillId="49" borderId="17" xfId="50" applyNumberFormat="1" applyFont="1" applyFill="1" applyBorder="1" applyAlignment="1">
      <alignment horizontal="left" vertical="center" wrapText="1"/>
    </xf>
    <xf numFmtId="0" fontId="34" fillId="48" borderId="18" xfId="50" applyFont="1" applyFill="1" applyBorder="1" applyAlignment="1">
      <alignment horizontal="left" vertical="center" wrapText="1"/>
    </xf>
    <xf numFmtId="0" fontId="35" fillId="49" borderId="19" xfId="50" applyFont="1" applyFill="1" applyBorder="1" applyAlignment="1">
      <alignment horizontal="left" vertical="center"/>
    </xf>
    <xf numFmtId="0" fontId="36" fillId="50" borderId="4" xfId="47" applyFont="1" applyFill="1" applyBorder="1" applyAlignment="1">
      <alignment horizontal="center" vertical="center"/>
    </xf>
    <xf numFmtId="0" fontId="36" fillId="51" borderId="4" xfId="47" applyFont="1" applyFill="1" applyBorder="1" applyAlignment="1">
      <alignment horizontal="center" vertical="center"/>
    </xf>
    <xf numFmtId="0" fontId="38" fillId="48" borderId="16" xfId="47" applyFont="1" applyFill="1" applyBorder="1" applyAlignment="1">
      <alignment horizontal="center" vertical="center" wrapText="1"/>
    </xf>
    <xf numFmtId="0" fontId="38" fillId="48" borderId="4" xfId="47" applyFont="1" applyFill="1" applyBorder="1" applyAlignment="1">
      <alignment horizontal="center" vertical="center" wrapText="1"/>
    </xf>
    <xf numFmtId="0" fontId="38" fillId="48" borderId="17" xfId="47" applyFont="1" applyFill="1" applyBorder="1" applyAlignment="1">
      <alignment horizontal="center" vertical="center" wrapText="1"/>
    </xf>
    <xf numFmtId="0" fontId="35" fillId="53" borderId="16" xfId="47" applyFont="1" applyFill="1" applyBorder="1" applyAlignment="1">
      <alignment horizontal="left" vertical="center"/>
    </xf>
    <xf numFmtId="2" fontId="35" fillId="49" borderId="4" xfId="47" applyNumberFormat="1" applyFont="1" applyFill="1" applyBorder="1" applyAlignment="1">
      <alignment horizontal="right" vertical="center"/>
    </xf>
    <xf numFmtId="0" fontId="35" fillId="53" borderId="4" xfId="47" applyFont="1" applyFill="1" applyBorder="1" applyAlignment="1">
      <alignment horizontal="left" vertical="center"/>
    </xf>
    <xf numFmtId="0" fontId="35" fillId="53" borderId="17" xfId="47" applyFont="1" applyFill="1" applyBorder="1" applyAlignment="1">
      <alignment horizontal="center" vertical="center"/>
    </xf>
    <xf numFmtId="165" fontId="35" fillId="49" borderId="4" xfId="47" applyNumberFormat="1" applyFont="1" applyFill="1" applyBorder="1" applyAlignment="1">
      <alignment horizontal="right" vertical="center"/>
    </xf>
    <xf numFmtId="0" fontId="0" fillId="49" borderId="4" xfId="0" applyFill="1" applyBorder="1" applyAlignment="1">
      <alignment horizontal="center" vertical="center"/>
    </xf>
    <xf numFmtId="0" fontId="0" fillId="0" borderId="17" xfId="0" applyBorder="1"/>
    <xf numFmtId="0" fontId="35" fillId="53" borderId="18" xfId="47" applyFont="1" applyFill="1" applyBorder="1" applyAlignment="1">
      <alignment horizontal="left" vertical="center"/>
    </xf>
    <xf numFmtId="165" fontId="36" fillId="50" borderId="4" xfId="47" applyNumberFormat="1" applyFont="1" applyFill="1" applyBorder="1" applyAlignment="1">
      <alignment horizontal="center" vertical="center"/>
    </xf>
    <xf numFmtId="0" fontId="35" fillId="53" borderId="21" xfId="47" applyFont="1" applyFill="1" applyBorder="1" applyAlignment="1">
      <alignment horizontal="left" vertical="center"/>
    </xf>
    <xf numFmtId="0" fontId="35" fillId="53" borderId="21" xfId="47" applyFont="1" applyFill="1" applyBorder="1" applyAlignment="1">
      <alignment horizontal="left" vertical="center" wrapText="1"/>
    </xf>
    <xf numFmtId="0" fontId="39" fillId="53" borderId="0" xfId="0" applyFont="1" applyFill="1" applyAlignment="1">
      <alignment horizontal="center" vertical="center" wrapText="1"/>
    </xf>
    <xf numFmtId="0" fontId="40" fillId="48" borderId="22" xfId="47" applyFont="1" applyFill="1" applyBorder="1" applyAlignment="1">
      <alignment horizontal="center" vertical="center" wrapText="1"/>
    </xf>
    <xf numFmtId="0" fontId="40" fillId="48" borderId="23" xfId="47" applyFont="1" applyFill="1" applyBorder="1" applyAlignment="1">
      <alignment horizontal="center" vertical="center" wrapText="1"/>
    </xf>
    <xf numFmtId="0" fontId="40" fillId="48" borderId="24" xfId="47" applyFont="1" applyFill="1" applyBorder="1" applyAlignment="1">
      <alignment horizontal="center" vertical="center" wrapText="1"/>
    </xf>
    <xf numFmtId="167" fontId="40" fillId="48" borderId="23" xfId="47" applyNumberFormat="1" applyFont="1" applyFill="1" applyBorder="1" applyAlignment="1">
      <alignment horizontal="center" vertical="center" wrapText="1"/>
    </xf>
    <xf numFmtId="167" fontId="40" fillId="48" borderId="24" xfId="47" applyNumberFormat="1" applyFont="1" applyFill="1" applyBorder="1" applyAlignment="1">
      <alignment horizontal="center" vertical="center" wrapText="1"/>
    </xf>
    <xf numFmtId="0" fontId="38" fillId="48" borderId="0" xfId="0" applyFont="1" applyFill="1" applyAlignment="1">
      <alignment horizontal="center" vertical="center" wrapText="1"/>
    </xf>
    <xf numFmtId="0" fontId="42" fillId="53" borderId="16" xfId="47" applyFont="1" applyFill="1" applyBorder="1" applyAlignment="1">
      <alignment horizontal="left" vertical="center"/>
    </xf>
    <xf numFmtId="0" fontId="42" fillId="53" borderId="4" xfId="47" applyFont="1" applyFill="1" applyBorder="1" applyAlignment="1">
      <alignment horizontal="left" vertical="center"/>
    </xf>
    <xf numFmtId="0" fontId="42" fillId="53" borderId="4" xfId="47" applyFont="1" applyFill="1" applyBorder="1" applyAlignment="1">
      <alignment horizontal="center" vertical="center"/>
    </xf>
    <xf numFmtId="2" fontId="36" fillId="50" borderId="4" xfId="47" applyNumberFormat="1" applyFont="1" applyFill="1" applyBorder="1" applyAlignment="1">
      <alignment horizontal="center" vertical="center"/>
    </xf>
    <xf numFmtId="2" fontId="42" fillId="53" borderId="16" xfId="47" applyNumberFormat="1" applyFont="1" applyFill="1" applyBorder="1" applyAlignment="1">
      <alignment horizontal="center" vertical="center"/>
    </xf>
    <xf numFmtId="10" fontId="42" fillId="53" borderId="4" xfId="47" applyNumberFormat="1" applyFont="1" applyFill="1" applyBorder="1" applyAlignment="1">
      <alignment horizontal="center" vertical="center"/>
    </xf>
    <xf numFmtId="2" fontId="42" fillId="50" borderId="4" xfId="47" applyNumberFormat="1" applyFont="1" applyFill="1" applyBorder="1" applyAlignment="1">
      <alignment horizontal="center" vertical="center"/>
    </xf>
    <xf numFmtId="2" fontId="42" fillId="53" borderId="4" xfId="47" applyNumberFormat="1" applyFont="1" applyFill="1" applyBorder="1" applyAlignment="1">
      <alignment horizontal="center" vertical="center"/>
    </xf>
    <xf numFmtId="2" fontId="42" fillId="53" borderId="17" xfId="47" applyNumberFormat="1" applyFont="1" applyFill="1" applyBorder="1" applyAlignment="1">
      <alignment horizontal="center" vertical="center"/>
    </xf>
    <xf numFmtId="167" fontId="42" fillId="53" borderId="4" xfId="47" applyNumberFormat="1" applyFont="1" applyFill="1" applyBorder="1" applyAlignment="1">
      <alignment horizontal="center" vertical="center"/>
    </xf>
    <xf numFmtId="167" fontId="42" fillId="45" borderId="4" xfId="47" applyNumberFormat="1" applyFont="1" applyFill="1" applyBorder="1" applyAlignment="1">
      <alignment horizontal="center" vertical="center"/>
    </xf>
    <xf numFmtId="167" fontId="43" fillId="54" borderId="25" xfId="47" applyNumberFormat="1" applyFont="1" applyFill="1" applyBorder="1" applyAlignment="1">
      <alignment horizontal="center"/>
    </xf>
    <xf numFmtId="167" fontId="43" fillId="54" borderId="26" xfId="47" applyNumberFormat="1" applyFont="1" applyFill="1" applyBorder="1" applyAlignment="1">
      <alignment horizontal="center"/>
    </xf>
    <xf numFmtId="166" fontId="36" fillId="50" borderId="4" xfId="47" applyNumberFormat="1" applyFont="1" applyFill="1" applyBorder="1" applyAlignment="1">
      <alignment horizontal="center" vertical="center"/>
    </xf>
    <xf numFmtId="171" fontId="40" fillId="53" borderId="4" xfId="47" applyNumberFormat="1" applyFont="1" applyFill="1" applyBorder="1" applyAlignment="1">
      <alignment horizontal="center" vertical="center"/>
    </xf>
    <xf numFmtId="0" fontId="42" fillId="53" borderId="16" xfId="47" applyFont="1" applyFill="1" applyBorder="1" applyAlignment="1">
      <alignment horizontal="center" vertical="center"/>
    </xf>
    <xf numFmtId="1" fontId="0" fillId="0" borderId="0" xfId="0" applyNumberFormat="1"/>
    <xf numFmtId="2" fontId="35" fillId="44" borderId="4" xfId="0" applyNumberFormat="1" applyFont="1" applyFill="1" applyBorder="1" applyAlignment="1">
      <alignment horizontal="center" vertical="center"/>
    </xf>
    <xf numFmtId="2" fontId="35" fillId="50" borderId="4" xfId="0" applyNumberFormat="1" applyFont="1" applyFill="1" applyBorder="1" applyAlignment="1">
      <alignment horizontal="center" vertical="center"/>
    </xf>
    <xf numFmtId="2" fontId="42" fillId="53" borderId="27" xfId="47" applyNumberFormat="1" applyFont="1" applyFill="1" applyBorder="1" applyAlignment="1">
      <alignment vertical="center"/>
    </xf>
    <xf numFmtId="10" fontId="42" fillId="53" borderId="4" xfId="49" applyNumberFormat="1" applyFont="1" applyFill="1" applyBorder="1" applyAlignment="1">
      <alignment horizontal="center" vertical="center"/>
    </xf>
    <xf numFmtId="2" fontId="42" fillId="51" borderId="4" xfId="47" applyNumberFormat="1" applyFont="1" applyFill="1" applyBorder="1" applyAlignment="1">
      <alignment horizontal="center" vertical="center"/>
    </xf>
    <xf numFmtId="2" fontId="42" fillId="51" borderId="17" xfId="47" applyNumberFormat="1" applyFont="1" applyFill="1" applyBorder="1" applyAlignment="1">
      <alignment horizontal="center" vertical="center"/>
    </xf>
    <xf numFmtId="167" fontId="42" fillId="51" borderId="4" xfId="47" applyNumberFormat="1" applyFont="1" applyFill="1" applyBorder="1" applyAlignment="1">
      <alignment horizontal="center" vertical="center"/>
    </xf>
    <xf numFmtId="167" fontId="42" fillId="53" borderId="4" xfId="49" applyNumberFormat="1" applyFont="1" applyFill="1" applyBorder="1" applyAlignment="1">
      <alignment horizontal="center" vertical="center"/>
    </xf>
    <xf numFmtId="167" fontId="42" fillId="53" borderId="17" xfId="47" applyNumberFormat="1" applyFont="1" applyFill="1" applyBorder="1" applyAlignment="1">
      <alignment horizontal="center" vertical="center"/>
    </xf>
    <xf numFmtId="0" fontId="44" fillId="53" borderId="28" xfId="47" applyFont="1" applyFill="1" applyBorder="1" applyAlignment="1">
      <alignment horizontal="left" vertical="center"/>
    </xf>
    <xf numFmtId="0" fontId="42" fillId="53" borderId="29" xfId="47" applyFont="1" applyFill="1" applyBorder="1" applyAlignment="1">
      <alignment horizontal="center" vertical="center"/>
    </xf>
    <xf numFmtId="0" fontId="42" fillId="53" borderId="30" xfId="47" applyFont="1" applyFill="1" applyBorder="1" applyAlignment="1">
      <alignment horizontal="center" vertical="center"/>
    </xf>
    <xf numFmtId="0" fontId="42" fillId="53" borderId="28" xfId="47" applyFont="1" applyFill="1" applyBorder="1" applyAlignment="1">
      <alignment horizontal="center" vertical="center"/>
    </xf>
    <xf numFmtId="167" fontId="42" fillId="53" borderId="29" xfId="47" applyNumberFormat="1" applyFont="1" applyFill="1" applyBorder="1" applyAlignment="1">
      <alignment horizontal="center" vertical="center"/>
    </xf>
    <xf numFmtId="167" fontId="42" fillId="53" borderId="30" xfId="47" applyNumberFormat="1" applyFont="1" applyFill="1" applyBorder="1" applyAlignment="1">
      <alignment horizontal="center" vertical="center"/>
    </xf>
    <xf numFmtId="0" fontId="43" fillId="0" borderId="0" xfId="47" applyFont="1"/>
    <xf numFmtId="0" fontId="40" fillId="48" borderId="22" xfId="0" applyFont="1" applyFill="1" applyBorder="1" applyAlignment="1">
      <alignment horizontal="center" vertical="center" wrapText="1"/>
    </xf>
    <xf numFmtId="0" fontId="40" fillId="48" borderId="23" xfId="0" applyFont="1" applyFill="1" applyBorder="1" applyAlignment="1">
      <alignment horizontal="center" vertical="center" wrapText="1"/>
    </xf>
    <xf numFmtId="0" fontId="40" fillId="48" borderId="24" xfId="0" applyFont="1" applyFill="1" applyBorder="1" applyAlignment="1">
      <alignment horizontal="center" vertical="center" wrapText="1"/>
    </xf>
    <xf numFmtId="0" fontId="42" fillId="53" borderId="16" xfId="0" applyFont="1" applyFill="1" applyBorder="1" applyAlignment="1">
      <alignment horizontal="left" vertical="center"/>
    </xf>
    <xf numFmtId="2" fontId="42" fillId="51" borderId="4" xfId="0" applyNumberFormat="1" applyFont="1" applyFill="1" applyBorder="1" applyAlignment="1">
      <alignment horizontal="right" vertical="center"/>
    </xf>
    <xf numFmtId="0" fontId="42" fillId="53" borderId="4" xfId="0" applyFont="1" applyFill="1" applyBorder="1" applyAlignment="1">
      <alignment horizontal="left" vertical="center"/>
    </xf>
    <xf numFmtId="166" fontId="42" fillId="53" borderId="4" xfId="0" applyNumberFormat="1" applyFont="1" applyFill="1" applyBorder="1" applyAlignment="1">
      <alignment horizontal="center" vertical="center"/>
    </xf>
    <xf numFmtId="0" fontId="42" fillId="53" borderId="17" xfId="0" applyFont="1" applyFill="1" applyBorder="1" applyAlignment="1">
      <alignment horizontal="center" vertical="center"/>
    </xf>
    <xf numFmtId="1" fontId="43" fillId="0" borderId="0" xfId="47" applyNumberFormat="1" applyFont="1"/>
    <xf numFmtId="165" fontId="43" fillId="0" borderId="0" xfId="47" applyNumberFormat="1" applyFont="1"/>
    <xf numFmtId="165" fontId="42" fillId="51" borderId="4" xfId="0" applyNumberFormat="1" applyFont="1" applyFill="1" applyBorder="1" applyAlignment="1">
      <alignment horizontal="right" vertical="center"/>
    </xf>
    <xf numFmtId="165" fontId="42" fillId="53" borderId="4" xfId="0" applyNumberFormat="1" applyFont="1" applyFill="1" applyBorder="1" applyAlignment="1">
      <alignment horizontal="center" vertical="center"/>
    </xf>
    <xf numFmtId="0" fontId="42" fillId="53" borderId="18" xfId="0" applyFont="1" applyFill="1" applyBorder="1" applyAlignment="1">
      <alignment horizontal="left" vertical="center"/>
    </xf>
    <xf numFmtId="2" fontId="42" fillId="51" borderId="21" xfId="0" applyNumberFormat="1" applyFont="1" applyFill="1" applyBorder="1" applyAlignment="1">
      <alignment horizontal="right" vertical="center"/>
    </xf>
    <xf numFmtId="0" fontId="42" fillId="53" borderId="21" xfId="0" applyFont="1" applyFill="1" applyBorder="1" applyAlignment="1">
      <alignment horizontal="left" vertical="center"/>
    </xf>
    <xf numFmtId="165" fontId="42" fillId="53" borderId="21" xfId="0" applyNumberFormat="1" applyFont="1" applyFill="1" applyBorder="1" applyAlignment="1">
      <alignment horizontal="center" vertical="center"/>
    </xf>
    <xf numFmtId="0" fontId="42" fillId="53" borderId="19" xfId="0" applyFont="1" applyFill="1" applyBorder="1" applyAlignment="1">
      <alignment horizontal="center" vertical="center"/>
    </xf>
    <xf numFmtId="0" fontId="45" fillId="0" borderId="0" xfId="47" applyFont="1"/>
    <xf numFmtId="2" fontId="43" fillId="54" borderId="0" xfId="47" applyNumberFormat="1" applyFont="1" applyFill="1"/>
    <xf numFmtId="0" fontId="46" fillId="0" borderId="0" xfId="47" applyFont="1"/>
    <xf numFmtId="0" fontId="47" fillId="49" borderId="4" xfId="47" applyFont="1" applyFill="1" applyBorder="1"/>
    <xf numFmtId="0" fontId="43" fillId="0" borderId="0" xfId="47" quotePrefix="1" applyFont="1"/>
    <xf numFmtId="165" fontId="45" fillId="55" borderId="4" xfId="47" applyNumberFormat="1" applyFont="1" applyFill="1" applyBorder="1"/>
    <xf numFmtId="165" fontId="46" fillId="54" borderId="0" xfId="47" applyNumberFormat="1" applyFont="1" applyFill="1"/>
    <xf numFmtId="0" fontId="43" fillId="0" borderId="0" xfId="47" applyFont="1" applyAlignment="1">
      <alignment horizontal="right"/>
    </xf>
    <xf numFmtId="0" fontId="43" fillId="0" borderId="31" xfId="47" applyFont="1" applyBorder="1"/>
    <xf numFmtId="0" fontId="43" fillId="54" borderId="0" xfId="47" applyFont="1" applyFill="1"/>
    <xf numFmtId="2" fontId="45" fillId="54" borderId="0" xfId="47" applyNumberFormat="1" applyFont="1" applyFill="1"/>
    <xf numFmtId="0" fontId="43" fillId="0" borderId="0" xfId="47" quotePrefix="1" applyFont="1" applyAlignment="1">
      <alignment horizontal="right"/>
    </xf>
    <xf numFmtId="169" fontId="43" fillId="0" borderId="0" xfId="47" applyNumberFormat="1" applyFont="1"/>
    <xf numFmtId="165" fontId="43" fillId="54" borderId="0" xfId="47" applyNumberFormat="1" applyFont="1" applyFill="1" applyAlignment="1">
      <alignment horizontal="left"/>
    </xf>
    <xf numFmtId="0" fontId="43" fillId="0" borderId="0" xfId="47" applyFont="1" applyAlignment="1">
      <alignment horizontal="left"/>
    </xf>
    <xf numFmtId="165" fontId="45" fillId="49" borderId="4" xfId="47" applyNumberFormat="1" applyFont="1" applyFill="1" applyBorder="1" applyAlignment="1">
      <alignment horizontal="left"/>
    </xf>
    <xf numFmtId="1" fontId="45" fillId="55" borderId="4" xfId="47" applyNumberFormat="1" applyFont="1" applyFill="1" applyBorder="1"/>
    <xf numFmtId="172" fontId="43" fillId="0" borderId="0" xfId="48" applyNumberFormat="1" applyFont="1"/>
    <xf numFmtId="167" fontId="45" fillId="55" borderId="4" xfId="47" applyNumberFormat="1" applyFont="1" applyFill="1" applyBorder="1"/>
    <xf numFmtId="165" fontId="43" fillId="54" borderId="0" xfId="47" applyNumberFormat="1" applyFont="1" applyFill="1"/>
    <xf numFmtId="0" fontId="48" fillId="0" borderId="0" xfId="47" applyFont="1"/>
    <xf numFmtId="0" fontId="43" fillId="0" borderId="14" xfId="47" applyFont="1" applyBorder="1"/>
    <xf numFmtId="9" fontId="43" fillId="0" borderId="20" xfId="47" applyNumberFormat="1" applyFont="1" applyBorder="1"/>
    <xf numFmtId="168" fontId="43" fillId="0" borderId="20" xfId="47" applyNumberFormat="1" applyFont="1" applyBorder="1"/>
    <xf numFmtId="0" fontId="43" fillId="0" borderId="15" xfId="47" applyFont="1" applyBorder="1"/>
    <xf numFmtId="0" fontId="43" fillId="0" borderId="18" xfId="47" applyFont="1" applyBorder="1"/>
    <xf numFmtId="0" fontId="43" fillId="0" borderId="21" xfId="47" applyFont="1" applyBorder="1"/>
    <xf numFmtId="168" fontId="43" fillId="0" borderId="21" xfId="47" applyNumberFormat="1" applyFont="1" applyBorder="1"/>
    <xf numFmtId="0" fontId="43" fillId="0" borderId="19" xfId="47" applyFont="1" applyBorder="1"/>
    <xf numFmtId="0" fontId="48" fillId="55" borderId="4" xfId="47" applyFont="1" applyFill="1" applyBorder="1"/>
    <xf numFmtId="172" fontId="49" fillId="0" borderId="0" xfId="51" applyNumberFormat="1" applyFont="1"/>
    <xf numFmtId="0" fontId="49" fillId="0" borderId="0" xfId="47" applyFont="1"/>
    <xf numFmtId="173" fontId="43" fillId="0" borderId="0" xfId="47" applyNumberFormat="1" applyFont="1"/>
    <xf numFmtId="167" fontId="43" fillId="0" borderId="0" xfId="47" applyNumberFormat="1" applyFont="1"/>
    <xf numFmtId="2" fontId="43" fillId="0" borderId="0" xfId="47" applyNumberFormat="1" applyFont="1"/>
    <xf numFmtId="0" fontId="35" fillId="53" borderId="0" xfId="0" applyFont="1" applyFill="1" applyAlignment="1">
      <alignment horizontal="center" vertical="center"/>
    </xf>
    <xf numFmtId="0" fontId="38" fillId="48" borderId="16" xfId="0" applyFont="1" applyFill="1" applyBorder="1" applyAlignment="1">
      <alignment horizontal="center" vertical="center" wrapText="1"/>
    </xf>
    <xf numFmtId="0" fontId="38" fillId="48" borderId="4" xfId="0" applyFont="1" applyFill="1" applyBorder="1" applyAlignment="1">
      <alignment horizontal="center" vertical="center" wrapText="1"/>
    </xf>
    <xf numFmtId="0" fontId="38" fillId="48" borderId="17" xfId="0" applyFont="1" applyFill="1" applyBorder="1" applyAlignment="1">
      <alignment horizontal="center" vertical="center" wrapText="1"/>
    </xf>
    <xf numFmtId="0" fontId="35" fillId="53" borderId="16" xfId="0" applyFont="1" applyFill="1" applyBorder="1" applyAlignment="1">
      <alignment horizontal="left" vertical="center"/>
    </xf>
    <xf numFmtId="174" fontId="35" fillId="51" borderId="4" xfId="51" applyNumberFormat="1" applyFont="1" applyFill="1" applyBorder="1" applyAlignment="1">
      <alignment horizontal="center" vertical="center"/>
    </xf>
    <xf numFmtId="0" fontId="35" fillId="53" borderId="4" xfId="0" applyFont="1" applyFill="1" applyBorder="1" applyAlignment="1">
      <alignment horizontal="left" vertical="center"/>
    </xf>
    <xf numFmtId="0" fontId="35" fillId="53" borderId="17" xfId="0" applyFont="1" applyFill="1" applyBorder="1" applyAlignment="1">
      <alignment horizontal="center" vertical="center"/>
    </xf>
    <xf numFmtId="0" fontId="35" fillId="50" borderId="16" xfId="0" applyFont="1" applyFill="1" applyBorder="1" applyAlignment="1">
      <alignment horizontal="center" vertical="center"/>
    </xf>
    <xf numFmtId="165" fontId="35" fillId="53" borderId="4" xfId="0" applyNumberFormat="1" applyFont="1" applyFill="1" applyBorder="1" applyAlignment="1">
      <alignment horizontal="left" vertical="center"/>
    </xf>
    <xf numFmtId="175" fontId="35" fillId="57" borderId="4" xfId="0" applyNumberFormat="1" applyFont="1" applyFill="1" applyBorder="1" applyAlignment="1">
      <alignment horizontal="center" vertical="center"/>
    </xf>
    <xf numFmtId="175" fontId="35" fillId="53" borderId="4" xfId="0" applyNumberFormat="1" applyFont="1" applyFill="1" applyBorder="1" applyAlignment="1">
      <alignment horizontal="center" vertical="center"/>
    </xf>
    <xf numFmtId="0" fontId="35" fillId="53" borderId="17" xfId="0" applyFont="1" applyFill="1" applyBorder="1" applyAlignment="1">
      <alignment horizontal="left" vertical="center"/>
    </xf>
    <xf numFmtId="43" fontId="35" fillId="51" borderId="4" xfId="51" applyFont="1" applyFill="1" applyBorder="1" applyAlignment="1">
      <alignment horizontal="center" vertical="center"/>
    </xf>
    <xf numFmtId="175" fontId="35" fillId="58" borderId="4" xfId="0" applyNumberFormat="1" applyFont="1" applyFill="1" applyBorder="1" applyAlignment="1">
      <alignment horizontal="center" vertical="center"/>
    </xf>
    <xf numFmtId="176" fontId="35" fillId="51" borderId="4" xfId="51" applyNumberFormat="1" applyFont="1" applyFill="1" applyBorder="1" applyAlignment="1">
      <alignment horizontal="center" vertical="center"/>
    </xf>
    <xf numFmtId="177" fontId="35" fillId="51" borderId="4" xfId="51" applyNumberFormat="1" applyFont="1" applyFill="1" applyBorder="1" applyAlignment="1">
      <alignment horizontal="center" vertical="center"/>
    </xf>
    <xf numFmtId="168" fontId="35" fillId="50" borderId="16" xfId="0" applyNumberFormat="1" applyFont="1" applyFill="1" applyBorder="1" applyAlignment="1">
      <alignment horizontal="center" vertical="center"/>
    </xf>
    <xf numFmtId="1" fontId="35" fillId="53" borderId="4" xfId="0" applyNumberFormat="1" applyFont="1" applyFill="1" applyBorder="1" applyAlignment="1">
      <alignment horizontal="center" vertical="center"/>
    </xf>
    <xf numFmtId="172" fontId="35" fillId="51" borderId="4" xfId="51" applyNumberFormat="1" applyFont="1" applyFill="1" applyBorder="1" applyAlignment="1">
      <alignment horizontal="center" vertical="center"/>
    </xf>
    <xf numFmtId="0" fontId="35" fillId="53" borderId="11" xfId="0" applyFont="1" applyFill="1" applyBorder="1" applyAlignment="1">
      <alignment horizontal="center" vertical="center"/>
    </xf>
    <xf numFmtId="0" fontId="35" fillId="53" borderId="35" xfId="0" applyFont="1" applyFill="1" applyBorder="1" applyAlignment="1">
      <alignment horizontal="center" vertical="center"/>
    </xf>
    <xf numFmtId="0" fontId="50" fillId="48" borderId="16" xfId="0" applyFont="1" applyFill="1" applyBorder="1" applyAlignment="1">
      <alignment horizontal="center" vertical="center" wrapText="1"/>
    </xf>
    <xf numFmtId="0" fontId="50" fillId="58" borderId="4" xfId="0" applyFont="1" applyFill="1" applyBorder="1" applyAlignment="1">
      <alignment horizontal="center" vertical="center" wrapText="1"/>
    </xf>
    <xf numFmtId="0" fontId="50" fillId="57" borderId="4" xfId="0" applyFont="1" applyFill="1" applyBorder="1" applyAlignment="1">
      <alignment horizontal="center" vertical="center" wrapText="1"/>
    </xf>
    <xf numFmtId="0" fontId="50" fillId="48" borderId="17" xfId="0" applyFont="1" applyFill="1" applyBorder="1" applyAlignment="1">
      <alignment horizontal="center" vertical="center" wrapText="1"/>
    </xf>
    <xf numFmtId="0" fontId="35" fillId="53" borderId="18" xfId="0" applyFont="1" applyFill="1" applyBorder="1" applyAlignment="1">
      <alignment horizontal="left" vertical="center"/>
    </xf>
    <xf numFmtId="43" fontId="35" fillId="51" borderId="21" xfId="51" applyFont="1" applyFill="1" applyBorder="1" applyAlignment="1">
      <alignment horizontal="center" vertical="center"/>
    </xf>
    <xf numFmtId="0" fontId="35" fillId="53" borderId="21" xfId="0" applyFont="1" applyFill="1" applyBorder="1" applyAlignment="1">
      <alignment horizontal="left" vertical="center"/>
    </xf>
    <xf numFmtId="0" fontId="35" fillId="53" borderId="19" xfId="0" applyFont="1" applyFill="1" applyBorder="1" applyAlignment="1">
      <alignment horizontal="center" vertical="center"/>
    </xf>
    <xf numFmtId="0" fontId="51" fillId="53" borderId="16" xfId="0" applyFont="1" applyFill="1" applyBorder="1" applyAlignment="1">
      <alignment horizontal="left" vertical="center"/>
    </xf>
    <xf numFmtId="175" fontId="51" fillId="58" borderId="4" xfId="0" applyNumberFormat="1" applyFont="1" applyFill="1" applyBorder="1" applyAlignment="1">
      <alignment horizontal="center" vertical="center"/>
    </xf>
    <xf numFmtId="175" fontId="51" fillId="57" borderId="4" xfId="0" applyNumberFormat="1" applyFont="1" applyFill="1" applyBorder="1" applyAlignment="1">
      <alignment horizontal="center" vertical="center"/>
    </xf>
    <xf numFmtId="0" fontId="51" fillId="53" borderId="17" xfId="0" applyFont="1" applyFill="1" applyBorder="1" applyAlignment="1">
      <alignment horizontal="left" vertical="center"/>
    </xf>
    <xf numFmtId="0" fontId="51" fillId="58" borderId="4" xfId="0" applyFont="1" applyFill="1" applyBorder="1" applyAlignment="1">
      <alignment horizontal="center" vertical="center"/>
    </xf>
    <xf numFmtId="0" fontId="51" fillId="57" borderId="4" xfId="0" applyFont="1" applyFill="1" applyBorder="1" applyAlignment="1">
      <alignment horizontal="center" vertical="center"/>
    </xf>
    <xf numFmtId="0" fontId="51" fillId="53" borderId="18" xfId="0" applyFont="1" applyFill="1" applyBorder="1" applyAlignment="1">
      <alignment horizontal="left" vertical="center"/>
    </xf>
    <xf numFmtId="0" fontId="51" fillId="58" borderId="21" xfId="0" applyFont="1" applyFill="1" applyBorder="1" applyAlignment="1">
      <alignment horizontal="center" vertical="center"/>
    </xf>
    <xf numFmtId="0" fontId="51" fillId="57" borderId="21" xfId="0" applyFont="1" applyFill="1" applyBorder="1" applyAlignment="1">
      <alignment horizontal="center" vertical="center"/>
    </xf>
    <xf numFmtId="0" fontId="51" fillId="53" borderId="19" xfId="0" applyFont="1" applyFill="1" applyBorder="1" applyAlignment="1">
      <alignment horizontal="left" vertical="center"/>
    </xf>
    <xf numFmtId="43" fontId="35" fillId="50" borderId="4" xfId="51" applyFont="1" applyFill="1" applyBorder="1" applyAlignment="1">
      <alignment horizontal="center" vertical="center"/>
    </xf>
    <xf numFmtId="177" fontId="35" fillId="51" borderId="21" xfId="51" applyNumberFormat="1" applyFont="1" applyFill="1" applyBorder="1" applyAlignment="1">
      <alignment horizontal="center" vertical="center"/>
    </xf>
    <xf numFmtId="168" fontId="35" fillId="51" borderId="4" xfId="51" applyNumberFormat="1" applyFont="1" applyFill="1" applyBorder="1" applyAlignment="1">
      <alignment horizontal="center" vertical="center"/>
    </xf>
    <xf numFmtId="178" fontId="35" fillId="51" borderId="4" xfId="51" applyNumberFormat="1" applyFont="1" applyFill="1" applyBorder="1" applyAlignment="1">
      <alignment horizontal="center" vertical="center"/>
    </xf>
    <xf numFmtId="9" fontId="35" fillId="49" borderId="4" xfId="52" applyFont="1" applyFill="1" applyBorder="1" applyAlignment="1">
      <alignment horizontal="center" vertical="center"/>
    </xf>
    <xf numFmtId="179" fontId="35" fillId="51" borderId="4" xfId="51" applyNumberFormat="1" applyFont="1" applyFill="1" applyBorder="1" applyAlignment="1">
      <alignment horizontal="center" vertical="center"/>
    </xf>
    <xf numFmtId="9" fontId="36" fillId="50" borderId="4" xfId="52" applyFont="1" applyFill="1" applyBorder="1" applyAlignment="1">
      <alignment horizontal="center" vertical="center"/>
    </xf>
    <xf numFmtId="9" fontId="35" fillId="53" borderId="17" xfId="0" applyNumberFormat="1" applyFont="1" applyFill="1" applyBorder="1" applyAlignment="1">
      <alignment horizontal="center" vertical="center"/>
    </xf>
    <xf numFmtId="0" fontId="38" fillId="53" borderId="16" xfId="0" applyFont="1" applyFill="1" applyBorder="1" applyAlignment="1">
      <alignment horizontal="left" vertical="center"/>
    </xf>
    <xf numFmtId="172" fontId="38" fillId="51" borderId="4" xfId="51" applyNumberFormat="1" applyFont="1" applyFill="1" applyBorder="1" applyAlignment="1">
      <alignment horizontal="center" vertical="center"/>
    </xf>
    <xf numFmtId="179" fontId="35" fillId="59" borderId="4" xfId="51" applyNumberFormat="1" applyFont="1" applyFill="1" applyBorder="1" applyAlignment="1">
      <alignment horizontal="center" vertical="center"/>
    </xf>
    <xf numFmtId="180" fontId="35" fillId="49" borderId="4" xfId="51" applyNumberFormat="1" applyFont="1" applyFill="1" applyBorder="1" applyAlignment="1">
      <alignment horizontal="center" vertical="center"/>
    </xf>
    <xf numFmtId="43" fontId="35" fillId="59" borderId="4" xfId="51" applyFont="1" applyFill="1" applyBorder="1" applyAlignment="1">
      <alignment horizontal="center" vertical="center"/>
    </xf>
    <xf numFmtId="43" fontId="38" fillId="51" borderId="4" xfId="51" applyFont="1" applyFill="1" applyBorder="1" applyAlignment="1">
      <alignment horizontal="center" vertical="center"/>
    </xf>
    <xf numFmtId="0" fontId="35" fillId="53" borderId="17" xfId="0" applyFont="1" applyFill="1" applyBorder="1" applyAlignment="1">
      <alignment horizontal="left" vertical="center" wrapText="1"/>
    </xf>
    <xf numFmtId="172" fontId="35" fillId="51" borderId="21" xfId="51" applyNumberFormat="1" applyFont="1" applyFill="1" applyBorder="1" applyAlignment="1">
      <alignment horizontal="center" vertical="center"/>
    </xf>
    <xf numFmtId="0" fontId="35" fillId="53" borderId="19" xfId="0" applyFont="1" applyFill="1" applyBorder="1" applyAlignment="1">
      <alignment horizontal="left" vertical="center" wrapText="1"/>
    </xf>
    <xf numFmtId="0" fontId="38" fillId="48" borderId="17" xfId="0" applyFont="1" applyFill="1" applyBorder="1" applyAlignment="1">
      <alignment horizontal="left" vertical="center" wrapText="1"/>
    </xf>
    <xf numFmtId="180" fontId="35" fillId="59" borderId="4" xfId="51" applyNumberFormat="1" applyFont="1" applyFill="1" applyBorder="1" applyAlignment="1">
      <alignment horizontal="center" vertical="center"/>
    </xf>
    <xf numFmtId="0" fontId="10" fillId="60" borderId="0" xfId="47" applyFill="1"/>
    <xf numFmtId="179" fontId="35" fillId="49" borderId="4" xfId="51" applyNumberFormat="1" applyFont="1" applyFill="1" applyBorder="1" applyAlignment="1">
      <alignment horizontal="center" vertical="center"/>
    </xf>
    <xf numFmtId="181" fontId="35" fillId="49" borderId="4" xfId="51" applyNumberFormat="1" applyFont="1" applyFill="1" applyBorder="1" applyAlignment="1">
      <alignment horizontal="center" vertical="center"/>
    </xf>
    <xf numFmtId="181" fontId="35" fillId="51" borderId="4" xfId="51" applyNumberFormat="1" applyFont="1" applyFill="1" applyBorder="1" applyAlignment="1">
      <alignment horizontal="center" vertical="center"/>
    </xf>
    <xf numFmtId="181" fontId="35" fillId="51" borderId="21" xfId="51" applyNumberFormat="1" applyFont="1" applyFill="1" applyBorder="1" applyAlignment="1">
      <alignment horizontal="center" vertical="center"/>
    </xf>
    <xf numFmtId="43" fontId="0" fillId="0" borderId="0" xfId="0" applyNumberFormat="1"/>
    <xf numFmtId="0" fontId="20" fillId="60" borderId="0" xfId="47" applyFont="1" applyFill="1" applyAlignment="1">
      <alignment horizontal="center"/>
    </xf>
    <xf numFmtId="0" fontId="10" fillId="60" borderId="4" xfId="47" applyFill="1" applyBorder="1"/>
    <xf numFmtId="180" fontId="35" fillId="51" borderId="4" xfId="51" applyNumberFormat="1" applyFont="1" applyFill="1" applyBorder="1" applyAlignment="1">
      <alignment horizontal="center" vertical="center"/>
    </xf>
    <xf numFmtId="182" fontId="35" fillId="53" borderId="0" xfId="0" applyNumberFormat="1" applyFont="1" applyFill="1" applyAlignment="1">
      <alignment horizontal="center" vertical="center"/>
    </xf>
    <xf numFmtId="180" fontId="35" fillId="51" borderId="21" xfId="51" applyNumberFormat="1" applyFont="1" applyFill="1" applyBorder="1" applyAlignment="1">
      <alignment horizontal="center" vertical="center"/>
    </xf>
    <xf numFmtId="0" fontId="35" fillId="53" borderId="19" xfId="0" applyFont="1" applyFill="1" applyBorder="1" applyAlignment="1">
      <alignment horizontal="left" vertical="center"/>
    </xf>
    <xf numFmtId="0" fontId="38" fillId="42" borderId="4" xfId="47" applyFont="1" applyFill="1" applyBorder="1" applyAlignment="1">
      <alignment horizontal="center"/>
    </xf>
    <xf numFmtId="166" fontId="35" fillId="51" borderId="4" xfId="0" applyNumberFormat="1" applyFont="1" applyFill="1" applyBorder="1" applyAlignment="1">
      <alignment horizontal="right" vertical="center"/>
    </xf>
    <xf numFmtId="182" fontId="35" fillId="53" borderId="17" xfId="0" applyNumberFormat="1" applyFont="1" applyFill="1" applyBorder="1" applyAlignment="1">
      <alignment horizontal="center" vertical="center"/>
    </xf>
    <xf numFmtId="0" fontId="35" fillId="42" borderId="4" xfId="47" applyFont="1" applyFill="1" applyBorder="1" applyAlignment="1">
      <alignment horizontal="center"/>
    </xf>
    <xf numFmtId="0" fontId="35" fillId="42" borderId="5" xfId="47" applyFont="1" applyFill="1" applyBorder="1" applyAlignment="1">
      <alignment horizontal="center"/>
    </xf>
    <xf numFmtId="0" fontId="38" fillId="42" borderId="16" xfId="47" applyFont="1" applyFill="1" applyBorder="1" applyAlignment="1">
      <alignment horizontal="center"/>
    </xf>
    <xf numFmtId="0" fontId="38" fillId="42" borderId="17" xfId="47" applyFont="1" applyFill="1" applyBorder="1" applyAlignment="1">
      <alignment horizontal="center"/>
    </xf>
    <xf numFmtId="2" fontId="35" fillId="51" borderId="4" xfId="0" applyNumberFormat="1" applyFont="1" applyFill="1" applyBorder="1" applyAlignment="1">
      <alignment horizontal="right" vertical="center"/>
    </xf>
    <xf numFmtId="0" fontId="35" fillId="42" borderId="4" xfId="47" applyFont="1" applyFill="1" applyBorder="1" applyAlignment="1">
      <alignment horizontal="left"/>
    </xf>
    <xf numFmtId="166" fontId="35" fillId="42" borderId="4" xfId="47" applyNumberFormat="1" applyFont="1" applyFill="1" applyBorder="1" applyAlignment="1">
      <alignment horizontal="right"/>
    </xf>
    <xf numFmtId="0" fontId="38" fillId="42" borderId="4" xfId="47" applyFont="1" applyFill="1" applyBorder="1" applyAlignment="1">
      <alignment horizontal="right"/>
    </xf>
    <xf numFmtId="0" fontId="38" fillId="42" borderId="4" xfId="47" applyFont="1" applyFill="1" applyBorder="1" applyAlignment="1">
      <alignment horizontal="left"/>
    </xf>
    <xf numFmtId="182" fontId="35" fillId="42" borderId="4" xfId="47" applyNumberFormat="1" applyFont="1" applyFill="1" applyBorder="1" applyAlignment="1">
      <alignment horizontal="right"/>
    </xf>
    <xf numFmtId="0" fontId="35" fillId="42" borderId="5" xfId="47" applyFont="1" applyFill="1" applyBorder="1" applyAlignment="1">
      <alignment horizontal="left"/>
    </xf>
    <xf numFmtId="166" fontId="38" fillId="42" borderId="16" xfId="47" applyNumberFormat="1" applyFont="1" applyFill="1" applyBorder="1" applyAlignment="1">
      <alignment horizontal="right"/>
    </xf>
    <xf numFmtId="0" fontId="38" fillId="42" borderId="17" xfId="47" applyFont="1" applyFill="1" applyBorder="1" applyAlignment="1">
      <alignment horizontal="left"/>
    </xf>
    <xf numFmtId="165" fontId="35" fillId="51" borderId="4" xfId="0" applyNumberFormat="1" applyFont="1" applyFill="1" applyBorder="1" applyAlignment="1">
      <alignment horizontal="right" vertical="center"/>
    </xf>
    <xf numFmtId="167" fontId="35" fillId="53" borderId="17" xfId="0" applyNumberFormat="1" applyFont="1" applyFill="1" applyBorder="1" applyAlignment="1">
      <alignment horizontal="center" vertical="center"/>
    </xf>
    <xf numFmtId="165" fontId="38" fillId="42" borderId="16" xfId="47" applyNumberFormat="1" applyFont="1" applyFill="1" applyBorder="1" applyAlignment="1">
      <alignment horizontal="right"/>
    </xf>
    <xf numFmtId="0" fontId="35" fillId="53" borderId="27" xfId="0" applyFont="1" applyFill="1" applyBorder="1" applyAlignment="1">
      <alignment horizontal="left" vertical="center"/>
    </xf>
    <xf numFmtId="0" fontId="35" fillId="53" borderId="13" xfId="0" applyFont="1" applyFill="1" applyBorder="1" applyAlignment="1">
      <alignment horizontal="left" vertical="center"/>
    </xf>
    <xf numFmtId="183" fontId="35" fillId="53" borderId="17" xfId="0" applyNumberFormat="1" applyFont="1" applyFill="1" applyBorder="1" applyAlignment="1">
      <alignment horizontal="center" vertical="center"/>
    </xf>
    <xf numFmtId="0" fontId="10" fillId="60" borderId="18" xfId="47" applyFill="1" applyBorder="1"/>
    <xf numFmtId="0" fontId="0" fillId="0" borderId="21" xfId="0" applyBorder="1"/>
    <xf numFmtId="0" fontId="0" fillId="0" borderId="19" xfId="0" applyBorder="1"/>
    <xf numFmtId="167" fontId="35" fillId="51" borderId="4" xfId="0" applyNumberFormat="1" applyFont="1" applyFill="1" applyBorder="1" applyAlignment="1">
      <alignment horizontal="right" vertical="center"/>
    </xf>
    <xf numFmtId="167" fontId="35" fillId="53" borderId="38" xfId="0" applyNumberFormat="1" applyFont="1" applyFill="1" applyBorder="1" applyAlignment="1">
      <alignment horizontal="center" vertical="center"/>
    </xf>
    <xf numFmtId="167" fontId="35" fillId="53" borderId="19" xfId="51" applyNumberFormat="1" applyFont="1" applyFill="1" applyBorder="1" applyAlignment="1">
      <alignment horizontal="center" vertical="center"/>
    </xf>
    <xf numFmtId="0" fontId="35" fillId="53" borderId="0" xfId="0" applyFont="1" applyFill="1" applyAlignment="1">
      <alignment horizontal="center" vertical="center" wrapText="1"/>
    </xf>
    <xf numFmtId="1" fontId="35" fillId="53" borderId="17" xfId="0" applyNumberFormat="1" applyFont="1" applyFill="1" applyBorder="1" applyAlignment="1">
      <alignment horizontal="left" vertical="center" wrapText="1"/>
    </xf>
    <xf numFmtId="1" fontId="35" fillId="53" borderId="4" xfId="0" applyNumberFormat="1" applyFont="1" applyFill="1" applyBorder="1" applyAlignment="1">
      <alignment horizontal="left" vertical="center" wrapText="1"/>
    </xf>
    <xf numFmtId="0" fontId="35" fillId="61" borderId="16" xfId="0" applyFont="1" applyFill="1" applyBorder="1" applyAlignment="1">
      <alignment horizontal="left" vertical="center"/>
    </xf>
    <xf numFmtId="0" fontId="35" fillId="61" borderId="17" xfId="0" applyFont="1" applyFill="1" applyBorder="1" applyAlignment="1">
      <alignment horizontal="right" vertical="center"/>
    </xf>
    <xf numFmtId="0" fontId="35" fillId="61" borderId="4" xfId="0" applyFont="1" applyFill="1" applyBorder="1" applyAlignment="1">
      <alignment horizontal="right" vertical="center"/>
    </xf>
    <xf numFmtId="2" fontId="35" fillId="61" borderId="17" xfId="0" applyNumberFormat="1" applyFont="1" applyFill="1" applyBorder="1" applyAlignment="1">
      <alignment horizontal="right" vertical="center"/>
    </xf>
    <xf numFmtId="2" fontId="35" fillId="61" borderId="4" xfId="0" applyNumberFormat="1" applyFont="1" applyFill="1" applyBorder="1" applyAlignment="1">
      <alignment horizontal="right" vertical="center"/>
    </xf>
    <xf numFmtId="165" fontId="38" fillId="61" borderId="4" xfId="0" applyNumberFormat="1" applyFont="1" applyFill="1" applyBorder="1" applyAlignment="1">
      <alignment horizontal="right" vertical="center"/>
    </xf>
    <xf numFmtId="165" fontId="35" fillId="61" borderId="4" xfId="0" applyNumberFormat="1" applyFont="1" applyFill="1" applyBorder="1" applyAlignment="1">
      <alignment horizontal="right" vertical="center"/>
    </xf>
    <xf numFmtId="165" fontId="38" fillId="61" borderId="17" xfId="0" applyNumberFormat="1" applyFont="1" applyFill="1" applyBorder="1" applyAlignment="1">
      <alignment horizontal="right" vertical="center"/>
    </xf>
    <xf numFmtId="2" fontId="35" fillId="61" borderId="17" xfId="51" applyNumberFormat="1" applyFont="1" applyFill="1" applyBorder="1" applyAlignment="1">
      <alignment horizontal="right" vertical="center"/>
    </xf>
    <xf numFmtId="168" fontId="35" fillId="61" borderId="4" xfId="51" applyNumberFormat="1" applyFont="1" applyFill="1" applyBorder="1" applyAlignment="1">
      <alignment horizontal="right" vertical="center"/>
    </xf>
    <xf numFmtId="168" fontId="38" fillId="61" borderId="4" xfId="51" applyNumberFormat="1" applyFont="1" applyFill="1" applyBorder="1" applyAlignment="1">
      <alignment horizontal="right" vertical="center"/>
    </xf>
    <xf numFmtId="168" fontId="35" fillId="61" borderId="17" xfId="51" applyNumberFormat="1" applyFont="1" applyFill="1" applyBorder="1" applyAlignment="1">
      <alignment horizontal="right" vertical="center"/>
    </xf>
    <xf numFmtId="172" fontId="35" fillId="61" borderId="4" xfId="51" applyNumberFormat="1" applyFont="1" applyFill="1" applyBorder="1" applyAlignment="1">
      <alignment horizontal="right" vertical="center"/>
    </xf>
    <xf numFmtId="172" fontId="35" fillId="61" borderId="17" xfId="51" applyNumberFormat="1" applyFont="1" applyFill="1" applyBorder="1" applyAlignment="1">
      <alignment horizontal="right" vertical="center"/>
    </xf>
    <xf numFmtId="0" fontId="55" fillId="62" borderId="16" xfId="0" applyFont="1" applyFill="1" applyBorder="1" applyAlignment="1">
      <alignment horizontal="left" vertical="center"/>
    </xf>
    <xf numFmtId="172" fontId="38" fillId="62" borderId="17" xfId="51" applyNumberFormat="1" applyFont="1" applyFill="1" applyBorder="1" applyAlignment="1">
      <alignment horizontal="right" vertical="center"/>
    </xf>
    <xf numFmtId="0" fontId="55" fillId="62" borderId="39" xfId="0" applyFont="1" applyFill="1" applyBorder="1" applyAlignment="1">
      <alignment horizontal="left" vertical="center"/>
    </xf>
    <xf numFmtId="0" fontId="55" fillId="62" borderId="37" xfId="0" applyFont="1" applyFill="1" applyBorder="1" applyAlignment="1">
      <alignment horizontal="left" vertical="center"/>
    </xf>
    <xf numFmtId="0" fontId="55" fillId="62" borderId="26" xfId="0" applyFont="1" applyFill="1" applyBorder="1" applyAlignment="1">
      <alignment horizontal="left" vertical="center"/>
    </xf>
    <xf numFmtId="0" fontId="56" fillId="61" borderId="16" xfId="0" applyFont="1" applyFill="1" applyBorder="1" applyAlignment="1">
      <alignment horizontal="left" vertical="center"/>
    </xf>
    <xf numFmtId="172" fontId="56" fillId="61" borderId="17" xfId="51" applyNumberFormat="1" applyFont="1" applyFill="1" applyBorder="1" applyAlignment="1">
      <alignment horizontal="right" vertical="center"/>
    </xf>
    <xf numFmtId="172" fontId="56" fillId="61" borderId="4" xfId="51" applyNumberFormat="1" applyFont="1" applyFill="1" applyBorder="1" applyAlignment="1">
      <alignment horizontal="right" vertical="center"/>
    </xf>
    <xf numFmtId="2" fontId="35" fillId="53" borderId="0" xfId="0" applyNumberFormat="1" applyFont="1" applyFill="1" applyAlignment="1">
      <alignment horizontal="center" vertical="center"/>
    </xf>
    <xf numFmtId="179" fontId="35" fillId="61" borderId="4" xfId="51" applyNumberFormat="1" applyFont="1" applyFill="1" applyBorder="1" applyAlignment="1">
      <alignment horizontal="right" vertical="center"/>
    </xf>
    <xf numFmtId="179" fontId="35" fillId="61" borderId="17" xfId="51" applyNumberFormat="1" applyFont="1" applyFill="1" applyBorder="1" applyAlignment="1">
      <alignment horizontal="right" vertical="center"/>
    </xf>
    <xf numFmtId="180" fontId="35" fillId="61" borderId="17" xfId="51" applyNumberFormat="1" applyFont="1" applyFill="1" applyBorder="1" applyAlignment="1">
      <alignment horizontal="right" vertical="center"/>
    </xf>
    <xf numFmtId="165" fontId="35" fillId="53" borderId="0" xfId="0" applyNumberFormat="1" applyFont="1" applyFill="1" applyAlignment="1">
      <alignment horizontal="center" vertical="center"/>
    </xf>
    <xf numFmtId="179" fontId="35" fillId="61" borderId="16" xfId="0" applyNumberFormat="1" applyFont="1" applyFill="1" applyBorder="1" applyAlignment="1">
      <alignment horizontal="left" vertical="center"/>
    </xf>
    <xf numFmtId="180" fontId="35" fillId="61" borderId="4" xfId="51" applyNumberFormat="1" applyFont="1" applyFill="1" applyBorder="1" applyAlignment="1">
      <alignment horizontal="right" vertical="center"/>
    </xf>
    <xf numFmtId="181" fontId="35" fillId="61" borderId="17" xfId="51" applyNumberFormat="1" applyFont="1" applyFill="1" applyBorder="1" applyAlignment="1">
      <alignment horizontal="right" vertical="center"/>
    </xf>
    <xf numFmtId="43" fontId="35" fillId="61" borderId="17" xfId="51" applyFont="1" applyFill="1" applyBorder="1" applyAlignment="1">
      <alignment horizontal="right" vertical="center"/>
    </xf>
    <xf numFmtId="43" fontId="35" fillId="61" borderId="4" xfId="51" applyFont="1" applyFill="1" applyBorder="1" applyAlignment="1">
      <alignment horizontal="right" vertical="center"/>
    </xf>
    <xf numFmtId="0" fontId="38" fillId="62" borderId="16" xfId="0" applyFont="1" applyFill="1" applyBorder="1" applyAlignment="1">
      <alignment horizontal="left" vertical="center"/>
    </xf>
    <xf numFmtId="0" fontId="38" fillId="62" borderId="17" xfId="0" applyFont="1" applyFill="1" applyBorder="1" applyAlignment="1">
      <alignment horizontal="left" vertical="center"/>
    </xf>
    <xf numFmtId="0" fontId="38" fillId="62" borderId="39" xfId="0" applyFont="1" applyFill="1" applyBorder="1" applyAlignment="1">
      <alignment horizontal="left" vertical="center"/>
    </xf>
    <xf numFmtId="0" fontId="38" fillId="62" borderId="37" xfId="0" applyFont="1" applyFill="1" applyBorder="1" applyAlignment="1">
      <alignment horizontal="left" vertical="center"/>
    </xf>
    <xf numFmtId="0" fontId="38" fillId="62" borderId="26" xfId="0" applyFont="1" applyFill="1" applyBorder="1" applyAlignment="1">
      <alignment horizontal="left" vertical="center"/>
    </xf>
    <xf numFmtId="0" fontId="35" fillId="63" borderId="16" xfId="0" applyFont="1" applyFill="1" applyBorder="1" applyAlignment="1">
      <alignment horizontal="left" vertical="center"/>
    </xf>
    <xf numFmtId="2" fontId="35" fillId="63" borderId="17" xfId="0" applyNumberFormat="1" applyFont="1" applyFill="1" applyBorder="1" applyAlignment="1">
      <alignment horizontal="right" vertical="center"/>
    </xf>
    <xf numFmtId="0" fontId="38" fillId="63" borderId="16" xfId="0" applyFont="1" applyFill="1" applyBorder="1" applyAlignment="1">
      <alignment horizontal="left" vertical="center"/>
    </xf>
    <xf numFmtId="1" fontId="38" fillId="63" borderId="4" xfId="0" applyNumberFormat="1" applyFont="1" applyFill="1" applyBorder="1" applyAlignment="1">
      <alignment horizontal="right" vertical="center"/>
    </xf>
    <xf numFmtId="165" fontId="35" fillId="63" borderId="17" xfId="0" applyNumberFormat="1" applyFont="1" applyFill="1" applyBorder="1" applyAlignment="1">
      <alignment horizontal="right" vertical="center"/>
    </xf>
    <xf numFmtId="1" fontId="35" fillId="63" borderId="4" xfId="0" applyNumberFormat="1" applyFont="1" applyFill="1" applyBorder="1" applyAlignment="1">
      <alignment horizontal="right" vertical="center"/>
    </xf>
    <xf numFmtId="165" fontId="38" fillId="63" borderId="17" xfId="0" applyNumberFormat="1" applyFont="1" applyFill="1" applyBorder="1" applyAlignment="1">
      <alignment horizontal="right" vertical="center"/>
    </xf>
    <xf numFmtId="2" fontId="35" fillId="63" borderId="4" xfId="0" applyNumberFormat="1" applyFont="1" applyFill="1" applyBorder="1" applyAlignment="1">
      <alignment horizontal="right" vertical="center"/>
    </xf>
    <xf numFmtId="2" fontId="38" fillId="63" borderId="17" xfId="0" applyNumberFormat="1" applyFont="1" applyFill="1" applyBorder="1" applyAlignment="1">
      <alignment horizontal="right" vertical="center"/>
    </xf>
    <xf numFmtId="0" fontId="35" fillId="63" borderId="18" xfId="0" applyFont="1" applyFill="1" applyBorder="1" applyAlignment="1">
      <alignment horizontal="left" vertical="center"/>
    </xf>
    <xf numFmtId="1" fontId="35" fillId="63" borderId="19" xfId="0" applyNumberFormat="1" applyFont="1" applyFill="1" applyBorder="1" applyAlignment="1">
      <alignment horizontal="right" vertical="center"/>
    </xf>
    <xf numFmtId="0" fontId="38" fillId="63" borderId="18" xfId="0" applyFont="1" applyFill="1" applyBorder="1" applyAlignment="1">
      <alignment horizontal="left" vertical="center"/>
    </xf>
    <xf numFmtId="1" fontId="38" fillId="63" borderId="21" xfId="0" applyNumberFormat="1" applyFont="1" applyFill="1" applyBorder="1" applyAlignment="1">
      <alignment horizontal="right" vertical="center"/>
    </xf>
    <xf numFmtId="2" fontId="35" fillId="63" borderId="19" xfId="0" applyNumberFormat="1" applyFont="1" applyFill="1" applyBorder="1" applyAlignment="1">
      <alignment horizontal="right" vertical="center"/>
    </xf>
    <xf numFmtId="0" fontId="61" fillId="0" borderId="0" xfId="0" applyFont="1"/>
    <xf numFmtId="0" fontId="0" fillId="0" borderId="12" xfId="0" applyBorder="1"/>
    <xf numFmtId="0" fontId="0" fillId="46" borderId="4" xfId="0" applyFill="1" applyBorder="1" applyAlignment="1">
      <alignment wrapText="1"/>
    </xf>
    <xf numFmtId="0" fontId="0" fillId="41" borderId="4" xfId="0" applyFill="1" applyBorder="1"/>
    <xf numFmtId="165" fontId="19" fillId="46" borderId="5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165" fontId="0" fillId="46" borderId="4" xfId="0" applyNumberFormat="1" applyFill="1" applyBorder="1" applyAlignment="1">
      <alignment horizontal="center" vertical="center"/>
    </xf>
    <xf numFmtId="2" fontId="0" fillId="45" borderId="4" xfId="0" applyNumberFormat="1" applyFill="1" applyBorder="1" applyAlignment="1">
      <alignment horizontal="center" vertical="center"/>
    </xf>
    <xf numFmtId="0" fontId="0" fillId="47" borderId="4" xfId="0" applyFill="1" applyBorder="1" applyAlignment="1">
      <alignment vertical="center" wrapText="1"/>
    </xf>
    <xf numFmtId="2" fontId="0" fillId="44" borderId="4" xfId="0" applyNumberFormat="1" applyFill="1" applyBorder="1" applyAlignment="1">
      <alignment horizontal="center" vertical="center"/>
    </xf>
    <xf numFmtId="0" fontId="0" fillId="44" borderId="4" xfId="0" applyFill="1" applyBorder="1" applyAlignment="1">
      <alignment horizontal="center" vertical="center"/>
    </xf>
    <xf numFmtId="2" fontId="0" fillId="46" borderId="4" xfId="0" applyNumberFormat="1" applyFill="1" applyBorder="1" applyAlignment="1">
      <alignment horizontal="center" vertical="center"/>
    </xf>
    <xf numFmtId="0" fontId="0" fillId="45" borderId="4" xfId="0" applyFill="1" applyBorder="1" applyAlignment="1">
      <alignment horizontal="center" vertical="center"/>
    </xf>
    <xf numFmtId="0" fontId="0" fillId="41" borderId="4" xfId="0" applyFill="1" applyBorder="1" applyAlignment="1">
      <alignment horizontal="center" vertical="center"/>
    </xf>
    <xf numFmtId="0" fontId="0" fillId="47" borderId="4" xfId="0" applyFill="1" applyBorder="1" applyAlignment="1">
      <alignment horizontal="center" vertical="center"/>
    </xf>
    <xf numFmtId="2" fontId="0" fillId="41" borderId="4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47" borderId="4" xfId="0" applyFill="1" applyBorder="1" applyAlignment="1">
      <alignment horizontal="center" vertical="center" wrapText="1"/>
    </xf>
    <xf numFmtId="167" fontId="0" fillId="45" borderId="4" xfId="0" applyNumberFormat="1" applyFill="1" applyBorder="1" applyAlignment="1">
      <alignment horizontal="center" vertical="center"/>
    </xf>
    <xf numFmtId="167" fontId="0" fillId="46" borderId="4" xfId="0" applyNumberFormat="1" applyFill="1" applyBorder="1" applyAlignment="1">
      <alignment horizontal="center" vertical="center"/>
    </xf>
    <xf numFmtId="165" fontId="19" fillId="47" borderId="5" xfId="0" applyNumberFormat="1" applyFont="1" applyFill="1" applyBorder="1" applyAlignment="1">
      <alignment horizontal="center" vertical="center"/>
    </xf>
    <xf numFmtId="165" fontId="19" fillId="47" borderId="4" xfId="0" applyNumberFormat="1" applyFont="1" applyFill="1" applyBorder="1" applyAlignment="1">
      <alignment horizontal="center" vertical="center"/>
    </xf>
    <xf numFmtId="167" fontId="0" fillId="0" borderId="4" xfId="0" applyNumberFormat="1" applyBorder="1" applyAlignment="1">
      <alignment horizontal="center" vertical="center"/>
    </xf>
    <xf numFmtId="166" fontId="0" fillId="46" borderId="4" xfId="0" applyNumberFormat="1" applyFill="1" applyBorder="1" applyAlignment="1">
      <alignment horizontal="center" vertical="center"/>
    </xf>
    <xf numFmtId="165" fontId="19" fillId="46" borderId="4" xfId="0" applyNumberFormat="1" applyFont="1" applyFill="1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0" fontId="0" fillId="0" borderId="40" xfId="0" applyBorder="1"/>
    <xf numFmtId="2" fontId="0" fillId="45" borderId="13" xfId="0" applyNumberFormat="1" applyFill="1" applyBorder="1" applyAlignment="1">
      <alignment horizontal="center" vertical="center"/>
    </xf>
    <xf numFmtId="2" fontId="0" fillId="45" borderId="23" xfId="0" applyNumberForma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47" borderId="5" xfId="0" applyFill="1" applyBorder="1" applyAlignment="1">
      <alignment horizontal="center" vertical="center" wrapText="1"/>
    </xf>
    <xf numFmtId="0" fontId="0" fillId="47" borderId="37" xfId="0" applyFill="1" applyBorder="1" applyAlignment="1">
      <alignment horizontal="center" vertical="center" wrapText="1"/>
    </xf>
    <xf numFmtId="0" fontId="0" fillId="47" borderId="36" xfId="0" applyFill="1" applyBorder="1" applyAlignment="1">
      <alignment horizontal="center" vertical="center" wrapText="1"/>
    </xf>
    <xf numFmtId="0" fontId="28" fillId="42" borderId="0" xfId="47" applyFont="1" applyFill="1" applyAlignment="1">
      <alignment horizontal="center"/>
    </xf>
    <xf numFmtId="0" fontId="24" fillId="0" borderId="0" xfId="47" applyFont="1" applyAlignment="1">
      <alignment horizontal="left" wrapText="1"/>
    </xf>
    <xf numFmtId="0" fontId="25" fillId="42" borderId="0" xfId="47" applyFont="1" applyFill="1" applyAlignment="1">
      <alignment horizontal="left" wrapText="1"/>
    </xf>
    <xf numFmtId="0" fontId="30" fillId="42" borderId="0" xfId="47" applyFont="1" applyFill="1" applyAlignment="1">
      <alignment horizontal="center" wrapText="1"/>
    </xf>
    <xf numFmtId="0" fontId="37" fillId="52" borderId="14" xfId="47" applyFont="1" applyFill="1" applyBorder="1" applyAlignment="1">
      <alignment horizontal="center" vertical="center" wrapText="1"/>
    </xf>
    <xf numFmtId="0" fontId="37" fillId="52" borderId="20" xfId="47" applyFont="1" applyFill="1" applyBorder="1" applyAlignment="1">
      <alignment horizontal="center" vertical="center" wrapText="1"/>
    </xf>
    <xf numFmtId="0" fontId="37" fillId="52" borderId="15" xfId="47" applyFont="1" applyFill="1" applyBorder="1" applyAlignment="1">
      <alignment horizontal="center" vertical="center" wrapText="1"/>
    </xf>
    <xf numFmtId="0" fontId="40" fillId="52" borderId="14" xfId="47" applyFont="1" applyFill="1" applyBorder="1" applyAlignment="1">
      <alignment horizontal="center" vertical="center" wrapText="1"/>
    </xf>
    <xf numFmtId="0" fontId="40" fillId="52" borderId="20" xfId="47" applyFont="1" applyFill="1" applyBorder="1" applyAlignment="1">
      <alignment horizontal="center" vertical="center" wrapText="1"/>
    </xf>
    <xf numFmtId="0" fontId="40" fillId="52" borderId="15" xfId="47" applyFont="1" applyFill="1" applyBorder="1" applyAlignment="1">
      <alignment horizontal="center" vertical="center" wrapText="1"/>
    </xf>
    <xf numFmtId="0" fontId="40" fillId="52" borderId="14" xfId="0" applyFont="1" applyFill="1" applyBorder="1" applyAlignment="1">
      <alignment horizontal="center" vertical="center" wrapText="1"/>
    </xf>
    <xf numFmtId="0" fontId="40" fillId="52" borderId="20" xfId="0" applyFont="1" applyFill="1" applyBorder="1" applyAlignment="1">
      <alignment horizontal="center" vertical="center" wrapText="1"/>
    </xf>
    <xf numFmtId="0" fontId="40" fillId="52" borderId="15" xfId="0" applyFont="1" applyFill="1" applyBorder="1" applyAlignment="1">
      <alignment horizontal="center" vertical="center" wrapText="1"/>
    </xf>
    <xf numFmtId="0" fontId="37" fillId="52" borderId="14" xfId="0" applyFont="1" applyFill="1" applyBorder="1" applyAlignment="1">
      <alignment horizontal="center" vertical="center" wrapText="1"/>
    </xf>
    <xf numFmtId="0" fontId="37" fillId="52" borderId="15" xfId="0" applyFont="1" applyFill="1" applyBorder="1" applyAlignment="1">
      <alignment horizontal="center" vertical="center" wrapText="1"/>
    </xf>
    <xf numFmtId="0" fontId="37" fillId="52" borderId="20" xfId="0" applyFont="1" applyFill="1" applyBorder="1" applyAlignment="1">
      <alignment horizontal="center" vertical="center" wrapText="1"/>
    </xf>
    <xf numFmtId="0" fontId="37" fillId="52" borderId="32" xfId="0" applyFont="1" applyFill="1" applyBorder="1" applyAlignment="1">
      <alignment horizontal="center" vertical="center" wrapText="1"/>
    </xf>
    <xf numFmtId="0" fontId="37" fillId="52" borderId="33" xfId="0" applyFont="1" applyFill="1" applyBorder="1" applyAlignment="1">
      <alignment horizontal="center" vertical="center" wrapText="1"/>
    </xf>
    <xf numFmtId="0" fontId="37" fillId="52" borderId="34" xfId="0" applyFont="1" applyFill="1" applyBorder="1" applyAlignment="1">
      <alignment horizontal="center" vertical="center" wrapText="1"/>
    </xf>
    <xf numFmtId="0" fontId="38" fillId="42" borderId="4" xfId="47" applyFont="1" applyFill="1" applyBorder="1" applyAlignment="1">
      <alignment horizontal="center"/>
    </xf>
    <xf numFmtId="0" fontId="35" fillId="42" borderId="5" xfId="47" applyFont="1" applyFill="1" applyBorder="1" applyAlignment="1">
      <alignment horizontal="center" wrapText="1"/>
    </xf>
    <xf numFmtId="0" fontId="35" fillId="42" borderId="37" xfId="47" applyFont="1" applyFill="1" applyBorder="1" applyAlignment="1">
      <alignment horizontal="center" wrapText="1"/>
    </xf>
    <xf numFmtId="0" fontId="38" fillId="48" borderId="32" xfId="0" applyFont="1" applyFill="1" applyBorder="1" applyAlignment="1">
      <alignment horizontal="center" vertical="center" wrapText="1"/>
    </xf>
    <xf numFmtId="0" fontId="38" fillId="48" borderId="33" xfId="0" applyFont="1" applyFill="1" applyBorder="1" applyAlignment="1">
      <alignment horizontal="center" vertical="center" wrapText="1"/>
    </xf>
    <xf numFmtId="0" fontId="38" fillId="48" borderId="34" xfId="0" applyFont="1" applyFill="1" applyBorder="1" applyAlignment="1">
      <alignment horizontal="center" vertical="center" wrapText="1"/>
    </xf>
    <xf numFmtId="0" fontId="53" fillId="42" borderId="4" xfId="53" applyFill="1" applyBorder="1" applyAlignment="1" applyProtection="1">
      <alignment horizontal="center"/>
    </xf>
    <xf numFmtId="0" fontId="54" fillId="42" borderId="4" xfId="54" applyFill="1" applyBorder="1" applyAlignment="1" applyProtection="1">
      <alignment horizontal="center"/>
    </xf>
    <xf numFmtId="0" fontId="54" fillId="42" borderId="5" xfId="54" applyFill="1" applyBorder="1" applyAlignment="1" applyProtection="1">
      <alignment horizontal="center"/>
    </xf>
    <xf numFmtId="0" fontId="37" fillId="56" borderId="32" xfId="0" applyFont="1" applyFill="1" applyBorder="1" applyAlignment="1">
      <alignment horizontal="center" vertical="center" wrapText="1"/>
    </xf>
    <xf numFmtId="0" fontId="37" fillId="56" borderId="33" xfId="0" applyFont="1" applyFill="1" applyBorder="1" applyAlignment="1">
      <alignment horizontal="center" vertical="center" wrapText="1"/>
    </xf>
    <xf numFmtId="0" fontId="37" fillId="56" borderId="34" xfId="0" applyFont="1" applyFill="1" applyBorder="1" applyAlignment="1">
      <alignment horizontal="center" vertical="center" wrapText="1"/>
    </xf>
    <xf numFmtId="0" fontId="10" fillId="60" borderId="5" xfId="47" applyFill="1" applyBorder="1" applyAlignment="1">
      <alignment horizontal="center"/>
    </xf>
    <xf numFmtId="0" fontId="10" fillId="60" borderId="36" xfId="47" applyFill="1" applyBorder="1" applyAlignment="1">
      <alignment horizontal="center"/>
    </xf>
    <xf numFmtId="0" fontId="7" fillId="39" borderId="4" xfId="0" applyFont="1" applyFill="1" applyBorder="1" applyAlignment="1">
      <alignment horizontal="center" wrapText="1"/>
    </xf>
  </cellXfs>
  <cellStyles count="55">
    <cellStyle name="20% - Accent1" xfId="7" builtinId="30" customBuiltin="1"/>
    <cellStyle name="20% - Accent2" xfId="11" builtinId="34" customBuiltin="1"/>
    <cellStyle name="20% - Accent3" xfId="15" builtinId="38" customBuiltin="1"/>
    <cellStyle name="20% - Accent4" xfId="19" builtinId="42" customBuiltin="1"/>
    <cellStyle name="20% - Accent5" xfId="23" builtinId="46" customBuiltin="1"/>
    <cellStyle name="20% - Accent6" xfId="27" builtinId="50" customBuiltin="1"/>
    <cellStyle name="40% - Accent1" xfId="8" builtinId="31" customBuiltin="1"/>
    <cellStyle name="40% - Accent2" xfId="12" builtinId="35" customBuiltin="1"/>
    <cellStyle name="40% - Accent3" xfId="16" builtinId="39" customBuiltin="1"/>
    <cellStyle name="40% - Accent4" xfId="20" builtinId="43" customBuiltin="1"/>
    <cellStyle name="40% - Accent5" xfId="24" builtinId="47" customBuiltin="1"/>
    <cellStyle name="40% - Accent6" xfId="28" builtinId="51" customBuiltin="1"/>
    <cellStyle name="60% - Accent1" xfId="9" builtinId="32" customBuiltin="1"/>
    <cellStyle name="60% - Accent2" xfId="13" builtinId="36" customBuiltin="1"/>
    <cellStyle name="60% - Accent3" xfId="17" builtinId="40" customBuiltin="1"/>
    <cellStyle name="60% - Accent4" xfId="21" builtinId="44" customBuiltin="1"/>
    <cellStyle name="60% - Accent5" xfId="25" builtinId="48" customBuiltin="1"/>
    <cellStyle name="60% - Accent6" xfId="29" builtinId="52" customBuiltin="1"/>
    <cellStyle name="Accent1" xfId="6" builtinId="29" customBuiltin="1"/>
    <cellStyle name="Accent2" xfId="10" builtinId="33" customBuiltin="1"/>
    <cellStyle name="Accent3" xfId="14" builtinId="37" customBuiltin="1"/>
    <cellStyle name="Accent4" xfId="18" builtinId="41" customBuiltin="1"/>
    <cellStyle name="Accent5" xfId="22" builtinId="45" customBuiltin="1"/>
    <cellStyle name="Accent6" xfId="26" builtinId="49" customBuiltin="1"/>
    <cellStyle name="Bad" xfId="3" builtinId="27" customBuiltin="1"/>
    <cellStyle name="Calculation 2" xfId="32" xr:uid="{DB29A6C7-26C2-44A6-AB1F-3419832201BC}"/>
    <cellStyle name="Calculation 3" xfId="31" xr:uid="{DEB153E8-39CF-4908-9804-FB4FBC454372}"/>
    <cellStyle name="Check Cell" xfId="5" builtinId="23" customBuiltin="1"/>
    <cellStyle name="Comma 2" xfId="34" xr:uid="{5D651753-B6EB-4AD9-B93F-6817904A24AA}"/>
    <cellStyle name="Comma 2 2" xfId="48" xr:uid="{0145DEA4-0DEF-4CB6-8104-93A9A6B89572}"/>
    <cellStyle name="Comma 2 3" xfId="51" xr:uid="{4053255F-9874-4303-86A9-FA336BABB18A}"/>
    <cellStyle name="Comma 3" xfId="33" xr:uid="{AFB50D72-FFDF-4B47-87B4-253CBCF072A2}"/>
    <cellStyle name="Comma 4" xfId="46" xr:uid="{CD30FF35-04D3-43C7-97AF-4CF9B5124A31}"/>
    <cellStyle name="Explanatory Text 2" xfId="35" xr:uid="{51D7A2E6-DB69-4F54-B6F6-BEC2F09BEBC5}"/>
    <cellStyle name="Followed Hyperlink" xfId="36" builtinId="9" customBuiltin="1"/>
    <cellStyle name="Good" xfId="2" builtinId="26" customBuiltin="1"/>
    <cellStyle name="Hyperlink" xfId="37" builtinId="8" customBuiltin="1"/>
    <cellStyle name="Hyperlink 2" xfId="53" xr:uid="{3D05D656-C1EA-49E3-8653-1D04E88C5CA2}"/>
    <cellStyle name="Hyperlink 2 2" xfId="54" xr:uid="{1D945D4B-9AD0-4CCF-BFFB-9A7BD1A5D58A}"/>
    <cellStyle name="Input 2" xfId="38" xr:uid="{A8B4F07A-71DD-481C-BB54-9A2A9BAAB54D}"/>
    <cellStyle name="Input data" xfId="39" xr:uid="{832B6114-2C4E-4CF9-91B5-28511712396F}"/>
    <cellStyle name="Linked Cell 2" xfId="40" xr:uid="{F53F186F-48F4-4EF3-8CF0-3B687488EFC8}"/>
    <cellStyle name="Neutral" xfId="4" builtinId="28" customBuiltin="1"/>
    <cellStyle name="Normal" xfId="0" builtinId="0"/>
    <cellStyle name="Normal 2" xfId="30" xr:uid="{648CCE9C-540C-4EDB-89BE-4790A65965CA}"/>
    <cellStyle name="Normal 2 2" xfId="47" xr:uid="{007AC406-B8AA-4DC4-B61F-36B49C66E180}"/>
    <cellStyle name="Normal 3" xfId="50" xr:uid="{C4150B03-E470-4B03-A308-31AC52FA1E01}"/>
    <cellStyle name="Note 2" xfId="41" xr:uid="{6D25D3A0-A8B8-4C93-9522-5A7D7C01C283}"/>
    <cellStyle name="Output 2" xfId="42" xr:uid="{4B94FCBF-3B35-43BD-938B-22421F89D29C}"/>
    <cellStyle name="Percent 2" xfId="43" xr:uid="{EA6E5E83-FAC8-4388-8507-3BDB02DFB62E}"/>
    <cellStyle name="Percent 2 2" xfId="49" xr:uid="{9AE637A1-2652-470F-93F9-5EC10842208F}"/>
    <cellStyle name="Percent 3" xfId="52" xr:uid="{B4E3CDB0-1E1F-4D2F-AFC7-E6AA5115C4C3}"/>
    <cellStyle name="Selection" xfId="44" xr:uid="{23EDAFE0-FDF8-4128-8806-33AFC096CF75}"/>
    <cellStyle name="Title" xfId="1" builtinId="15" customBuiltin="1"/>
    <cellStyle name="Warning Text 2" xfId="45" xr:uid="{DECB2AAD-D29E-4817-B62E-73292849F7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114300</xdr:colOff>
      <xdr:row>52</xdr:row>
      <xdr:rowOff>31008</xdr:rowOff>
    </xdr:from>
    <xdr:to>
      <xdr:col>36</xdr:col>
      <xdr:colOff>605069</xdr:colOff>
      <xdr:row>82</xdr:row>
      <xdr:rowOff>56314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40B26B1C-1AF8-E60F-9AB5-4259252270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741640" y="10264668"/>
          <a:ext cx="4757969" cy="55117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257174</xdr:colOff>
      <xdr:row>57</xdr:row>
      <xdr:rowOff>85725</xdr:rowOff>
    </xdr:from>
    <xdr:to>
      <xdr:col>6</xdr:col>
      <xdr:colOff>990599</xdr:colOff>
      <xdr:row>57</xdr:row>
      <xdr:rowOff>85725</xdr:rowOff>
    </xdr:to>
    <xdr:sp macro="" textlink="">
      <xdr:nvSpPr>
        <xdr:cNvPr id="2" name="Line 10">
          <a:extLst>
            <a:ext uri="{FF2B5EF4-FFF2-40B4-BE49-F238E27FC236}">
              <a16:creationId xmlns:a16="http://schemas.microsoft.com/office/drawing/2014/main" id="{4FD1C03D-579E-4020-8042-D404E0A4EE4E}"/>
            </a:ext>
          </a:extLst>
        </xdr:cNvPr>
        <xdr:cNvSpPr>
          <a:spLocks noChangeShapeType="1"/>
        </xdr:cNvSpPr>
      </xdr:nvSpPr>
      <xdr:spPr bwMode="auto">
        <a:xfrm flipH="1">
          <a:off x="5377814" y="11508105"/>
          <a:ext cx="386524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65</xdr:row>
      <xdr:rowOff>85725</xdr:rowOff>
    </xdr:from>
    <xdr:to>
      <xdr:col>11</xdr:col>
      <xdr:colOff>0</xdr:colOff>
      <xdr:row>65</xdr:row>
      <xdr:rowOff>85725</xdr:rowOff>
    </xdr:to>
    <xdr:sp macro="" textlink="">
      <xdr:nvSpPr>
        <xdr:cNvPr id="3" name="Line 11">
          <a:extLst>
            <a:ext uri="{FF2B5EF4-FFF2-40B4-BE49-F238E27FC236}">
              <a16:creationId xmlns:a16="http://schemas.microsoft.com/office/drawing/2014/main" id="{399076BA-0143-4EA5-AEFE-736F6140A94A}"/>
            </a:ext>
          </a:extLst>
        </xdr:cNvPr>
        <xdr:cNvSpPr>
          <a:spLocks noChangeShapeType="1"/>
        </xdr:cNvSpPr>
      </xdr:nvSpPr>
      <xdr:spPr bwMode="auto">
        <a:xfrm flipH="1">
          <a:off x="13190220" y="1297114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257174</xdr:colOff>
      <xdr:row>57</xdr:row>
      <xdr:rowOff>85725</xdr:rowOff>
    </xdr:from>
    <xdr:to>
      <xdr:col>6</xdr:col>
      <xdr:colOff>990599</xdr:colOff>
      <xdr:row>57</xdr:row>
      <xdr:rowOff>85725</xdr:rowOff>
    </xdr:to>
    <xdr:sp macro="" textlink="">
      <xdr:nvSpPr>
        <xdr:cNvPr id="2" name="Line 10">
          <a:extLst>
            <a:ext uri="{FF2B5EF4-FFF2-40B4-BE49-F238E27FC236}">
              <a16:creationId xmlns:a16="http://schemas.microsoft.com/office/drawing/2014/main" id="{B3CCF592-7D03-434D-976F-0A1B4971D935}"/>
            </a:ext>
          </a:extLst>
        </xdr:cNvPr>
        <xdr:cNvSpPr>
          <a:spLocks noChangeShapeType="1"/>
        </xdr:cNvSpPr>
      </xdr:nvSpPr>
      <xdr:spPr bwMode="auto">
        <a:xfrm flipH="1">
          <a:off x="5377814" y="11508105"/>
          <a:ext cx="386524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65</xdr:row>
      <xdr:rowOff>85725</xdr:rowOff>
    </xdr:from>
    <xdr:to>
      <xdr:col>11</xdr:col>
      <xdr:colOff>0</xdr:colOff>
      <xdr:row>65</xdr:row>
      <xdr:rowOff>85725</xdr:rowOff>
    </xdr:to>
    <xdr:sp macro="" textlink="">
      <xdr:nvSpPr>
        <xdr:cNvPr id="3" name="Line 11">
          <a:extLst>
            <a:ext uri="{FF2B5EF4-FFF2-40B4-BE49-F238E27FC236}">
              <a16:creationId xmlns:a16="http://schemas.microsoft.com/office/drawing/2014/main" id="{3F461E3C-74CB-475B-BA7D-5EA6CF965CEC}"/>
            </a:ext>
          </a:extLst>
        </xdr:cNvPr>
        <xdr:cNvSpPr>
          <a:spLocks noChangeShapeType="1"/>
        </xdr:cNvSpPr>
      </xdr:nvSpPr>
      <xdr:spPr bwMode="auto">
        <a:xfrm flipH="1">
          <a:off x="13190220" y="1297114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257174</xdr:colOff>
      <xdr:row>61</xdr:row>
      <xdr:rowOff>85725</xdr:rowOff>
    </xdr:from>
    <xdr:to>
      <xdr:col>6</xdr:col>
      <xdr:colOff>990599</xdr:colOff>
      <xdr:row>61</xdr:row>
      <xdr:rowOff>85725</xdr:rowOff>
    </xdr:to>
    <xdr:sp macro="" textlink="">
      <xdr:nvSpPr>
        <xdr:cNvPr id="2" name="Line 10">
          <a:extLst>
            <a:ext uri="{FF2B5EF4-FFF2-40B4-BE49-F238E27FC236}">
              <a16:creationId xmlns:a16="http://schemas.microsoft.com/office/drawing/2014/main" id="{35311FC3-ECEF-4346-856C-3890A51D0AC4}"/>
            </a:ext>
          </a:extLst>
        </xdr:cNvPr>
        <xdr:cNvSpPr>
          <a:spLocks noChangeShapeType="1"/>
        </xdr:cNvSpPr>
      </xdr:nvSpPr>
      <xdr:spPr bwMode="auto">
        <a:xfrm flipH="1">
          <a:off x="5377814" y="12239625"/>
          <a:ext cx="445960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69</xdr:row>
      <xdr:rowOff>85725</xdr:rowOff>
    </xdr:from>
    <xdr:to>
      <xdr:col>11</xdr:col>
      <xdr:colOff>0</xdr:colOff>
      <xdr:row>69</xdr:row>
      <xdr:rowOff>85725</xdr:rowOff>
    </xdr:to>
    <xdr:sp macro="" textlink="">
      <xdr:nvSpPr>
        <xdr:cNvPr id="3" name="Line 11">
          <a:extLst>
            <a:ext uri="{FF2B5EF4-FFF2-40B4-BE49-F238E27FC236}">
              <a16:creationId xmlns:a16="http://schemas.microsoft.com/office/drawing/2014/main" id="{FB904D0F-C86F-4B18-BF71-7946338F613B}"/>
            </a:ext>
          </a:extLst>
        </xdr:cNvPr>
        <xdr:cNvSpPr>
          <a:spLocks noChangeShapeType="1"/>
        </xdr:cNvSpPr>
      </xdr:nvSpPr>
      <xdr:spPr bwMode="auto">
        <a:xfrm flipH="1">
          <a:off x="13784580" y="1370266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</xdr:col>
      <xdr:colOff>1021080</xdr:colOff>
      <xdr:row>122</xdr:row>
      <xdr:rowOff>22860</xdr:rowOff>
    </xdr:from>
    <xdr:to>
      <xdr:col>9</xdr:col>
      <xdr:colOff>491044</xdr:colOff>
      <xdr:row>138</xdr:row>
      <xdr:rowOff>26250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2520651-9844-4A33-B1DD-33F5D72EE6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39200" y="24003000"/>
          <a:ext cx="3653344" cy="3196170"/>
        </a:xfrm>
        <a:prstGeom prst="rect">
          <a:avLst/>
        </a:prstGeom>
      </xdr:spPr>
    </xdr:pic>
    <xdr:clientData/>
  </xdr:twoCellAnchor>
  <xdr:twoCellAnchor editAs="oneCell">
    <xdr:from>
      <xdr:col>9</xdr:col>
      <xdr:colOff>342900</xdr:colOff>
      <xdr:row>147</xdr:row>
      <xdr:rowOff>209550</xdr:rowOff>
    </xdr:from>
    <xdr:to>
      <xdr:col>17</xdr:col>
      <xdr:colOff>41142</xdr:colOff>
      <xdr:row>157</xdr:row>
      <xdr:rowOff>75911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085465B-B8E7-49D6-BDD1-6831B1989F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44400" y="29653230"/>
          <a:ext cx="6312402" cy="229714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257174</xdr:colOff>
      <xdr:row>61</xdr:row>
      <xdr:rowOff>85725</xdr:rowOff>
    </xdr:from>
    <xdr:to>
      <xdr:col>6</xdr:col>
      <xdr:colOff>990599</xdr:colOff>
      <xdr:row>61</xdr:row>
      <xdr:rowOff>85725</xdr:rowOff>
    </xdr:to>
    <xdr:sp macro="" textlink="">
      <xdr:nvSpPr>
        <xdr:cNvPr id="2" name="Line 10">
          <a:extLst>
            <a:ext uri="{FF2B5EF4-FFF2-40B4-BE49-F238E27FC236}">
              <a16:creationId xmlns:a16="http://schemas.microsoft.com/office/drawing/2014/main" id="{DFC1E52A-C156-477B-8382-77805160CF7D}"/>
            </a:ext>
          </a:extLst>
        </xdr:cNvPr>
        <xdr:cNvSpPr>
          <a:spLocks noChangeShapeType="1"/>
        </xdr:cNvSpPr>
      </xdr:nvSpPr>
      <xdr:spPr bwMode="auto">
        <a:xfrm flipH="1">
          <a:off x="5377814" y="12239625"/>
          <a:ext cx="386524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69</xdr:row>
      <xdr:rowOff>85725</xdr:rowOff>
    </xdr:from>
    <xdr:to>
      <xdr:col>11</xdr:col>
      <xdr:colOff>0</xdr:colOff>
      <xdr:row>69</xdr:row>
      <xdr:rowOff>85725</xdr:rowOff>
    </xdr:to>
    <xdr:sp macro="" textlink="">
      <xdr:nvSpPr>
        <xdr:cNvPr id="3" name="Line 11">
          <a:extLst>
            <a:ext uri="{FF2B5EF4-FFF2-40B4-BE49-F238E27FC236}">
              <a16:creationId xmlns:a16="http://schemas.microsoft.com/office/drawing/2014/main" id="{586E8082-73EF-49E4-A261-86366312BF23}"/>
            </a:ext>
          </a:extLst>
        </xdr:cNvPr>
        <xdr:cNvSpPr>
          <a:spLocks noChangeShapeType="1"/>
        </xdr:cNvSpPr>
      </xdr:nvSpPr>
      <xdr:spPr bwMode="auto">
        <a:xfrm flipH="1">
          <a:off x="13190220" y="1370266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0</xdr:colOff>
      <xdr:row>122</xdr:row>
      <xdr:rowOff>0</xdr:rowOff>
    </xdr:from>
    <xdr:to>
      <xdr:col>9</xdr:col>
      <xdr:colOff>498664</xdr:colOff>
      <xdr:row>138</xdr:row>
      <xdr:rowOff>3390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2E9A041-AA32-48D5-B8E2-1D99BA7C63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52460" y="23980140"/>
          <a:ext cx="3653344" cy="3196170"/>
        </a:xfrm>
        <a:prstGeom prst="rect">
          <a:avLst/>
        </a:prstGeom>
      </xdr:spPr>
    </xdr:pic>
    <xdr:clientData/>
  </xdr:twoCellAnchor>
  <xdr:twoCellAnchor editAs="oneCell">
    <xdr:from>
      <xdr:col>9</xdr:col>
      <xdr:colOff>342900</xdr:colOff>
      <xdr:row>147</xdr:row>
      <xdr:rowOff>209550</xdr:rowOff>
    </xdr:from>
    <xdr:to>
      <xdr:col>17</xdr:col>
      <xdr:colOff>41142</xdr:colOff>
      <xdr:row>156</xdr:row>
      <xdr:rowOff>190211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3213A7E-2625-4797-A30E-A6F5E765BB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750040" y="29653230"/>
          <a:ext cx="6312402" cy="229714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257174</xdr:colOff>
      <xdr:row>61</xdr:row>
      <xdr:rowOff>85725</xdr:rowOff>
    </xdr:from>
    <xdr:to>
      <xdr:col>6</xdr:col>
      <xdr:colOff>990599</xdr:colOff>
      <xdr:row>61</xdr:row>
      <xdr:rowOff>85725</xdr:rowOff>
    </xdr:to>
    <xdr:sp macro="" textlink="">
      <xdr:nvSpPr>
        <xdr:cNvPr id="2" name="Line 10">
          <a:extLst>
            <a:ext uri="{FF2B5EF4-FFF2-40B4-BE49-F238E27FC236}">
              <a16:creationId xmlns:a16="http://schemas.microsoft.com/office/drawing/2014/main" id="{FED79FC6-7A98-48CD-B3E7-F28AA189ADBE}"/>
            </a:ext>
          </a:extLst>
        </xdr:cNvPr>
        <xdr:cNvSpPr>
          <a:spLocks noChangeShapeType="1"/>
        </xdr:cNvSpPr>
      </xdr:nvSpPr>
      <xdr:spPr bwMode="auto">
        <a:xfrm flipH="1">
          <a:off x="5377814" y="12239625"/>
          <a:ext cx="386524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69</xdr:row>
      <xdr:rowOff>85725</xdr:rowOff>
    </xdr:from>
    <xdr:to>
      <xdr:col>11</xdr:col>
      <xdr:colOff>0</xdr:colOff>
      <xdr:row>69</xdr:row>
      <xdr:rowOff>85725</xdr:rowOff>
    </xdr:to>
    <xdr:sp macro="" textlink="">
      <xdr:nvSpPr>
        <xdr:cNvPr id="3" name="Line 11">
          <a:extLst>
            <a:ext uri="{FF2B5EF4-FFF2-40B4-BE49-F238E27FC236}">
              <a16:creationId xmlns:a16="http://schemas.microsoft.com/office/drawing/2014/main" id="{7772CBF9-ECD2-4F31-96EB-320F371E1E17}"/>
            </a:ext>
          </a:extLst>
        </xdr:cNvPr>
        <xdr:cNvSpPr>
          <a:spLocks noChangeShapeType="1"/>
        </xdr:cNvSpPr>
      </xdr:nvSpPr>
      <xdr:spPr bwMode="auto">
        <a:xfrm flipH="1">
          <a:off x="13190220" y="1370266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22860</xdr:colOff>
      <xdr:row>121</xdr:row>
      <xdr:rowOff>175260</xdr:rowOff>
    </xdr:from>
    <xdr:to>
      <xdr:col>9</xdr:col>
      <xdr:colOff>521524</xdr:colOff>
      <xdr:row>137</xdr:row>
      <xdr:rowOff>338670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820BF70-CF99-45D5-BF81-6C38E6C1AD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320" y="23964900"/>
          <a:ext cx="3653344" cy="3196170"/>
        </a:xfrm>
        <a:prstGeom prst="rect">
          <a:avLst/>
        </a:prstGeom>
      </xdr:spPr>
    </xdr:pic>
    <xdr:clientData/>
  </xdr:twoCellAnchor>
  <xdr:twoCellAnchor editAs="oneCell">
    <xdr:from>
      <xdr:col>9</xdr:col>
      <xdr:colOff>342900</xdr:colOff>
      <xdr:row>147</xdr:row>
      <xdr:rowOff>209550</xdr:rowOff>
    </xdr:from>
    <xdr:to>
      <xdr:col>17</xdr:col>
      <xdr:colOff>41142</xdr:colOff>
      <xdr:row>156</xdr:row>
      <xdr:rowOff>190211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4EA5A2C-48DD-4482-B9F3-6B0938C0CF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750040" y="29653230"/>
          <a:ext cx="6312402" cy="2297141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Uginet, Elisa" id="{37362570-B1AB-45C2-B4A0-20EEAF3343ED}" userId="S::elisa.uginet@aecom.com::3daedd0a-5b0a-49fb-8d87-68b7985ac922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29" dT="2024-09-12T13:03:07.26" personId="{37362570-B1AB-45C2-B4A0-20EEAF3343ED}" id="{322CE11C-4C99-4BC3-8F8C-BF1325DC7B96}">
    <text>TBC</text>
  </threadedComment>
  <threadedComment ref="E31" dT="2024-09-12T13:03:22.72" personId="{37362570-B1AB-45C2-B4A0-20EEAF3343ED}" id="{AAC50BBD-4F0C-4E60-BD68-57165333A301}">
    <text>TBC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3.epa.gov/ttn/chief/ap42/ch13/final/C13S05_02-05-18.pdf" TargetMode="External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3.epa.gov/ttn/chief/ap42/ch13/final/C13S05_02-05-18.pdf" TargetMode="External"/><Relationship Id="rId5" Type="http://schemas.openxmlformats.org/officeDocument/2006/relationships/comments" Target="../comments4.xml"/><Relationship Id="rId4" Type="http://schemas.openxmlformats.org/officeDocument/2006/relationships/vmlDrawing" Target="../drawings/vmlDrawing4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3.epa.gov/ttn/chief/ap42/ch13/final/C13S05_02-05-18.pdf" TargetMode="External"/><Relationship Id="rId5" Type="http://schemas.openxmlformats.org/officeDocument/2006/relationships/comments" Target="../comments5.xml"/><Relationship Id="rId4" Type="http://schemas.openxmlformats.org/officeDocument/2006/relationships/vmlDrawing" Target="../drawings/vmlDrawing5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9E9C9-7EF8-4E7E-ADCB-C24B7A231D8F}">
  <dimension ref="A1:U43"/>
  <sheetViews>
    <sheetView tabSelected="1" topLeftCell="A23" workbookViewId="0">
      <selection activeCell="M23" sqref="M23"/>
    </sheetView>
  </sheetViews>
  <sheetFormatPr defaultRowHeight="14.45"/>
  <cols>
    <col min="1" max="1" width="22.42578125" bestFit="1" customWidth="1"/>
    <col min="2" max="2" width="16.7109375" bestFit="1" customWidth="1"/>
    <col min="3" max="3" width="14.140625" bestFit="1" customWidth="1"/>
    <col min="4" max="4" width="14.140625" customWidth="1"/>
    <col min="5" max="5" width="19" bestFit="1" customWidth="1"/>
    <col min="6" max="6" width="21.7109375" customWidth="1"/>
    <col min="7" max="10" width="14" customWidth="1"/>
  </cols>
  <sheetData>
    <row r="1" spans="1:21" ht="28.9">
      <c r="A1" s="60" t="s">
        <v>0</v>
      </c>
      <c r="B1" s="73" t="s">
        <v>1</v>
      </c>
      <c r="C1" s="74" t="s">
        <v>2</v>
      </c>
      <c r="D1" s="344" t="s">
        <v>3</v>
      </c>
      <c r="E1" s="69" t="s">
        <v>4</v>
      </c>
      <c r="F1" s="345" t="s">
        <v>5</v>
      </c>
    </row>
    <row r="2" spans="1:21">
      <c r="D2" s="1"/>
      <c r="E2" s="343"/>
    </row>
    <row r="3" spans="1:21" ht="14.45" customHeight="1">
      <c r="B3" s="60" t="s">
        <v>6</v>
      </c>
      <c r="C3" s="60" t="s">
        <v>7</v>
      </c>
      <c r="D3" s="60" t="s">
        <v>8</v>
      </c>
      <c r="E3" s="60" t="s">
        <v>9</v>
      </c>
      <c r="F3" s="60" t="s">
        <v>10</v>
      </c>
      <c r="G3" s="60" t="s">
        <v>11</v>
      </c>
      <c r="H3" s="60" t="s">
        <v>12</v>
      </c>
      <c r="I3" s="60" t="s">
        <v>13</v>
      </c>
      <c r="J3" s="60" t="s">
        <v>14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4.45" customHeight="1">
      <c r="A4" s="60" t="s">
        <v>15</v>
      </c>
      <c r="B4" s="60" t="s">
        <v>16</v>
      </c>
      <c r="C4" s="349">
        <f>(4.77*1000/3600)*54241/1000</f>
        <v>71.869325000000003</v>
      </c>
      <c r="D4" s="349">
        <f>C4</f>
        <v>71.869325000000003</v>
      </c>
      <c r="E4" s="349">
        <f>D5*12.78</f>
        <v>18.292969000199161</v>
      </c>
      <c r="F4" s="352">
        <f>3.1/0.35</f>
        <v>8.8571428571428577</v>
      </c>
      <c r="G4" s="347"/>
      <c r="H4" s="347"/>
      <c r="I4" s="347"/>
      <c r="J4" s="347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4.45" customHeight="1">
      <c r="A5" s="60" t="s">
        <v>17</v>
      </c>
      <c r="B5" s="60"/>
      <c r="C5" s="349">
        <f>C4/50.21</f>
        <v>1.4313747261501693</v>
      </c>
      <c r="D5" s="349">
        <f>C5</f>
        <v>1.4313747261501693</v>
      </c>
      <c r="E5" s="347"/>
      <c r="F5" s="347"/>
      <c r="G5" s="347"/>
      <c r="H5" s="347"/>
      <c r="I5" s="347"/>
      <c r="J5" s="347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>
      <c r="A6" s="60" t="s">
        <v>18</v>
      </c>
      <c r="B6" s="60" t="s">
        <v>19</v>
      </c>
      <c r="C6" s="353">
        <v>72.599999999999994</v>
      </c>
      <c r="D6" s="349">
        <f>'Boiler StartUp Calculations '!C83/1000</f>
        <v>72.025591336894834</v>
      </c>
      <c r="E6" s="354">
        <f>'FH StartUp Calculations '!C83/1000</f>
        <v>18.33274362249584</v>
      </c>
      <c r="F6" s="347"/>
      <c r="G6" s="347"/>
      <c r="H6" s="347"/>
      <c r="I6" s="347"/>
      <c r="J6" s="347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>
      <c r="A7" s="60" t="s">
        <v>20</v>
      </c>
      <c r="B7" s="60" t="s">
        <v>21</v>
      </c>
      <c r="C7" s="353">
        <v>77.5</v>
      </c>
      <c r="D7" s="347"/>
      <c r="E7" s="347"/>
      <c r="F7" s="347"/>
      <c r="G7" s="347"/>
      <c r="H7" s="347"/>
      <c r="I7" s="347"/>
      <c r="J7" s="347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>
      <c r="A8" s="60" t="s">
        <v>22</v>
      </c>
      <c r="B8" s="60" t="s">
        <v>23</v>
      </c>
      <c r="C8" s="352">
        <f>(C9/1000)*3600</f>
        <v>4.7700000000000005</v>
      </c>
      <c r="D8" s="354">
        <f>(D9/1000)*3600</f>
        <v>5.6365642019955553</v>
      </c>
      <c r="E8" s="352">
        <f t="shared" ref="E8" si="0">(E9/1000)*3600</f>
        <v>1.4346801533858433</v>
      </c>
      <c r="F8" s="347"/>
      <c r="G8" s="347"/>
      <c r="H8" s="347"/>
      <c r="I8" s="347"/>
      <c r="J8" s="347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>
      <c r="A9" s="60" t="s">
        <v>22</v>
      </c>
      <c r="B9" s="60" t="s">
        <v>24</v>
      </c>
      <c r="C9" s="354">
        <f>4.77*1000/3600</f>
        <v>1.325</v>
      </c>
      <c r="D9" s="354">
        <f>(D4*1000)/45902</f>
        <v>1.5657122783320987</v>
      </c>
      <c r="E9" s="354">
        <f>(E4*1000)/45902</f>
        <v>0.39852226482940095</v>
      </c>
      <c r="F9" s="347"/>
      <c r="G9" s="347"/>
      <c r="H9" s="347"/>
      <c r="I9" s="347"/>
      <c r="J9" s="347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>
      <c r="A10" s="60" t="s">
        <v>25</v>
      </c>
      <c r="B10" s="60" t="s">
        <v>26</v>
      </c>
      <c r="C10" s="353">
        <v>155</v>
      </c>
      <c r="D10" s="355">
        <v>259</v>
      </c>
      <c r="E10" s="355">
        <f>'SSAir Quality - Emissions'!B10</f>
        <v>200</v>
      </c>
      <c r="F10" s="356">
        <v>600</v>
      </c>
      <c r="G10" s="357">
        <v>1000</v>
      </c>
      <c r="H10" s="357">
        <v>1000</v>
      </c>
      <c r="I10" s="357">
        <v>1000</v>
      </c>
      <c r="J10" s="355">
        <v>1000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>
      <c r="A11" s="60" t="s">
        <v>27</v>
      </c>
      <c r="B11" s="60" t="s">
        <v>28</v>
      </c>
      <c r="C11" s="355">
        <v>70</v>
      </c>
      <c r="D11" s="355">
        <v>70</v>
      </c>
      <c r="E11" s="355">
        <v>35</v>
      </c>
      <c r="F11" s="355">
        <v>10</v>
      </c>
      <c r="G11" s="349">
        <f>'Flare Calculations C1'!C156</f>
        <v>99.857603906914875</v>
      </c>
      <c r="H11" s="349">
        <f>'Flare Calculations C2'!C156</f>
        <v>97.704497152286649</v>
      </c>
      <c r="I11" s="349">
        <f>'Flare Calculations C3'!C156</f>
        <v>100.6264870984223</v>
      </c>
      <c r="J11" s="350">
        <v>66.374424777857399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>
      <c r="A12" s="60" t="s">
        <v>29</v>
      </c>
      <c r="B12" s="60"/>
      <c r="C12" s="347"/>
      <c r="D12" s="347"/>
      <c r="E12" s="347"/>
      <c r="F12" s="347"/>
      <c r="G12" s="347"/>
      <c r="H12" s="347"/>
      <c r="I12" s="347"/>
      <c r="J12" s="347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>
      <c r="A13" s="60" t="s">
        <v>30</v>
      </c>
      <c r="B13" s="60" t="s">
        <v>31</v>
      </c>
      <c r="C13" s="353">
        <v>29.26</v>
      </c>
      <c r="D13" s="347"/>
      <c r="E13" s="353">
        <v>18.02</v>
      </c>
      <c r="F13" s="347"/>
      <c r="G13" s="347"/>
      <c r="H13" s="347"/>
      <c r="I13" s="347"/>
      <c r="J13" s="347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>
      <c r="A14" s="60" t="s">
        <v>32</v>
      </c>
      <c r="B14" s="60" t="s">
        <v>31</v>
      </c>
      <c r="C14" s="353">
        <v>2.2400000000000002</v>
      </c>
      <c r="D14" s="347"/>
      <c r="E14" s="353">
        <v>8.85</v>
      </c>
      <c r="F14" s="347"/>
      <c r="G14" s="347"/>
      <c r="H14" s="347"/>
      <c r="I14" s="347"/>
      <c r="J14" s="347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>
      <c r="A15" s="60" t="s">
        <v>33</v>
      </c>
      <c r="B15" s="60" t="s">
        <v>31</v>
      </c>
      <c r="C15" s="353">
        <v>1.57</v>
      </c>
      <c r="D15" s="347"/>
      <c r="E15" s="353">
        <v>1.64</v>
      </c>
      <c r="F15" s="347"/>
      <c r="G15" s="347"/>
      <c r="H15" s="347"/>
      <c r="I15" s="347"/>
      <c r="J15" s="347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>
      <c r="A16" s="60" t="s">
        <v>34</v>
      </c>
      <c r="B16" s="60" t="s">
        <v>31</v>
      </c>
      <c r="C16" s="353">
        <v>65.97</v>
      </c>
      <c r="D16" s="347"/>
      <c r="E16" s="353">
        <v>70.62</v>
      </c>
      <c r="F16" s="347"/>
      <c r="G16" s="347"/>
      <c r="H16" s="347"/>
      <c r="I16" s="347"/>
      <c r="J16" s="347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>
      <c r="A17" s="60" t="s">
        <v>35</v>
      </c>
      <c r="B17" s="60" t="s">
        <v>31</v>
      </c>
      <c r="C17" s="353">
        <v>0.94</v>
      </c>
      <c r="D17" s="347"/>
      <c r="E17" s="353">
        <v>0.87</v>
      </c>
      <c r="F17" s="347"/>
      <c r="G17" s="347"/>
      <c r="H17" s="347"/>
      <c r="I17" s="347"/>
      <c r="J17" s="347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>
      <c r="A18" s="60" t="s">
        <v>36</v>
      </c>
      <c r="B18" s="60" t="s">
        <v>31</v>
      </c>
      <c r="C18" s="353" t="s">
        <v>37</v>
      </c>
      <c r="D18" s="347"/>
      <c r="E18" s="353"/>
      <c r="F18" s="347"/>
      <c r="G18" s="347"/>
      <c r="H18" s="347"/>
      <c r="I18" s="347"/>
      <c r="J18" s="347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>
      <c r="A19" s="70"/>
      <c r="B19" s="60"/>
      <c r="C19" s="353"/>
      <c r="D19" s="347"/>
      <c r="E19" s="353"/>
      <c r="F19" s="347"/>
      <c r="G19" s="347"/>
      <c r="H19" s="347"/>
      <c r="I19" s="347"/>
      <c r="J19" s="347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>
      <c r="A20" s="60" t="s">
        <v>38</v>
      </c>
      <c r="B20" s="60" t="s">
        <v>39</v>
      </c>
      <c r="C20" s="353" t="s">
        <v>40</v>
      </c>
      <c r="D20" s="347"/>
      <c r="E20" s="353" t="s">
        <v>41</v>
      </c>
      <c r="F20" s="347"/>
      <c r="G20" s="347"/>
      <c r="H20" s="347"/>
      <c r="I20" s="347"/>
      <c r="J20" s="347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>
      <c r="A21" s="60" t="s">
        <v>42</v>
      </c>
      <c r="B21" s="60" t="s">
        <v>39</v>
      </c>
      <c r="C21" s="353" t="s">
        <v>43</v>
      </c>
      <c r="D21" s="347"/>
      <c r="E21" s="353" t="s">
        <v>44</v>
      </c>
      <c r="F21" s="347"/>
      <c r="G21" s="347"/>
      <c r="H21" s="347"/>
      <c r="I21" s="347"/>
      <c r="J21" s="347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57.6">
      <c r="A22" s="4" t="s">
        <v>45</v>
      </c>
      <c r="B22" s="53" t="s">
        <v>28</v>
      </c>
      <c r="C22" s="53">
        <v>1.9</v>
      </c>
      <c r="D22" s="53">
        <f>C22</f>
        <v>1.9</v>
      </c>
      <c r="E22" s="347">
        <v>0.9</v>
      </c>
      <c r="F22" s="368">
        <v>0.9</v>
      </c>
      <c r="G22" s="349">
        <f>'Flare Calculations C1'!C149</f>
        <v>11.49516245211364</v>
      </c>
      <c r="H22" s="349">
        <f>'Flare Calculations C2'!C149</f>
        <v>10.75351935037005</v>
      </c>
      <c r="I22" s="349">
        <f>'Flare Calculations C3'!C149</f>
        <v>11.76052456906403</v>
      </c>
      <c r="J22" s="370">
        <v>0.86879511756961403</v>
      </c>
    </row>
    <row r="23" spans="1:21" ht="28.9">
      <c r="A23" s="4" t="s">
        <v>46</v>
      </c>
      <c r="B23" s="7" t="s">
        <v>47</v>
      </c>
      <c r="C23" s="367">
        <f>C7*((C10+273)/273)*((20.9-C26)/(20.9-'Boiler - Dry gas calc'!M7))*(100/(100-C13))</f>
        <v>164.58659254756543</v>
      </c>
      <c r="D23" s="7"/>
      <c r="E23" s="347"/>
      <c r="F23" s="347"/>
      <c r="G23" s="347"/>
      <c r="H23" s="347"/>
      <c r="I23" s="372"/>
      <c r="J23" s="347"/>
    </row>
    <row r="24" spans="1:21" ht="28.9">
      <c r="A24" s="4" t="s">
        <v>46</v>
      </c>
      <c r="B24" s="53" t="s">
        <v>48</v>
      </c>
      <c r="C24" s="346">
        <f>C23*1000/3600</f>
        <v>45.718497929879291</v>
      </c>
      <c r="D24" s="346">
        <f>'Boiler StartUp Calculations '!C90</f>
        <v>46.709800142803658</v>
      </c>
      <c r="E24" s="349">
        <f>'FH StartUp Calculations '!C90</f>
        <v>10.570935415691318</v>
      </c>
      <c r="F24" s="358">
        <f>(425/60)*3100/2200</f>
        <v>9.9810606060606055</v>
      </c>
      <c r="G24" s="347"/>
      <c r="H24" s="347"/>
      <c r="I24" s="347"/>
      <c r="J24" s="371" t="s">
        <v>49</v>
      </c>
      <c r="K24" s="1"/>
    </row>
    <row r="25" spans="1:21">
      <c r="A25" s="4" t="s">
        <v>50</v>
      </c>
      <c r="B25" s="53" t="s">
        <v>51</v>
      </c>
      <c r="C25" s="363">
        <f>C24/(PI()*(C22/2)^2)</f>
        <v>16.124819803383655</v>
      </c>
      <c r="D25" s="363">
        <f>D24/(PI()*(D22/2)^2)</f>
        <v>16.474450046674175</v>
      </c>
      <c r="E25" s="364">
        <f>E24/(PI()*(E22/2)^2)</f>
        <v>16.616460489011878</v>
      </c>
      <c r="F25" s="364">
        <f>F24/(PI()*(F22/2)^2)</f>
        <v>15.68923587905515</v>
      </c>
      <c r="G25" s="357">
        <v>20</v>
      </c>
      <c r="H25" s="357">
        <v>20</v>
      </c>
      <c r="I25" s="357">
        <v>20</v>
      </c>
      <c r="J25" s="355">
        <v>20</v>
      </c>
    </row>
    <row r="26" spans="1:21" ht="13.9" customHeight="1">
      <c r="A26" s="4" t="s">
        <v>52</v>
      </c>
      <c r="B26" s="53"/>
      <c r="C26" s="363">
        <v>3</v>
      </c>
      <c r="D26" s="363">
        <v>3</v>
      </c>
      <c r="E26" s="363">
        <v>3</v>
      </c>
      <c r="F26" s="359"/>
      <c r="G26" s="359"/>
      <c r="H26" s="359"/>
      <c r="I26" s="359"/>
      <c r="J26" s="359"/>
      <c r="K26" s="369"/>
    </row>
    <row r="27" spans="1:21" ht="28.9">
      <c r="A27" s="4" t="s">
        <v>53</v>
      </c>
      <c r="B27" s="60"/>
      <c r="C27" s="363">
        <v>0</v>
      </c>
      <c r="D27" s="53"/>
      <c r="E27" s="347"/>
      <c r="F27" s="347"/>
      <c r="G27" s="347"/>
      <c r="H27" s="347"/>
      <c r="I27" s="347"/>
      <c r="J27" s="347"/>
      <c r="K27" s="369"/>
    </row>
    <row r="28" spans="1:21" ht="28.9">
      <c r="A28" s="4" t="s">
        <v>54</v>
      </c>
      <c r="B28" s="60"/>
      <c r="C28" s="363">
        <v>0</v>
      </c>
      <c r="D28" s="53"/>
      <c r="E28" s="347"/>
      <c r="F28" s="347"/>
      <c r="G28" s="347"/>
      <c r="H28" s="347"/>
      <c r="I28" s="347"/>
      <c r="J28" s="347"/>
    </row>
    <row r="29" spans="1:21" ht="28.9">
      <c r="A29" s="12" t="s">
        <v>55</v>
      </c>
      <c r="B29" s="60" t="s">
        <v>56</v>
      </c>
      <c r="C29" s="357">
        <f>60*1.25</f>
        <v>75</v>
      </c>
      <c r="D29" s="357">
        <v>100</v>
      </c>
      <c r="E29" s="357">
        <v>200</v>
      </c>
      <c r="F29" s="347"/>
      <c r="G29" s="347"/>
      <c r="H29" s="347"/>
      <c r="I29" s="347"/>
      <c r="J29" s="347"/>
    </row>
    <row r="30" spans="1:21" ht="28.9">
      <c r="A30" s="12" t="s">
        <v>57</v>
      </c>
      <c r="B30" s="60" t="s">
        <v>56</v>
      </c>
      <c r="C30" s="357">
        <f>85*1.25</f>
        <v>106.25</v>
      </c>
      <c r="D30" s="357">
        <v>100</v>
      </c>
      <c r="E30" s="357">
        <v>200</v>
      </c>
      <c r="F30" s="347"/>
      <c r="G30" s="347"/>
      <c r="H30" s="347"/>
      <c r="I30" s="347"/>
      <c r="J30" s="347"/>
    </row>
    <row r="31" spans="1:21" ht="43.15">
      <c r="A31" s="12" t="s">
        <v>58</v>
      </c>
      <c r="B31" s="60" t="s">
        <v>56</v>
      </c>
      <c r="C31" s="360" t="s">
        <v>59</v>
      </c>
      <c r="D31" s="357">
        <v>100</v>
      </c>
      <c r="E31" s="357">
        <v>100</v>
      </c>
      <c r="F31" s="347"/>
      <c r="G31" s="347"/>
      <c r="H31" s="347"/>
      <c r="I31" s="347"/>
      <c r="J31" s="347"/>
    </row>
    <row r="32" spans="1:21" ht="14.45" customHeight="1">
      <c r="A32" s="12" t="s">
        <v>60</v>
      </c>
      <c r="B32" s="60" t="s">
        <v>56</v>
      </c>
      <c r="C32" s="373" t="s">
        <v>61</v>
      </c>
      <c r="D32" s="374"/>
      <c r="E32" s="375"/>
      <c r="F32" s="347"/>
      <c r="G32" s="347"/>
      <c r="H32" s="347"/>
      <c r="I32" s="347"/>
      <c r="J32" s="347"/>
    </row>
    <row r="33" spans="1:10">
      <c r="A33" s="12" t="s">
        <v>62</v>
      </c>
      <c r="B33" s="60" t="s">
        <v>56</v>
      </c>
      <c r="C33" s="357">
        <v>3</v>
      </c>
      <c r="D33" s="357" t="s">
        <v>63</v>
      </c>
      <c r="E33" s="357" t="s">
        <v>63</v>
      </c>
      <c r="F33" s="347"/>
      <c r="G33" s="347"/>
      <c r="H33" s="347"/>
      <c r="I33" s="347"/>
      <c r="J33" s="347"/>
    </row>
    <row r="34" spans="1:10" ht="26.45" customHeight="1">
      <c r="A34" s="12" t="s">
        <v>42</v>
      </c>
      <c r="B34" s="60" t="s">
        <v>56</v>
      </c>
      <c r="C34" s="373" t="s">
        <v>61</v>
      </c>
      <c r="D34" s="374"/>
      <c r="E34" s="351">
        <v>3.9</v>
      </c>
      <c r="F34" s="347"/>
      <c r="G34" s="347"/>
      <c r="H34" s="347"/>
      <c r="I34" s="347"/>
      <c r="J34" s="347"/>
    </row>
    <row r="35" spans="1:10">
      <c r="A35" s="12" t="s">
        <v>38</v>
      </c>
      <c r="B35" s="60" t="s">
        <v>64</v>
      </c>
      <c r="C35" s="347"/>
      <c r="D35" s="347"/>
      <c r="E35" s="347"/>
      <c r="F35" s="357">
        <v>6.4</v>
      </c>
      <c r="G35" s="347"/>
      <c r="H35" s="347"/>
      <c r="I35" s="347"/>
      <c r="J35" s="347"/>
    </row>
    <row r="36" spans="1:10">
      <c r="A36" s="12" t="s">
        <v>65</v>
      </c>
      <c r="B36" s="60" t="s">
        <v>64</v>
      </c>
      <c r="C36" s="347"/>
      <c r="D36" s="347"/>
      <c r="E36" s="347"/>
      <c r="F36" s="357">
        <v>0.2</v>
      </c>
      <c r="G36" s="347"/>
      <c r="H36" s="347"/>
      <c r="I36" s="347"/>
      <c r="J36" s="347"/>
    </row>
    <row r="37" spans="1:10">
      <c r="A37" s="12" t="s">
        <v>66</v>
      </c>
      <c r="B37" s="60" t="s">
        <v>64</v>
      </c>
      <c r="C37" s="347"/>
      <c r="D37" s="347"/>
      <c r="E37" s="347"/>
      <c r="F37" s="357">
        <v>3.5</v>
      </c>
      <c r="G37" s="347"/>
      <c r="H37" s="347"/>
      <c r="I37" s="347"/>
      <c r="J37" s="347"/>
    </row>
    <row r="38" spans="1:10">
      <c r="A38" s="12" t="s">
        <v>67</v>
      </c>
      <c r="B38" s="71" t="s">
        <v>68</v>
      </c>
      <c r="C38" s="354">
        <f>C29*(C$7*(1000/3600))/1000</f>
        <v>1.6145833333333335</v>
      </c>
      <c r="D38" s="354">
        <f>D29*(D$6*(1000/3600))/1000</f>
        <v>2.0007108704693009</v>
      </c>
      <c r="E38" s="354">
        <f>E29*(E$6*(1000/3600))/1000</f>
        <v>1.0184857568053245</v>
      </c>
      <c r="F38" s="354">
        <f>F35*3100/3600</f>
        <v>5.5111111111111111</v>
      </c>
      <c r="G38" s="354">
        <f>'Flare Calculations C1'!C195</f>
        <v>21.972471469241608</v>
      </c>
      <c r="H38" s="354">
        <f>'Flare Calculations C2'!C195</f>
        <v>19.228700041518696</v>
      </c>
      <c r="I38" s="354">
        <f>'Flare Calculations C3'!C195</f>
        <v>22.998635481917923</v>
      </c>
      <c r="J38" s="361">
        <v>1.04478191269046E-2</v>
      </c>
    </row>
    <row r="39" spans="1:10" ht="28.9">
      <c r="A39" s="12" t="s">
        <v>69</v>
      </c>
      <c r="B39" s="71" t="s">
        <v>68</v>
      </c>
      <c r="C39" s="354">
        <f t="shared" ref="C39:E43" si="1">C30*(C$7*(1000/3600))/1000</f>
        <v>2.2873263888888893</v>
      </c>
      <c r="D39" s="354">
        <f t="shared" ref="D39" si="2">D30*(D$6*(1000/3600))/1000</f>
        <v>2.0007108704693009</v>
      </c>
      <c r="E39" s="354">
        <f t="shared" ref="E39:E42" si="3">E30*(E$6*(1000/3600))/1000</f>
        <v>1.0184857568053245</v>
      </c>
      <c r="F39" s="354">
        <f>F35*3100/3600</f>
        <v>5.5111111111111111</v>
      </c>
      <c r="G39" s="354">
        <f>G38</f>
        <v>21.972471469241608</v>
      </c>
      <c r="H39" s="354">
        <f>H38</f>
        <v>19.228700041518696</v>
      </c>
      <c r="I39" s="354">
        <f>I38</f>
        <v>22.998635481917923</v>
      </c>
      <c r="J39" s="365"/>
    </row>
    <row r="40" spans="1:10">
      <c r="A40" s="12" t="s">
        <v>70</v>
      </c>
      <c r="B40" s="71" t="s">
        <v>68</v>
      </c>
      <c r="C40" s="348"/>
      <c r="D40" s="354">
        <f t="shared" ref="D40" si="4">D31*(D$6*(1000/3600))/1000</f>
        <v>2.0007108704693009</v>
      </c>
      <c r="E40" s="354">
        <f t="shared" si="3"/>
        <v>0.50924287840266225</v>
      </c>
      <c r="F40" s="354">
        <f>F37*3100/3600</f>
        <v>3.0138888888888888</v>
      </c>
      <c r="G40" s="354">
        <f>'Flare Calculations C1'!C196</f>
        <v>100.16861993330731</v>
      </c>
      <c r="H40" s="354">
        <f>'Flare Calculations C2'!C196</f>
        <v>87.660250189276397</v>
      </c>
      <c r="I40" s="354">
        <f>'Flare Calculations C3'!C196</f>
        <v>104.84672057933172</v>
      </c>
      <c r="J40" s="361">
        <v>4.762976366677104E-2</v>
      </c>
    </row>
    <row r="41" spans="1:10">
      <c r="A41" s="12" t="s">
        <v>71</v>
      </c>
      <c r="B41" s="71" t="s">
        <v>68</v>
      </c>
      <c r="C41" s="348"/>
      <c r="D41" s="348"/>
      <c r="E41" s="348"/>
      <c r="F41" s="354">
        <f>F36*3100/3600</f>
        <v>0.17222222222222222</v>
      </c>
      <c r="G41" s="354">
        <f>'Flare Calculations C1'!C198</f>
        <v>8.7243636716106359</v>
      </c>
      <c r="H41" s="354">
        <f>'Flare Calculations C2'!C198</f>
        <v>7.6349250164853641</v>
      </c>
      <c r="I41" s="354">
        <f>'Flare Calculations C3'!C198</f>
        <v>9.1318111472321171</v>
      </c>
      <c r="J41" s="361">
        <v>8.5947587285915567E-4</v>
      </c>
    </row>
    <row r="42" spans="1:10">
      <c r="A42" s="12" t="s">
        <v>62</v>
      </c>
      <c r="B42" s="71" t="s">
        <v>68</v>
      </c>
      <c r="C42" s="362">
        <f t="shared" si="1"/>
        <v>6.458333333333334E-2</v>
      </c>
      <c r="D42" s="348"/>
      <c r="E42" s="348"/>
      <c r="F42" s="348"/>
      <c r="G42" s="347"/>
      <c r="H42" s="347"/>
      <c r="I42" s="347"/>
      <c r="J42" s="347"/>
    </row>
    <row r="43" spans="1:10">
      <c r="A43" s="12" t="s">
        <v>42</v>
      </c>
      <c r="B43" s="71" t="s">
        <v>68</v>
      </c>
      <c r="C43" s="365"/>
      <c r="D43" s="365"/>
      <c r="E43" s="366">
        <f>E34*(E$6*(1000/3600))/1000</f>
        <v>1.9860472257703828E-2</v>
      </c>
      <c r="F43" s="348"/>
      <c r="G43" s="347"/>
      <c r="H43" s="347"/>
      <c r="I43" s="347"/>
      <c r="J43" s="347"/>
    </row>
  </sheetData>
  <mergeCells count="2">
    <mergeCell ref="C32:E32"/>
    <mergeCell ref="C34:D34"/>
  </mergeCells>
  <phoneticPr fontId="33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44F5D-5BDC-49C3-B30A-6C47FF6F54A8}">
  <dimension ref="A1:N24"/>
  <sheetViews>
    <sheetView workbookViewId="0">
      <selection activeCell="F30" sqref="F30"/>
    </sheetView>
  </sheetViews>
  <sheetFormatPr defaultRowHeight="14.45"/>
  <sheetData>
    <row r="1" spans="1:14">
      <c r="A1" s="377" t="s">
        <v>72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18"/>
      <c r="N1" s="18"/>
    </row>
    <row r="2" spans="1:14">
      <c r="A2" s="378" t="s">
        <v>73</v>
      </c>
      <c r="B2" s="378"/>
      <c r="C2" s="378"/>
      <c r="D2" s="19"/>
      <c r="E2" s="19"/>
      <c r="F2" s="19"/>
      <c r="G2" s="19"/>
      <c r="H2" s="19"/>
      <c r="I2" s="19"/>
      <c r="J2" s="19"/>
      <c r="K2" s="19"/>
      <c r="L2" s="19"/>
      <c r="M2" s="20"/>
      <c r="N2" s="20"/>
    </row>
    <row r="3" spans="1:14">
      <c r="A3" s="21" t="s">
        <v>74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ht="15.6">
      <c r="A4" s="22"/>
      <c r="B4" s="22"/>
      <c r="C4" s="22"/>
      <c r="D4" s="22" t="s">
        <v>75</v>
      </c>
      <c r="E4" s="22" t="s">
        <v>76</v>
      </c>
      <c r="F4" s="22" t="s">
        <v>77</v>
      </c>
      <c r="G4" s="22" t="s">
        <v>78</v>
      </c>
      <c r="H4" s="22" t="s">
        <v>79</v>
      </c>
      <c r="I4" s="22" t="s">
        <v>80</v>
      </c>
      <c r="J4" s="22" t="s">
        <v>81</v>
      </c>
      <c r="K4" s="376" t="s">
        <v>80</v>
      </c>
      <c r="L4" s="376"/>
      <c r="M4" s="22"/>
      <c r="N4" s="22"/>
    </row>
    <row r="5" spans="1:14" ht="69.599999999999994">
      <c r="A5" s="20"/>
      <c r="B5" s="23" t="s">
        <v>82</v>
      </c>
      <c r="C5" s="24" t="s">
        <v>83</v>
      </c>
      <c r="D5" s="25" t="s">
        <v>84</v>
      </c>
      <c r="E5" s="25" t="s">
        <v>85</v>
      </c>
      <c r="F5" s="25" t="s">
        <v>86</v>
      </c>
      <c r="G5" s="25" t="s">
        <v>87</v>
      </c>
      <c r="H5" s="25" t="s">
        <v>88</v>
      </c>
      <c r="I5" s="25" t="s">
        <v>89</v>
      </c>
      <c r="J5" s="25" t="s">
        <v>90</v>
      </c>
      <c r="K5" s="379" t="s">
        <v>91</v>
      </c>
      <c r="L5" s="379"/>
      <c r="M5" s="25" t="s">
        <v>92</v>
      </c>
      <c r="N5" s="25" t="s">
        <v>93</v>
      </c>
    </row>
    <row r="6" spans="1:14">
      <c r="A6" s="20"/>
      <c r="B6" s="26"/>
      <c r="C6" s="24"/>
      <c r="D6" s="24"/>
      <c r="E6" s="24"/>
      <c r="F6" s="24"/>
      <c r="G6" s="24"/>
      <c r="H6" s="24" t="s">
        <v>94</v>
      </c>
      <c r="I6" s="27" t="s">
        <v>95</v>
      </c>
      <c r="J6" s="27" t="s">
        <v>48</v>
      </c>
      <c r="K6" s="27" t="s">
        <v>95</v>
      </c>
      <c r="L6" s="27" t="s">
        <v>96</v>
      </c>
      <c r="M6" s="20"/>
      <c r="N6" s="20" t="s">
        <v>97</v>
      </c>
    </row>
    <row r="7" spans="1:14">
      <c r="A7" s="20"/>
      <c r="B7" s="28" t="s">
        <v>98</v>
      </c>
      <c r="C7" s="29">
        <f>'Emissions Summary'!C15</f>
        <v>1.57</v>
      </c>
      <c r="D7" s="30">
        <f t="shared" ref="D7:D12" si="0">C7/$C$13</f>
        <v>1.5703140628125625E-2</v>
      </c>
      <c r="E7" s="31">
        <f>31.999</f>
        <v>31.998999999999999</v>
      </c>
      <c r="F7" s="32">
        <f t="shared" ref="F7:F12" si="1">D7*E7/$E$13</f>
        <v>1.9612569333643533E-2</v>
      </c>
      <c r="G7" s="30">
        <f t="shared" ref="G7:G12" si="2">F7*100</f>
        <v>1.9612569333643532</v>
      </c>
      <c r="H7" s="30">
        <f>F7*$C$16</f>
        <v>0</v>
      </c>
      <c r="I7" s="30">
        <f t="shared" ref="I7:I12" si="3">E7*C$15*100/(8.314*E$18)</f>
        <v>0.91062565865174361</v>
      </c>
      <c r="J7" s="30">
        <f t="shared" ref="J7:J12" si="4">H7/I7</f>
        <v>0</v>
      </c>
      <c r="K7" s="30" t="e">
        <f t="shared" ref="K7:K12" si="5">H7/$J$13</f>
        <v>#DIV/0!</v>
      </c>
      <c r="L7" s="30" t="e">
        <f t="shared" ref="L7:L12" si="6">K7*1000</f>
        <v>#DIV/0!</v>
      </c>
      <c r="M7" s="33">
        <f>C7*100/(C13-C12)</f>
        <v>2.2200226244343892</v>
      </c>
      <c r="N7" s="34"/>
    </row>
    <row r="8" spans="1:14">
      <c r="A8" s="20"/>
      <c r="B8" s="28" t="s">
        <v>42</v>
      </c>
      <c r="C8" s="35">
        <v>0</v>
      </c>
      <c r="D8" s="30">
        <f t="shared" si="0"/>
        <v>0</v>
      </c>
      <c r="E8" s="30">
        <v>64.063800000000001</v>
      </c>
      <c r="F8" s="32">
        <f t="shared" si="1"/>
        <v>0</v>
      </c>
      <c r="G8" s="30">
        <f t="shared" si="2"/>
        <v>0</v>
      </c>
      <c r="H8" s="30">
        <f t="shared" ref="H8:H12" si="7">F8*$C$16</f>
        <v>0</v>
      </c>
      <c r="I8" s="30">
        <f t="shared" si="3"/>
        <v>1.8231238498307314</v>
      </c>
      <c r="J8" s="30">
        <f t="shared" si="4"/>
        <v>0</v>
      </c>
      <c r="K8" s="30" t="e">
        <f t="shared" si="5"/>
        <v>#DIV/0!</v>
      </c>
      <c r="L8" s="30" t="e">
        <f t="shared" si="6"/>
        <v>#DIV/0!</v>
      </c>
      <c r="M8" s="34"/>
      <c r="N8" s="34"/>
    </row>
    <row r="9" spans="1:14">
      <c r="A9" s="20"/>
      <c r="B9" s="28" t="s">
        <v>99</v>
      </c>
      <c r="C9" s="29">
        <f>'Emissions Summary'!C14</f>
        <v>2.2400000000000002</v>
      </c>
      <c r="D9" s="30">
        <f t="shared" si="0"/>
        <v>2.2404480896179236E-2</v>
      </c>
      <c r="E9" s="30">
        <f>44.0095</f>
        <v>44.009500000000003</v>
      </c>
      <c r="F9" s="32">
        <f t="shared" si="1"/>
        <v>3.8485123619494611E-2</v>
      </c>
      <c r="G9" s="30">
        <f t="shared" si="2"/>
        <v>3.848512361949461</v>
      </c>
      <c r="H9" s="30">
        <f t="shared" si="7"/>
        <v>0</v>
      </c>
      <c r="I9" s="30">
        <f t="shared" si="3"/>
        <v>1.2524197607560834</v>
      </c>
      <c r="J9" s="30">
        <f t="shared" si="4"/>
        <v>0</v>
      </c>
      <c r="K9" s="30" t="e">
        <f t="shared" si="5"/>
        <v>#DIV/0!</v>
      </c>
      <c r="L9" s="30" t="e">
        <f t="shared" si="6"/>
        <v>#DIV/0!</v>
      </c>
      <c r="M9" s="34"/>
      <c r="N9" s="34"/>
    </row>
    <row r="10" spans="1:14">
      <c r="A10" s="20"/>
      <c r="B10" s="28" t="s">
        <v>100</v>
      </c>
      <c r="C10" s="36">
        <f>'Emissions Summary'!C17</f>
        <v>0.94</v>
      </c>
      <c r="D10" s="30">
        <f t="shared" si="0"/>
        <v>9.401880376075214E-3</v>
      </c>
      <c r="E10" s="30">
        <v>39.948</v>
      </c>
      <c r="F10" s="32">
        <f t="shared" si="1"/>
        <v>1.4659573250118848E-2</v>
      </c>
      <c r="G10" s="30">
        <f t="shared" si="2"/>
        <v>1.4659573250118847</v>
      </c>
      <c r="H10" s="30">
        <f t="shared" si="7"/>
        <v>0</v>
      </c>
      <c r="I10" s="30">
        <f t="shared" si="3"/>
        <v>1.1368378328016455</v>
      </c>
      <c r="J10" s="30">
        <f t="shared" si="4"/>
        <v>0</v>
      </c>
      <c r="K10" s="30" t="e">
        <f t="shared" si="5"/>
        <v>#DIV/0!</v>
      </c>
      <c r="L10" s="30" t="e">
        <f t="shared" si="6"/>
        <v>#DIV/0!</v>
      </c>
      <c r="M10" s="34"/>
      <c r="N10" s="34"/>
    </row>
    <row r="11" spans="1:14">
      <c r="A11" s="20"/>
      <c r="B11" s="28" t="s">
        <v>101</v>
      </c>
      <c r="C11" s="36">
        <f>'Emissions Summary'!C16</f>
        <v>65.97</v>
      </c>
      <c r="D11" s="30">
        <f t="shared" si="0"/>
        <v>0.65983196639327857</v>
      </c>
      <c r="E11" s="30">
        <f>28.0134</f>
        <v>28.013400000000001</v>
      </c>
      <c r="F11" s="32">
        <f t="shared" si="1"/>
        <v>0.72145747871497545</v>
      </c>
      <c r="G11" s="30">
        <f t="shared" si="2"/>
        <v>72.145747871497548</v>
      </c>
      <c r="H11" s="30">
        <f t="shared" si="7"/>
        <v>0</v>
      </c>
      <c r="I11" s="30">
        <f t="shared" si="3"/>
        <v>0.79720368843009959</v>
      </c>
      <c r="J11" s="30">
        <f t="shared" si="4"/>
        <v>0</v>
      </c>
      <c r="K11" s="30" t="e">
        <f t="shared" si="5"/>
        <v>#DIV/0!</v>
      </c>
      <c r="L11" s="30" t="e">
        <f t="shared" si="6"/>
        <v>#DIV/0!</v>
      </c>
      <c r="M11" s="34"/>
      <c r="N11" s="34"/>
    </row>
    <row r="12" spans="1:14">
      <c r="A12" s="20"/>
      <c r="B12" s="28" t="s">
        <v>102</v>
      </c>
      <c r="C12" s="29">
        <f>'Emissions Summary'!C13</f>
        <v>29.26</v>
      </c>
      <c r="D12" s="30">
        <f t="shared" si="0"/>
        <v>0.29265853170634126</v>
      </c>
      <c r="E12" s="30">
        <v>18.0153</v>
      </c>
      <c r="F12" s="32">
        <f t="shared" si="1"/>
        <v>0.20578525508176754</v>
      </c>
      <c r="G12" s="30">
        <f t="shared" si="2"/>
        <v>20.578525508176753</v>
      </c>
      <c r="H12" s="30">
        <f t="shared" si="7"/>
        <v>0</v>
      </c>
      <c r="I12" s="30">
        <f t="shared" si="3"/>
        <v>0.51267834708299498</v>
      </c>
      <c r="J12" s="30">
        <f t="shared" si="4"/>
        <v>0</v>
      </c>
      <c r="K12" s="30" t="e">
        <f t="shared" si="5"/>
        <v>#DIV/0!</v>
      </c>
      <c r="L12" s="30" t="e">
        <f t="shared" si="6"/>
        <v>#DIV/0!</v>
      </c>
      <c r="M12" s="33"/>
      <c r="N12" s="34"/>
    </row>
    <row r="13" spans="1:14">
      <c r="A13" s="20"/>
      <c r="B13" s="26" t="s">
        <v>103</v>
      </c>
      <c r="C13" s="37">
        <f>SUM(C7:C12)</f>
        <v>99.98</v>
      </c>
      <c r="D13" s="38">
        <f>SUM(D7:D12)</f>
        <v>0.99999999999999989</v>
      </c>
      <c r="E13" s="34">
        <f>(D7*E7)+(D8*E8)+(D9*E9)+(D10*E10)+(D11*E11)+(D12*E12)</f>
        <v>25.620549169833964</v>
      </c>
      <c r="F13" s="38">
        <f>SUM(F7:F12)</f>
        <v>1</v>
      </c>
      <c r="G13" s="38">
        <f>SUM(G7:G12)</f>
        <v>100</v>
      </c>
      <c r="H13" s="38">
        <f>SUM(H7:H12)</f>
        <v>0</v>
      </c>
      <c r="I13" s="38"/>
      <c r="J13" s="38">
        <f>SUM(J7:J12)</f>
        <v>0</v>
      </c>
      <c r="K13" s="38" t="e">
        <f>SUM(K7:K12)</f>
        <v>#DIV/0!</v>
      </c>
      <c r="L13" s="38" t="e">
        <f>SUM(L7:L12)</f>
        <v>#DIV/0!</v>
      </c>
      <c r="M13" s="37">
        <f>J13-J12</f>
        <v>0</v>
      </c>
      <c r="N13" s="39">
        <f>M13*(273/E18)*(20.9-M7)/(20.9-C21)</f>
        <v>0</v>
      </c>
    </row>
    <row r="14" spans="1:14">
      <c r="A14" s="20"/>
      <c r="B14" s="26"/>
      <c r="C14" s="24"/>
      <c r="D14" s="24"/>
      <c r="E14" s="34"/>
      <c r="F14" s="24"/>
      <c r="G14" s="24"/>
      <c r="H14" s="38"/>
      <c r="I14" s="24"/>
      <c r="J14" s="38"/>
      <c r="K14" s="38"/>
      <c r="L14" s="38"/>
      <c r="M14" s="40"/>
      <c r="N14" s="20"/>
    </row>
    <row r="15" spans="1:14">
      <c r="A15" s="22" t="s">
        <v>104</v>
      </c>
      <c r="B15" s="26" t="s">
        <v>105</v>
      </c>
      <c r="C15" s="41">
        <v>1.0129999999999999</v>
      </c>
      <c r="D15" s="26" t="s">
        <v>106</v>
      </c>
      <c r="E15" s="20"/>
      <c r="F15" s="20"/>
      <c r="G15" s="20"/>
      <c r="H15" s="20"/>
      <c r="I15" s="20"/>
      <c r="J15" s="20"/>
      <c r="K15" s="42"/>
      <c r="L15" s="20"/>
      <c r="M15" s="20"/>
      <c r="N15" s="20"/>
    </row>
    <row r="16" spans="1:14">
      <c r="A16" s="22" t="s">
        <v>107</v>
      </c>
      <c r="B16" s="26" t="s">
        <v>108</v>
      </c>
      <c r="C16" s="43"/>
      <c r="D16" s="26" t="s">
        <v>24</v>
      </c>
      <c r="E16" s="20"/>
      <c r="F16" s="44">
        <f>C16*3600</f>
        <v>0</v>
      </c>
      <c r="G16" s="20" t="s">
        <v>109</v>
      </c>
      <c r="H16" s="20"/>
      <c r="I16" s="20"/>
      <c r="J16" s="20"/>
      <c r="K16" s="42"/>
      <c r="L16" s="20"/>
      <c r="M16" s="20"/>
      <c r="N16" s="20"/>
    </row>
    <row r="17" spans="1:14">
      <c r="A17" s="22" t="s">
        <v>110</v>
      </c>
      <c r="B17" s="26" t="s">
        <v>111</v>
      </c>
      <c r="C17" s="28">
        <f>E17*1000</f>
        <v>1900</v>
      </c>
      <c r="D17" s="26" t="s">
        <v>112</v>
      </c>
      <c r="E17" s="72">
        <f>'Emissions Summary'!C22</f>
        <v>1.9</v>
      </c>
      <c r="F17" s="20" t="s">
        <v>28</v>
      </c>
      <c r="G17" s="20"/>
      <c r="H17" s="20"/>
      <c r="I17" s="20"/>
      <c r="J17" s="20"/>
      <c r="K17" s="42"/>
      <c r="L17" s="20"/>
      <c r="M17" s="20"/>
      <c r="N17" s="20"/>
    </row>
    <row r="18" spans="1:14">
      <c r="A18" s="22" t="s">
        <v>113</v>
      </c>
      <c r="B18" s="26" t="s">
        <v>25</v>
      </c>
      <c r="C18" s="41">
        <f>'Emissions Summary'!C10</f>
        <v>155</v>
      </c>
      <c r="D18" s="26" t="s">
        <v>114</v>
      </c>
      <c r="E18" s="20">
        <f>C18+273.15</f>
        <v>428.15</v>
      </c>
      <c r="F18" s="20" t="s">
        <v>115</v>
      </c>
      <c r="G18" s="20"/>
      <c r="H18" s="20"/>
      <c r="I18" s="20"/>
      <c r="J18" s="20"/>
      <c r="K18" s="42"/>
      <c r="L18" s="20"/>
      <c r="M18" s="20"/>
      <c r="N18" s="20"/>
    </row>
    <row r="19" spans="1:14">
      <c r="A19" s="22" t="s">
        <v>116</v>
      </c>
      <c r="B19" s="26" t="s">
        <v>117</v>
      </c>
      <c r="C19" s="20">
        <f>PI()*((E17/2)^2)</f>
        <v>2.8352873698647882</v>
      </c>
      <c r="D19" s="20" t="s">
        <v>118</v>
      </c>
      <c r="E19" s="20"/>
      <c r="F19" s="20"/>
      <c r="G19" s="20"/>
      <c r="H19" s="20"/>
      <c r="I19" s="20"/>
      <c r="J19" s="20"/>
      <c r="K19" s="42"/>
      <c r="L19" s="20"/>
      <c r="M19" s="20"/>
      <c r="N19" s="20"/>
    </row>
    <row r="20" spans="1:14">
      <c r="A20" s="22" t="s">
        <v>119</v>
      </c>
      <c r="B20" s="26" t="s">
        <v>50</v>
      </c>
      <c r="C20" s="46">
        <f>C22/C19</f>
        <v>0</v>
      </c>
      <c r="D20" s="20" t="s">
        <v>51</v>
      </c>
      <c r="E20" s="20"/>
      <c r="F20" s="20"/>
      <c r="G20" s="20"/>
      <c r="H20" s="20"/>
      <c r="I20" s="20"/>
      <c r="J20" s="20"/>
      <c r="K20" s="42"/>
      <c r="L20" s="20"/>
      <c r="M20" s="20"/>
      <c r="N20" s="20"/>
    </row>
    <row r="21" spans="1:14">
      <c r="A21" s="20"/>
      <c r="B21" s="20" t="s">
        <v>120</v>
      </c>
      <c r="C21" s="45">
        <v>3</v>
      </c>
      <c r="D21" s="20" t="s">
        <v>121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</row>
    <row r="22" spans="1:14">
      <c r="A22" s="20"/>
      <c r="B22" s="20" t="s">
        <v>122</v>
      </c>
      <c r="C22" s="47">
        <f>J13</f>
        <v>0</v>
      </c>
      <c r="D22" s="20" t="s">
        <v>123</v>
      </c>
      <c r="E22" s="20"/>
      <c r="F22" s="48">
        <f>C22*3600</f>
        <v>0</v>
      </c>
      <c r="G22" s="20" t="s">
        <v>124</v>
      </c>
      <c r="H22" s="49" t="e">
        <f>F22/F23</f>
        <v>#DIV/0!</v>
      </c>
      <c r="I22" s="20"/>
      <c r="J22" s="18">
        <f>F22*((273)/(155+273))</f>
        <v>0</v>
      </c>
      <c r="K22" s="20" t="s">
        <v>125</v>
      </c>
      <c r="L22" s="20"/>
      <c r="M22" s="20"/>
      <c r="N22" s="20"/>
    </row>
    <row r="23" spans="1:14">
      <c r="A23" s="20"/>
      <c r="B23" s="20" t="s">
        <v>126</v>
      </c>
      <c r="C23" s="47">
        <f>N13</f>
        <v>0</v>
      </c>
      <c r="D23" s="20" t="s">
        <v>97</v>
      </c>
      <c r="E23" s="20"/>
      <c r="F23" s="48">
        <f>C23*3600</f>
        <v>0</v>
      </c>
      <c r="G23" s="20" t="s">
        <v>127</v>
      </c>
      <c r="H23" s="47"/>
      <c r="I23" s="20"/>
      <c r="J23" s="20"/>
      <c r="K23" s="20"/>
      <c r="L23" s="20"/>
      <c r="M23" s="20"/>
      <c r="N23" s="20"/>
    </row>
    <row r="24" spans="1:14">
      <c r="A24" s="50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</row>
  </sheetData>
  <mergeCells count="4">
    <mergeCell ref="K4:L4"/>
    <mergeCell ref="A1:L1"/>
    <mergeCell ref="A2:C2"/>
    <mergeCell ref="K5:L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C19FD-675C-4775-B5BA-0EA2C6DF403B}">
  <dimension ref="A1:U99"/>
  <sheetViews>
    <sheetView topLeftCell="A18" workbookViewId="0">
      <selection activeCell="E31" sqref="E31"/>
    </sheetView>
  </sheetViews>
  <sheetFormatPr defaultRowHeight="14.45"/>
  <cols>
    <col min="2" max="2" width="26.140625" customWidth="1"/>
    <col min="3" max="3" width="25.140625" customWidth="1"/>
    <col min="4" max="4" width="14.5703125" customWidth="1"/>
    <col min="5" max="5" width="30.7109375" customWidth="1"/>
    <col min="6" max="6" width="15" customWidth="1"/>
    <col min="7" max="7" width="15.5703125" customWidth="1"/>
    <col min="8" max="8" width="16.28515625" customWidth="1"/>
    <col min="9" max="10" width="14.140625" customWidth="1"/>
    <col min="11" max="11" width="11.85546875" customWidth="1"/>
    <col min="12" max="13" width="11.140625" customWidth="1"/>
    <col min="14" max="14" width="13.140625" bestFit="1" customWidth="1"/>
    <col min="15" max="15" width="10.85546875" customWidth="1"/>
    <col min="16" max="16" width="13.140625" bestFit="1" customWidth="1"/>
    <col min="17" max="17" width="11.140625" bestFit="1" customWidth="1"/>
    <col min="18" max="18" width="11.5703125" customWidth="1"/>
    <col min="19" max="19" width="11.42578125" customWidth="1"/>
    <col min="21" max="21" width="14.28515625" customWidth="1"/>
  </cols>
  <sheetData>
    <row r="1" spans="2:5" ht="15" thickBot="1"/>
    <row r="2" spans="2:5">
      <c r="B2" s="75" t="s">
        <v>128</v>
      </c>
      <c r="C2" s="76" t="s">
        <v>129</v>
      </c>
    </row>
    <row r="3" spans="2:5" ht="27.6">
      <c r="B3" s="77" t="s">
        <v>130</v>
      </c>
      <c r="C3" s="78" t="s">
        <v>131</v>
      </c>
    </row>
    <row r="4" spans="2:5" ht="15" thickBot="1">
      <c r="B4" s="79" t="s">
        <v>132</v>
      </c>
      <c r="C4" s="80" t="s">
        <v>133</v>
      </c>
    </row>
    <row r="6" spans="2:5">
      <c r="C6" s="81" t="s">
        <v>134</v>
      </c>
    </row>
    <row r="7" spans="2:5">
      <c r="C7" s="82" t="s">
        <v>135</v>
      </c>
    </row>
    <row r="9" spans="2:5" ht="15" thickBot="1"/>
    <row r="10" spans="2:5" ht="18">
      <c r="B10" s="380" t="s">
        <v>136</v>
      </c>
      <c r="C10" s="381"/>
      <c r="D10" s="381"/>
      <c r="E10" s="382"/>
    </row>
    <row r="11" spans="2:5">
      <c r="B11" s="83" t="s">
        <v>137</v>
      </c>
      <c r="C11" s="84" t="s">
        <v>138</v>
      </c>
      <c r="D11" s="84" t="s">
        <v>6</v>
      </c>
      <c r="E11" s="85" t="s">
        <v>139</v>
      </c>
    </row>
    <row r="12" spans="2:5">
      <c r="B12" s="86" t="s">
        <v>140</v>
      </c>
      <c r="C12" s="87" t="s">
        <v>133</v>
      </c>
      <c r="D12" s="88"/>
      <c r="E12" s="89"/>
    </row>
    <row r="13" spans="2:5">
      <c r="B13" s="86" t="s">
        <v>141</v>
      </c>
      <c r="C13" s="90"/>
      <c r="D13" s="88"/>
      <c r="E13" s="89"/>
    </row>
    <row r="14" spans="2:5">
      <c r="B14" s="86" t="s">
        <v>142</v>
      </c>
      <c r="C14" s="90"/>
      <c r="D14" s="88"/>
      <c r="E14" s="89"/>
    </row>
    <row r="15" spans="2:5">
      <c r="B15" s="86" t="s">
        <v>143</v>
      </c>
      <c r="C15" s="91">
        <v>70</v>
      </c>
      <c r="D15" s="60" t="s">
        <v>28</v>
      </c>
      <c r="E15" s="92"/>
    </row>
    <row r="16" spans="2:5">
      <c r="B16" s="86" t="s">
        <v>144</v>
      </c>
      <c r="C16" s="91">
        <v>1.9</v>
      </c>
      <c r="D16" s="60" t="s">
        <v>28</v>
      </c>
      <c r="E16" s="92"/>
    </row>
    <row r="17" spans="1:21" ht="42" thickBot="1">
      <c r="B17" s="93" t="s">
        <v>145</v>
      </c>
      <c r="C17" s="94">
        <f>'Emissions Summary'!D8</f>
        <v>5.6365642019955553</v>
      </c>
      <c r="D17" s="95" t="s">
        <v>146</v>
      </c>
      <c r="E17" s="96" t="s">
        <v>147</v>
      </c>
    </row>
    <row r="18" spans="1:21" ht="15" thickBot="1"/>
    <row r="19" spans="1:21" ht="18">
      <c r="A19" s="97" t="s">
        <v>148</v>
      </c>
      <c r="B19" s="383" t="s">
        <v>149</v>
      </c>
      <c r="C19" s="384"/>
      <c r="D19" s="384"/>
      <c r="E19" s="385"/>
      <c r="F19" s="383"/>
      <c r="G19" s="384"/>
      <c r="H19" s="384"/>
      <c r="I19" s="384"/>
      <c r="J19" s="384"/>
      <c r="K19" s="385"/>
      <c r="L19" s="383"/>
      <c r="M19" s="384"/>
      <c r="N19" s="384"/>
      <c r="O19" s="384"/>
      <c r="P19" s="384"/>
      <c r="Q19" s="384"/>
      <c r="R19" s="384"/>
      <c r="S19" s="385"/>
    </row>
    <row r="20" spans="1:21" ht="36">
      <c r="B20" s="98" t="s">
        <v>150</v>
      </c>
      <c r="C20" s="99" t="s">
        <v>151</v>
      </c>
      <c r="D20" s="99" t="s">
        <v>152</v>
      </c>
      <c r="E20" s="100" t="s">
        <v>153</v>
      </c>
      <c r="F20" s="98" t="s">
        <v>154</v>
      </c>
      <c r="G20" s="99" t="s">
        <v>155</v>
      </c>
      <c r="H20" s="99" t="s">
        <v>156</v>
      </c>
      <c r="I20" s="99" t="s">
        <v>157</v>
      </c>
      <c r="J20" s="99" t="s">
        <v>158</v>
      </c>
      <c r="K20" s="100" t="s">
        <v>159</v>
      </c>
      <c r="L20" s="98" t="s">
        <v>160</v>
      </c>
      <c r="M20" s="99" t="s">
        <v>161</v>
      </c>
      <c r="N20" s="101" t="s">
        <v>162</v>
      </c>
      <c r="O20" s="101" t="s">
        <v>163</v>
      </c>
      <c r="P20" s="101" t="s">
        <v>164</v>
      </c>
      <c r="Q20" s="101" t="s">
        <v>165</v>
      </c>
      <c r="R20" s="101" t="s">
        <v>166</v>
      </c>
      <c r="S20" s="102" t="s">
        <v>167</v>
      </c>
      <c r="U20" s="103" t="s">
        <v>168</v>
      </c>
    </row>
    <row r="21" spans="1:21">
      <c r="B21" s="104" t="s">
        <v>34</v>
      </c>
      <c r="C21" s="105" t="s">
        <v>101</v>
      </c>
      <c r="D21" s="106">
        <v>28</v>
      </c>
      <c r="E21" s="107">
        <v>3.64</v>
      </c>
      <c r="F21" s="108">
        <f t="shared" ref="F21:F37" si="0">(E21/100*D21)</f>
        <v>1.0192000000000001</v>
      </c>
      <c r="G21" s="109">
        <f t="shared" ref="G21:G37" si="1">F21/F$38</f>
        <v>5.8807237813884805E-2</v>
      </c>
      <c r="H21" s="110" t="s">
        <v>169</v>
      </c>
      <c r="I21" s="110" t="s">
        <v>169</v>
      </c>
      <c r="J21" s="111" t="s">
        <v>169</v>
      </c>
      <c r="K21" s="112" t="s">
        <v>169</v>
      </c>
      <c r="L21" s="108" t="s">
        <v>169</v>
      </c>
      <c r="M21" s="111" t="s">
        <v>169</v>
      </c>
      <c r="N21" s="113" t="s">
        <v>169</v>
      </c>
      <c r="O21" s="113" t="s">
        <v>169</v>
      </c>
      <c r="P21" s="114" t="s">
        <v>169</v>
      </c>
      <c r="Q21" s="114" t="s">
        <v>169</v>
      </c>
      <c r="R21" s="115" t="s">
        <v>169</v>
      </c>
      <c r="S21" s="115" t="s">
        <v>169</v>
      </c>
      <c r="U21" t="e">
        <f>I21*1000*D21</f>
        <v>#VALUE!</v>
      </c>
    </row>
    <row r="22" spans="1:21">
      <c r="B22" s="104" t="s">
        <v>170</v>
      </c>
      <c r="C22" s="105" t="s">
        <v>102</v>
      </c>
      <c r="D22" s="106">
        <v>18</v>
      </c>
      <c r="E22" s="107">
        <v>0</v>
      </c>
      <c r="F22" s="108">
        <f t="shared" si="0"/>
        <v>0</v>
      </c>
      <c r="G22" s="109">
        <f t="shared" si="1"/>
        <v>0</v>
      </c>
      <c r="H22" s="110" t="s">
        <v>169</v>
      </c>
      <c r="I22" s="110" t="s">
        <v>169</v>
      </c>
      <c r="J22" s="111" t="s">
        <v>169</v>
      </c>
      <c r="K22" s="112" t="s">
        <v>169</v>
      </c>
      <c r="L22" s="108" t="s">
        <v>169</v>
      </c>
      <c r="M22" s="111" t="s">
        <v>169</v>
      </c>
      <c r="N22" s="113" t="s">
        <v>169</v>
      </c>
      <c r="O22" s="113" t="s">
        <v>169</v>
      </c>
      <c r="P22" s="114" t="s">
        <v>169</v>
      </c>
      <c r="Q22" s="114" t="s">
        <v>169</v>
      </c>
      <c r="R22" s="115" t="s">
        <v>169</v>
      </c>
      <c r="S22" s="116">
        <f>$E22/100</f>
        <v>0</v>
      </c>
      <c r="U22" t="e">
        <f t="shared" ref="U22:U31" si="2">I22*1000*D22</f>
        <v>#VALUE!</v>
      </c>
    </row>
    <row r="23" spans="1:21">
      <c r="B23" s="104" t="s">
        <v>32</v>
      </c>
      <c r="C23" s="105" t="s">
        <v>99</v>
      </c>
      <c r="D23" s="106">
        <v>44</v>
      </c>
      <c r="E23" s="107">
        <v>0.77</v>
      </c>
      <c r="F23" s="108">
        <f t="shared" si="0"/>
        <v>0.33879999999999999</v>
      </c>
      <c r="G23" s="109">
        <f t="shared" si="1"/>
        <v>1.9548559822747419E-2</v>
      </c>
      <c r="H23" s="110" t="s">
        <v>169</v>
      </c>
      <c r="I23" s="110" t="s">
        <v>169</v>
      </c>
      <c r="J23" s="111" t="s">
        <v>169</v>
      </c>
      <c r="K23" s="112" t="s">
        <v>169</v>
      </c>
      <c r="L23" s="108" t="s">
        <v>169</v>
      </c>
      <c r="M23" s="111" t="s">
        <v>169</v>
      </c>
      <c r="N23" s="113" t="s">
        <v>169</v>
      </c>
      <c r="O23" s="113" t="s">
        <v>169</v>
      </c>
      <c r="P23" s="114" t="s">
        <v>169</v>
      </c>
      <c r="Q23" s="114" t="s">
        <v>169</v>
      </c>
      <c r="R23" s="116">
        <f>$E23/100</f>
        <v>7.7000000000000002E-3</v>
      </c>
      <c r="S23" s="115" t="s">
        <v>169</v>
      </c>
      <c r="U23" t="e">
        <f t="shared" si="2"/>
        <v>#VALUE!</v>
      </c>
    </row>
    <row r="24" spans="1:21">
      <c r="B24" s="104" t="s">
        <v>171</v>
      </c>
      <c r="C24" s="105" t="s">
        <v>172</v>
      </c>
      <c r="D24" s="106">
        <v>34</v>
      </c>
      <c r="E24" s="117">
        <v>0</v>
      </c>
      <c r="F24" s="108">
        <f t="shared" si="0"/>
        <v>0</v>
      </c>
      <c r="G24" s="118">
        <f t="shared" si="1"/>
        <v>0</v>
      </c>
      <c r="H24" s="110">
        <v>35.06</v>
      </c>
      <c r="I24" s="110">
        <v>31.56</v>
      </c>
      <c r="J24" s="106">
        <f t="shared" ref="J24:J37" si="3">H24*G24</f>
        <v>0</v>
      </c>
      <c r="K24" s="112">
        <f t="shared" ref="K24:K37" si="4">I24*G24</f>
        <v>0</v>
      </c>
      <c r="L24" s="119">
        <v>1</v>
      </c>
      <c r="M24" s="106">
        <v>2</v>
      </c>
      <c r="N24" s="113">
        <f t="shared" ref="N24:N37" si="5">L24*E24/100</f>
        <v>0</v>
      </c>
      <c r="O24" s="113">
        <f t="shared" ref="O24:O37" si="6">M24*E24/100</f>
        <v>0</v>
      </c>
      <c r="P24" s="114">
        <f>N24+O24/4</f>
        <v>0</v>
      </c>
      <c r="Q24" s="114">
        <f>P24/0.21</f>
        <v>0</v>
      </c>
      <c r="R24" s="116">
        <f>N24</f>
        <v>0</v>
      </c>
      <c r="S24" s="115">
        <f>O24/2</f>
        <v>0</v>
      </c>
      <c r="U24" s="120">
        <f t="shared" si="2"/>
        <v>1073040</v>
      </c>
    </row>
    <row r="25" spans="1:21">
      <c r="B25" s="104" t="s">
        <v>173</v>
      </c>
      <c r="C25" s="105" t="s">
        <v>174</v>
      </c>
      <c r="D25" s="106">
        <v>16</v>
      </c>
      <c r="E25" s="107">
        <v>91.79</v>
      </c>
      <c r="F25" s="108">
        <f>(E25/100*D25)</f>
        <v>14.686400000000001</v>
      </c>
      <c r="G25" s="109">
        <f t="shared" si="1"/>
        <v>0.84739660265878902</v>
      </c>
      <c r="H25" s="110">
        <f>37.71/0.6785</f>
        <v>55.578481945467949</v>
      </c>
      <c r="I25" s="110">
        <f>33.95/0.6785</f>
        <v>50.036845983787771</v>
      </c>
      <c r="J25" s="111">
        <f t="shared" si="3"/>
        <v>47.097016781522385</v>
      </c>
      <c r="K25" s="112">
        <f>I25*G25</f>
        <v>42.40105329442283</v>
      </c>
      <c r="L25" s="119">
        <v>1</v>
      </c>
      <c r="M25" s="106">
        <v>4</v>
      </c>
      <c r="N25" s="113">
        <f t="shared" si="5"/>
        <v>0.91790000000000005</v>
      </c>
      <c r="O25" s="113">
        <f>M25*E25/100</f>
        <v>3.6716000000000002</v>
      </c>
      <c r="P25" s="114">
        <f t="shared" ref="P25:P37" si="7">N25+O25/4</f>
        <v>1.8358000000000001</v>
      </c>
      <c r="Q25" s="114">
        <f t="shared" ref="Q25:Q37" si="8">P25/0.21</f>
        <v>8.7419047619047632</v>
      </c>
      <c r="R25" s="116">
        <f t="shared" ref="R25:R38" si="9">N25</f>
        <v>0.91790000000000005</v>
      </c>
      <c r="S25" s="115">
        <f>O25/2</f>
        <v>1.8358000000000001</v>
      </c>
      <c r="U25" s="120">
        <f t="shared" si="2"/>
        <v>800589.53574060439</v>
      </c>
    </row>
    <row r="26" spans="1:21">
      <c r="B26" s="104" t="s">
        <v>175</v>
      </c>
      <c r="C26" s="105" t="s">
        <v>176</v>
      </c>
      <c r="D26" s="106">
        <v>30</v>
      </c>
      <c r="E26" s="107">
        <v>3</v>
      </c>
      <c r="F26" s="108">
        <f t="shared" si="0"/>
        <v>0.89999999999999991</v>
      </c>
      <c r="G26" s="109">
        <f t="shared" si="1"/>
        <v>5.1929468242245209E-2</v>
      </c>
      <c r="H26" s="110">
        <f>66.07/1.272</f>
        <v>51.941823899371066</v>
      </c>
      <c r="I26" s="110">
        <f>60.43/1.272</f>
        <v>47.507861635220124</v>
      </c>
      <c r="J26" s="111">
        <f t="shared" si="3"/>
        <v>2.6973112946266831</v>
      </c>
      <c r="K26" s="112">
        <f t="shared" si="4"/>
        <v>2.4670579920431428</v>
      </c>
      <c r="L26" s="119">
        <v>2</v>
      </c>
      <c r="M26" s="106">
        <v>6</v>
      </c>
      <c r="N26" s="113">
        <f t="shared" si="5"/>
        <v>0.06</v>
      </c>
      <c r="O26" s="113">
        <f t="shared" si="6"/>
        <v>0.18</v>
      </c>
      <c r="P26" s="114">
        <f t="shared" si="7"/>
        <v>0.105</v>
      </c>
      <c r="Q26" s="114">
        <f t="shared" si="8"/>
        <v>0.5</v>
      </c>
      <c r="R26" s="116">
        <f t="shared" si="9"/>
        <v>0.06</v>
      </c>
      <c r="S26" s="115">
        <f t="shared" ref="S26:S38" si="10">O26/2</f>
        <v>0.09</v>
      </c>
      <c r="U26" s="120">
        <f t="shared" si="2"/>
        <v>1425235.8490566036</v>
      </c>
    </row>
    <row r="27" spans="1:21">
      <c r="B27" s="104" t="s">
        <v>177</v>
      </c>
      <c r="C27" s="105" t="s">
        <v>178</v>
      </c>
      <c r="D27" s="106">
        <v>44</v>
      </c>
      <c r="E27" s="107">
        <v>0.59</v>
      </c>
      <c r="F27" s="108">
        <f t="shared" si="0"/>
        <v>0.2596</v>
      </c>
      <c r="G27" s="109">
        <f t="shared" si="1"/>
        <v>1.4978766617429841E-2</v>
      </c>
      <c r="H27" s="110">
        <f>93.94/1.865</f>
        <v>50.369973190348524</v>
      </c>
      <c r="I27" s="110">
        <f>86.42/1.865</f>
        <v>46.337801608579092</v>
      </c>
      <c r="J27" s="111">
        <f t="shared" si="3"/>
        <v>0.75448007294442854</v>
      </c>
      <c r="K27" s="112">
        <f t="shared" si="4"/>
        <v>0.69408311585967131</v>
      </c>
      <c r="L27" s="119">
        <v>3</v>
      </c>
      <c r="M27" s="106">
        <v>8</v>
      </c>
      <c r="N27" s="113">
        <f t="shared" si="5"/>
        <v>1.77E-2</v>
      </c>
      <c r="O27" s="113">
        <f t="shared" si="6"/>
        <v>4.7199999999999999E-2</v>
      </c>
      <c r="P27" s="114">
        <f t="shared" si="7"/>
        <v>2.9499999999999998E-2</v>
      </c>
      <c r="Q27" s="114">
        <f t="shared" si="8"/>
        <v>0.14047619047619048</v>
      </c>
      <c r="R27" s="116">
        <f t="shared" si="9"/>
        <v>1.77E-2</v>
      </c>
      <c r="S27" s="115">
        <f t="shared" si="10"/>
        <v>2.3599999999999999E-2</v>
      </c>
      <c r="U27" s="120">
        <f t="shared" si="2"/>
        <v>2038863.2707774802</v>
      </c>
    </row>
    <row r="28" spans="1:21">
      <c r="B28" s="104" t="s">
        <v>179</v>
      </c>
      <c r="C28" s="105" t="s">
        <v>180</v>
      </c>
      <c r="D28" s="106">
        <v>58</v>
      </c>
      <c r="E28" s="107">
        <v>0.14000000000000001</v>
      </c>
      <c r="F28" s="108">
        <f t="shared" si="0"/>
        <v>8.1200000000000008E-2</v>
      </c>
      <c r="G28" s="109">
        <f t="shared" si="1"/>
        <v>4.6851920236336796E-3</v>
      </c>
      <c r="H28" s="110">
        <f>121.6/2.458</f>
        <v>49.471114727420662</v>
      </c>
      <c r="I28" s="110">
        <f>112.2/2.458</f>
        <v>45.64686737184703</v>
      </c>
      <c r="J28" s="111">
        <f t="shared" si="3"/>
        <v>0.23178167212117795</v>
      </c>
      <c r="K28" s="112">
        <f t="shared" si="4"/>
        <v>0.21386433891444218</v>
      </c>
      <c r="L28" s="119">
        <v>4</v>
      </c>
      <c r="M28" s="106">
        <v>10</v>
      </c>
      <c r="N28" s="113">
        <f t="shared" si="5"/>
        <v>5.6000000000000008E-3</v>
      </c>
      <c r="O28" s="113">
        <f t="shared" si="6"/>
        <v>1.4000000000000002E-2</v>
      </c>
      <c r="P28" s="114">
        <f t="shared" si="7"/>
        <v>9.1000000000000004E-3</v>
      </c>
      <c r="Q28" s="114">
        <f t="shared" si="8"/>
        <v>4.3333333333333335E-2</v>
      </c>
      <c r="R28" s="116">
        <f t="shared" si="9"/>
        <v>5.6000000000000008E-3</v>
      </c>
      <c r="S28" s="115">
        <f t="shared" si="10"/>
        <v>7.000000000000001E-3</v>
      </c>
      <c r="U28" s="120">
        <f t="shared" si="2"/>
        <v>2647518.307567128</v>
      </c>
    </row>
    <row r="29" spans="1:21">
      <c r="B29" s="104"/>
      <c r="C29" s="105" t="s">
        <v>181</v>
      </c>
      <c r="D29" s="106">
        <v>58</v>
      </c>
      <c r="E29" s="107">
        <v>0</v>
      </c>
      <c r="F29" s="108">
        <f t="shared" si="0"/>
        <v>0</v>
      </c>
      <c r="G29" s="109">
        <f t="shared" si="1"/>
        <v>0</v>
      </c>
      <c r="H29" s="121">
        <v>49.471114727420662</v>
      </c>
      <c r="I29" s="121">
        <v>45.64686737184703</v>
      </c>
      <c r="J29" s="111">
        <f t="shared" si="3"/>
        <v>0</v>
      </c>
      <c r="K29" s="112">
        <f t="shared" si="4"/>
        <v>0</v>
      </c>
      <c r="L29" s="119">
        <v>4</v>
      </c>
      <c r="M29" s="106">
        <v>10</v>
      </c>
      <c r="N29" s="113">
        <f t="shared" si="5"/>
        <v>0</v>
      </c>
      <c r="O29" s="113">
        <f t="shared" si="6"/>
        <v>0</v>
      </c>
      <c r="P29" s="114">
        <f t="shared" si="7"/>
        <v>0</v>
      </c>
      <c r="Q29" s="114">
        <f t="shared" si="8"/>
        <v>0</v>
      </c>
      <c r="R29" s="116">
        <f t="shared" si="9"/>
        <v>0</v>
      </c>
      <c r="S29" s="115">
        <f t="shared" si="10"/>
        <v>0</v>
      </c>
      <c r="U29" s="120">
        <f t="shared" si="2"/>
        <v>2647518.307567128</v>
      </c>
    </row>
    <row r="30" spans="1:21">
      <c r="B30" s="104" t="s">
        <v>182</v>
      </c>
      <c r="C30" s="105" t="s">
        <v>183</v>
      </c>
      <c r="D30" s="106">
        <v>72</v>
      </c>
      <c r="E30" s="107">
        <v>0.04</v>
      </c>
      <c r="F30" s="108">
        <f t="shared" si="0"/>
        <v>2.8800000000000003E-2</v>
      </c>
      <c r="G30" s="109">
        <f t="shared" si="1"/>
        <v>1.661742983751847E-3</v>
      </c>
      <c r="H30" s="122">
        <f>149.3/3.051</f>
        <v>48.93477548344805</v>
      </c>
      <c r="I30" s="122">
        <f>138.1/3.051</f>
        <v>45.263847918715172</v>
      </c>
      <c r="J30" s="111">
        <f t="shared" si="3"/>
        <v>8.1317019821091699E-2</v>
      </c>
      <c r="K30" s="112">
        <f t="shared" si="4"/>
        <v>7.5216881696535579E-2</v>
      </c>
      <c r="L30" s="119">
        <v>5</v>
      </c>
      <c r="M30" s="106">
        <v>12</v>
      </c>
      <c r="N30" s="113">
        <f t="shared" si="5"/>
        <v>2E-3</v>
      </c>
      <c r="O30" s="113">
        <f t="shared" si="6"/>
        <v>4.7999999999999996E-3</v>
      </c>
      <c r="P30" s="114">
        <f t="shared" si="7"/>
        <v>3.1999999999999997E-3</v>
      </c>
      <c r="Q30" s="114">
        <f t="shared" si="8"/>
        <v>1.5238095238095238E-2</v>
      </c>
      <c r="R30" s="116">
        <f t="shared" si="9"/>
        <v>2E-3</v>
      </c>
      <c r="S30" s="115">
        <f t="shared" si="10"/>
        <v>2.3999999999999998E-3</v>
      </c>
      <c r="U30" s="120">
        <f t="shared" si="2"/>
        <v>3258997.0501474924</v>
      </c>
    </row>
    <row r="31" spans="1:21">
      <c r="B31" s="104"/>
      <c r="C31" s="105"/>
      <c r="D31" s="106">
        <v>72</v>
      </c>
      <c r="E31" s="107">
        <v>0</v>
      </c>
      <c r="F31" s="108">
        <f t="shared" si="0"/>
        <v>0</v>
      </c>
      <c r="G31" s="109">
        <f t="shared" si="1"/>
        <v>0</v>
      </c>
      <c r="H31" s="121">
        <v>48.93477548344805</v>
      </c>
      <c r="I31" s="121">
        <v>45.263847918715172</v>
      </c>
      <c r="J31" s="111">
        <f t="shared" si="3"/>
        <v>0</v>
      </c>
      <c r="K31" s="112">
        <f t="shared" si="4"/>
        <v>0</v>
      </c>
      <c r="L31" s="119">
        <v>5</v>
      </c>
      <c r="M31" s="106">
        <v>12</v>
      </c>
      <c r="N31" s="113">
        <f t="shared" si="5"/>
        <v>0</v>
      </c>
      <c r="O31" s="113">
        <f t="shared" si="6"/>
        <v>0</v>
      </c>
      <c r="P31" s="114">
        <f t="shared" si="7"/>
        <v>0</v>
      </c>
      <c r="Q31" s="114">
        <f t="shared" si="8"/>
        <v>0</v>
      </c>
      <c r="R31" s="116">
        <f t="shared" si="9"/>
        <v>0</v>
      </c>
      <c r="S31" s="115">
        <f t="shared" si="10"/>
        <v>0</v>
      </c>
      <c r="U31" s="120">
        <f t="shared" si="2"/>
        <v>3258997.0501474924</v>
      </c>
    </row>
    <row r="32" spans="1:21">
      <c r="B32" s="104" t="s">
        <v>184</v>
      </c>
      <c r="C32" s="105" t="s">
        <v>185</v>
      </c>
      <c r="D32" s="106">
        <v>86</v>
      </c>
      <c r="E32" s="107">
        <v>0.02</v>
      </c>
      <c r="F32" s="108">
        <f>(E32/100*D32)</f>
        <v>1.72E-2</v>
      </c>
      <c r="G32" s="109">
        <f>F32/F$38</f>
        <v>9.9242983751846405E-4</v>
      </c>
      <c r="H32" s="122">
        <f>177.55/3.645</f>
        <v>48.710562414266121</v>
      </c>
      <c r="I32" s="122">
        <f>164.4/3.645</f>
        <v>45.102880658436213</v>
      </c>
      <c r="J32" s="111">
        <f>H32*G32</f>
        <v>4.8341815542223131E-2</v>
      </c>
      <c r="K32" s="112">
        <f>I32*G32</f>
        <v>4.4761444523466525E-2</v>
      </c>
      <c r="L32" s="119">
        <v>6</v>
      </c>
      <c r="M32" s="106">
        <v>14</v>
      </c>
      <c r="N32" s="113">
        <f>L32*E32/100</f>
        <v>1.1999999999999999E-3</v>
      </c>
      <c r="O32" s="113">
        <f>M32*E32/100</f>
        <v>2.8000000000000004E-3</v>
      </c>
      <c r="P32" s="114">
        <f>N32+O32/4</f>
        <v>1.9E-3</v>
      </c>
      <c r="Q32" s="114">
        <f>P32/0.21</f>
        <v>9.0476190476190474E-3</v>
      </c>
      <c r="R32" s="116">
        <f>N32</f>
        <v>1.1999999999999999E-3</v>
      </c>
      <c r="S32" s="115">
        <f>O32/2</f>
        <v>1.4000000000000002E-3</v>
      </c>
      <c r="U32" s="120">
        <f>I32*1000*D32</f>
        <v>3878847.736625514</v>
      </c>
    </row>
    <row r="33" spans="1:21">
      <c r="B33" s="104" t="s">
        <v>186</v>
      </c>
      <c r="C33" s="105" t="s">
        <v>187</v>
      </c>
      <c r="D33" s="106">
        <v>78</v>
      </c>
      <c r="E33" s="107">
        <v>0</v>
      </c>
      <c r="F33" s="108">
        <f>(E33/100*D33)</f>
        <v>0</v>
      </c>
      <c r="G33" s="109">
        <f>F33/F$38</f>
        <v>0</v>
      </c>
      <c r="H33" s="122">
        <f>139.69/3.304</f>
        <v>42.279055690072639</v>
      </c>
      <c r="I33" s="122">
        <f>134.05/3.304</f>
        <v>40.572033898305094</v>
      </c>
      <c r="J33" s="111">
        <f>H33*G33</f>
        <v>0</v>
      </c>
      <c r="K33" s="112">
        <f>I33*G33</f>
        <v>0</v>
      </c>
      <c r="L33" s="119">
        <v>6</v>
      </c>
      <c r="M33" s="106">
        <v>6</v>
      </c>
      <c r="N33" s="113">
        <f>L33*E33/100</f>
        <v>0</v>
      </c>
      <c r="O33" s="113">
        <f>M33*E33/100</f>
        <v>0</v>
      </c>
      <c r="P33" s="114">
        <f>N33+O33/4</f>
        <v>0</v>
      </c>
      <c r="Q33" s="114">
        <f>P33/0.21</f>
        <v>0</v>
      </c>
      <c r="R33" s="116">
        <f>N33</f>
        <v>0</v>
      </c>
      <c r="S33" s="115">
        <f>O33/2</f>
        <v>0</v>
      </c>
      <c r="U33" s="120"/>
    </row>
    <row r="34" spans="1:21">
      <c r="B34" s="104" t="s">
        <v>188</v>
      </c>
      <c r="C34" s="105" t="s">
        <v>189</v>
      </c>
      <c r="D34" s="106">
        <v>100</v>
      </c>
      <c r="E34" s="107">
        <v>0</v>
      </c>
      <c r="F34" s="108">
        <f>(E34/100*D34)</f>
        <v>0</v>
      </c>
      <c r="G34" s="109">
        <f>F34/F$38</f>
        <v>0</v>
      </c>
      <c r="H34" s="122">
        <f>205.43/4.238</f>
        <v>48.473336479471449</v>
      </c>
      <c r="I34" s="122">
        <f>190.4/4.238</f>
        <v>44.926852288815475</v>
      </c>
      <c r="J34" s="111">
        <f>H34*G34</f>
        <v>0</v>
      </c>
      <c r="K34" s="112">
        <f>I34*G34</f>
        <v>0</v>
      </c>
      <c r="L34" s="119">
        <v>7</v>
      </c>
      <c r="M34" s="106">
        <v>16</v>
      </c>
      <c r="N34" s="113">
        <f>L34*E34/100</f>
        <v>0</v>
      </c>
      <c r="O34" s="113">
        <f>M34*E34/100</f>
        <v>0</v>
      </c>
      <c r="P34" s="114">
        <f>N34+O34/4</f>
        <v>0</v>
      </c>
      <c r="Q34" s="114">
        <f>P34/0.21</f>
        <v>0</v>
      </c>
      <c r="R34" s="116">
        <f>N34</f>
        <v>0</v>
      </c>
      <c r="S34" s="115">
        <f>O34/2</f>
        <v>0</v>
      </c>
      <c r="U34" s="120"/>
    </row>
    <row r="35" spans="1:21">
      <c r="B35" s="104" t="s">
        <v>190</v>
      </c>
      <c r="C35" s="105" t="s">
        <v>191</v>
      </c>
      <c r="D35" s="106">
        <v>92</v>
      </c>
      <c r="E35" s="107">
        <v>0</v>
      </c>
      <c r="F35" s="108">
        <f>(E35/100*D35)</f>
        <v>0</v>
      </c>
      <c r="G35" s="109">
        <f>F35/F$38</f>
        <v>0</v>
      </c>
      <c r="H35" s="122">
        <f>167.06/3.897</f>
        <v>42.868873492430076</v>
      </c>
      <c r="I35" s="122">
        <f>159.54/3.897</f>
        <v>40.939183987682831</v>
      </c>
      <c r="J35" s="111">
        <f>H35*G35</f>
        <v>0</v>
      </c>
      <c r="K35" s="112">
        <f>I35*G35</f>
        <v>0</v>
      </c>
      <c r="L35" s="119">
        <v>7</v>
      </c>
      <c r="M35" s="106">
        <v>8</v>
      </c>
      <c r="N35" s="113">
        <f>L35*E35/100</f>
        <v>0</v>
      </c>
      <c r="O35" s="113">
        <f>M35*E35/100</f>
        <v>0</v>
      </c>
      <c r="P35" s="114">
        <f>N35+O35/4</f>
        <v>0</v>
      </c>
      <c r="Q35" s="114">
        <f>P35/0.21</f>
        <v>0</v>
      </c>
      <c r="R35" s="116">
        <f>N35</f>
        <v>0</v>
      </c>
      <c r="S35" s="115">
        <f>O35/2</f>
        <v>0</v>
      </c>
      <c r="U35" s="120"/>
    </row>
    <row r="36" spans="1:21">
      <c r="B36" s="104" t="s">
        <v>192</v>
      </c>
      <c r="C36" s="105" t="s">
        <v>193</v>
      </c>
      <c r="D36" s="106">
        <v>114</v>
      </c>
      <c r="E36" s="107">
        <v>0</v>
      </c>
      <c r="F36" s="108">
        <f>(E36/100*D36)</f>
        <v>0</v>
      </c>
      <c r="G36" s="109">
        <f>F36/F$38</f>
        <v>0</v>
      </c>
      <c r="H36" s="122">
        <f>233.29/4.831</f>
        <v>48.290209066445861</v>
      </c>
      <c r="I36" s="122">
        <f>216.38/4.831</f>
        <v>44.789898571724279</v>
      </c>
      <c r="J36" s="111">
        <f>H36*G36</f>
        <v>0</v>
      </c>
      <c r="K36" s="112">
        <f>I36*G36</f>
        <v>0</v>
      </c>
      <c r="L36" s="119">
        <v>8</v>
      </c>
      <c r="M36" s="106">
        <v>18</v>
      </c>
      <c r="N36" s="113">
        <f>L36*E36/100</f>
        <v>0</v>
      </c>
      <c r="O36" s="113">
        <f>M36*E36/100</f>
        <v>0</v>
      </c>
      <c r="P36" s="114">
        <f>N36+O36/4</f>
        <v>0</v>
      </c>
      <c r="Q36" s="114">
        <f>P36/0.21</f>
        <v>0</v>
      </c>
      <c r="R36" s="116">
        <f>N36</f>
        <v>0</v>
      </c>
      <c r="S36" s="115">
        <f>O36/2</f>
        <v>0</v>
      </c>
      <c r="U36" s="120"/>
    </row>
    <row r="37" spans="1:21">
      <c r="B37" s="104" t="s">
        <v>194</v>
      </c>
      <c r="C37" s="105" t="s">
        <v>185</v>
      </c>
      <c r="D37" s="106">
        <v>86</v>
      </c>
      <c r="E37" s="107"/>
      <c r="F37" s="108">
        <f t="shared" si="0"/>
        <v>0</v>
      </c>
      <c r="G37" s="109">
        <f t="shared" si="1"/>
        <v>0</v>
      </c>
      <c r="H37" s="122">
        <f>177.55/3.645</f>
        <v>48.710562414266121</v>
      </c>
      <c r="I37" s="122">
        <f>164.4/3.645</f>
        <v>45.102880658436213</v>
      </c>
      <c r="J37" s="111">
        <f t="shared" si="3"/>
        <v>0</v>
      </c>
      <c r="K37" s="112">
        <f t="shared" si="4"/>
        <v>0</v>
      </c>
      <c r="L37" s="119">
        <v>6</v>
      </c>
      <c r="M37" s="106">
        <v>14</v>
      </c>
      <c r="N37" s="113">
        <f t="shared" si="5"/>
        <v>0</v>
      </c>
      <c r="O37" s="113">
        <f t="shared" si="6"/>
        <v>0</v>
      </c>
      <c r="P37" s="114">
        <f t="shared" si="7"/>
        <v>0</v>
      </c>
      <c r="Q37" s="114">
        <f t="shared" si="8"/>
        <v>0</v>
      </c>
      <c r="R37" s="116">
        <f t="shared" si="9"/>
        <v>0</v>
      </c>
      <c r="S37" s="115">
        <f t="shared" si="10"/>
        <v>0</v>
      </c>
      <c r="U37" s="120">
        <f>I37*1000*D37</f>
        <v>3878847.736625514</v>
      </c>
    </row>
    <row r="38" spans="1:21">
      <c r="B38" s="104" t="s">
        <v>195</v>
      </c>
      <c r="C38" s="106" t="s">
        <v>169</v>
      </c>
      <c r="D38" s="106" t="s">
        <v>169</v>
      </c>
      <c r="E38" s="112">
        <f>SUM(E21:E37)</f>
        <v>99.990000000000009</v>
      </c>
      <c r="F38" s="123">
        <f>SUM(F21:F37)</f>
        <v>17.331199999999995</v>
      </c>
      <c r="G38" s="124">
        <f>SUM(G21:G37)</f>
        <v>1.0000000000000004</v>
      </c>
      <c r="H38" s="111" t="s">
        <v>169</v>
      </c>
      <c r="I38" s="111" t="s">
        <v>169</v>
      </c>
      <c r="J38" s="125">
        <f>SUM(J24:J37)</f>
        <v>50.910248656577998</v>
      </c>
      <c r="K38" s="126">
        <f>SUM(K24:K37)</f>
        <v>45.896037067460085</v>
      </c>
      <c r="L38" s="119" t="s">
        <v>169</v>
      </c>
      <c r="M38" s="106" t="s">
        <v>169</v>
      </c>
      <c r="N38" s="127">
        <f>SUM(N24:N37)</f>
        <v>1.0044000000000002</v>
      </c>
      <c r="O38" s="127">
        <f>SUM(O24:O37)</f>
        <v>3.9204000000000003</v>
      </c>
      <c r="P38" s="114">
        <f>N38+O38/4</f>
        <v>1.9845000000000002</v>
      </c>
      <c r="Q38" s="114">
        <f>P38/0.21</f>
        <v>9.4500000000000011</v>
      </c>
      <c r="R38" s="116">
        <f t="shared" si="9"/>
        <v>1.0044000000000002</v>
      </c>
      <c r="S38" s="115">
        <f t="shared" si="10"/>
        <v>1.9602000000000002</v>
      </c>
    </row>
    <row r="39" spans="1:21">
      <c r="B39" s="104" t="s">
        <v>196</v>
      </c>
      <c r="C39" s="106" t="s">
        <v>169</v>
      </c>
      <c r="D39" s="106" t="s">
        <v>169</v>
      </c>
      <c r="E39" s="112">
        <f>SUM(E26:E37)</f>
        <v>3.79</v>
      </c>
      <c r="F39" s="108" t="s">
        <v>169</v>
      </c>
      <c r="G39" s="124">
        <f>SUM(G26:G37)</f>
        <v>7.4247599704579045E-2</v>
      </c>
      <c r="H39" s="111" t="s">
        <v>169</v>
      </c>
      <c r="I39" s="111" t="s">
        <v>169</v>
      </c>
      <c r="J39" s="111" t="s">
        <v>169</v>
      </c>
      <c r="K39" s="112" t="s">
        <v>169</v>
      </c>
      <c r="L39" s="119" t="s">
        <v>169</v>
      </c>
      <c r="M39" s="106" t="s">
        <v>169</v>
      </c>
      <c r="N39" s="128" t="s">
        <v>169</v>
      </c>
      <c r="O39" s="113" t="s">
        <v>169</v>
      </c>
      <c r="P39" s="113" t="s">
        <v>169</v>
      </c>
      <c r="Q39" s="113"/>
      <c r="R39" s="113"/>
      <c r="S39" s="129"/>
    </row>
    <row r="40" spans="1:21" ht="15" customHeight="1" thickBot="1">
      <c r="B40" s="130" t="s">
        <v>197</v>
      </c>
      <c r="C40" s="131"/>
      <c r="D40" s="131"/>
      <c r="E40" s="132"/>
      <c r="F40" s="133"/>
      <c r="G40" s="131"/>
      <c r="H40" s="131"/>
      <c r="I40" s="131"/>
      <c r="J40" s="131"/>
      <c r="K40" s="132"/>
      <c r="L40" s="133"/>
      <c r="M40" s="131"/>
      <c r="N40" s="134"/>
      <c r="O40" s="134"/>
      <c r="P40" s="134"/>
      <c r="Q40" s="134"/>
      <c r="R40" s="134"/>
      <c r="S40" s="135"/>
    </row>
    <row r="41" spans="1:21" ht="15" thickBot="1">
      <c r="B41" s="136"/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</row>
    <row r="42" spans="1:21" ht="15" customHeight="1">
      <c r="B42" s="386" t="s">
        <v>198</v>
      </c>
      <c r="C42" s="387"/>
      <c r="D42" s="387"/>
      <c r="E42" s="387"/>
      <c r="F42" s="388"/>
      <c r="G42" s="136"/>
      <c r="H42" s="136"/>
      <c r="I42" s="136"/>
      <c r="J42" s="136"/>
      <c r="K42" s="136"/>
      <c r="L42" s="136"/>
      <c r="M42" s="136"/>
      <c r="N42" s="136"/>
      <c r="O42" s="136"/>
      <c r="P42" s="136"/>
      <c r="Q42" s="136"/>
      <c r="R42" s="136"/>
    </row>
    <row r="43" spans="1:21">
      <c r="B43" s="137" t="s">
        <v>137</v>
      </c>
      <c r="C43" s="138" t="s">
        <v>138</v>
      </c>
      <c r="D43" s="138" t="s">
        <v>6</v>
      </c>
      <c r="E43" s="138" t="s">
        <v>139</v>
      </c>
      <c r="F43" s="139">
        <v>15</v>
      </c>
      <c r="G43" s="136" t="s">
        <v>114</v>
      </c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6"/>
    </row>
    <row r="44" spans="1:21">
      <c r="B44" s="140" t="s">
        <v>199</v>
      </c>
      <c r="C44" s="141">
        <f>F38/E38*100</f>
        <v>17.332933293329329</v>
      </c>
      <c r="D44" s="142" t="s">
        <v>200</v>
      </c>
      <c r="E44" s="143">
        <f>(C44/1000)/(22.414/1000/273.15*(273.15+F43))</f>
        <v>0.7330528371604752</v>
      </c>
      <c r="F44" s="144" t="s">
        <v>201</v>
      </c>
      <c r="H44" s="145" t="e">
        <f>C46*1000*C44*#REF!*#REF!</f>
        <v>#REF!</v>
      </c>
      <c r="I44" s="136"/>
      <c r="J44" s="136"/>
      <c r="K44" s="136"/>
      <c r="L44" s="136"/>
      <c r="M44" s="136"/>
      <c r="N44" s="136"/>
      <c r="O44" s="136"/>
      <c r="P44" s="146">
        <f>(28*(Q38-P38)+44*SUM(R21:R37)+18*SUM(S21:S37)+29*Q38*I58/100)/((Q38-P38)+SUM(R21:R37)+SUM(S21:S37)+Q38*I58/100)</f>
        <v>27.831490069159329</v>
      </c>
      <c r="Q44" s="136"/>
      <c r="R44" s="136"/>
    </row>
    <row r="45" spans="1:21">
      <c r="B45" s="140" t="s">
        <v>202</v>
      </c>
      <c r="C45" s="147">
        <f>J38</f>
        <v>50.910248656577998</v>
      </c>
      <c r="D45" s="142" t="s">
        <v>203</v>
      </c>
      <c r="E45" s="148">
        <f>C45*1000/1000*E44</f>
        <v>37.319902218249773</v>
      </c>
      <c r="F45" s="144" t="s">
        <v>204</v>
      </c>
      <c r="G45" s="136"/>
      <c r="H45" s="136"/>
      <c r="I45" s="136"/>
      <c r="J45" s="136"/>
      <c r="K45" s="136"/>
      <c r="L45" s="136"/>
      <c r="M45" s="136"/>
      <c r="N45" s="136"/>
      <c r="O45" s="136"/>
      <c r="P45" s="136"/>
      <c r="Q45" s="136"/>
      <c r="R45" s="136"/>
    </row>
    <row r="46" spans="1:21" ht="15" thickBot="1">
      <c r="B46" s="149" t="s">
        <v>205</v>
      </c>
      <c r="C46" s="150">
        <f>K38</f>
        <v>45.896037067460085</v>
      </c>
      <c r="D46" s="151" t="s">
        <v>203</v>
      </c>
      <c r="E46" s="152">
        <f>C46*1000/1000*E44</f>
        <v>33.644220186723949</v>
      </c>
      <c r="F46" s="153" t="s">
        <v>204</v>
      </c>
      <c r="G46" s="136"/>
      <c r="H46" s="136"/>
      <c r="I46" s="136"/>
      <c r="J46" s="136"/>
      <c r="K46" s="136"/>
      <c r="L46" s="136"/>
      <c r="M46" s="136"/>
      <c r="N46" s="136"/>
      <c r="O46" s="136"/>
      <c r="P46" s="136"/>
      <c r="Q46" s="136"/>
      <c r="R46" s="136"/>
    </row>
    <row r="47" spans="1:21" ht="15" thickBot="1"/>
    <row r="48" spans="1:21" ht="18">
      <c r="A48" s="97" t="s">
        <v>206</v>
      </c>
      <c r="B48" s="386" t="s">
        <v>198</v>
      </c>
      <c r="C48" s="387"/>
      <c r="D48" s="387"/>
      <c r="E48" s="387"/>
      <c r="F48" s="388"/>
      <c r="G48" s="136"/>
      <c r="H48" s="136"/>
      <c r="I48" s="136"/>
      <c r="J48" s="136"/>
      <c r="K48" s="136"/>
      <c r="L48" s="136"/>
      <c r="M48" s="136"/>
    </row>
    <row r="49" spans="1:14">
      <c r="B49" s="154" t="s">
        <v>207</v>
      </c>
      <c r="C49" s="136"/>
      <c r="D49" s="136"/>
      <c r="E49" s="136"/>
      <c r="F49" s="136"/>
      <c r="G49" s="136"/>
      <c r="H49" s="136"/>
      <c r="I49" s="136"/>
      <c r="J49" s="136"/>
      <c r="K49" s="136"/>
      <c r="L49" s="136"/>
      <c r="M49" s="136"/>
      <c r="N49" s="136"/>
    </row>
    <row r="50" spans="1:14">
      <c r="A50" s="136"/>
      <c r="B50" s="136" t="s">
        <v>208</v>
      </c>
      <c r="C50" s="136"/>
      <c r="D50" s="136"/>
      <c r="E50" s="136"/>
      <c r="F50" s="136"/>
      <c r="G50" s="136"/>
      <c r="H50" s="136"/>
      <c r="I50" s="136"/>
      <c r="J50" s="136"/>
      <c r="K50" s="136"/>
      <c r="L50" s="136"/>
      <c r="M50" s="136"/>
    </row>
    <row r="51" spans="1:14">
      <c r="A51" s="136"/>
      <c r="B51" s="136" t="s">
        <v>209</v>
      </c>
      <c r="C51" s="155">
        <f>Q38-P38+R38+S38</f>
        <v>10.430100000000001</v>
      </c>
      <c r="D51" s="136" t="s">
        <v>210</v>
      </c>
      <c r="E51" s="136"/>
      <c r="F51" s="136"/>
      <c r="G51" s="136"/>
      <c r="H51" s="136"/>
      <c r="I51" s="136"/>
      <c r="J51" s="136"/>
      <c r="K51" s="136"/>
      <c r="L51" s="136"/>
      <c r="M51" s="136"/>
    </row>
    <row r="52" spans="1:14">
      <c r="A52" s="136"/>
      <c r="B52" s="136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</row>
    <row r="53" spans="1:14">
      <c r="A53" s="136"/>
      <c r="B53" s="136" t="s">
        <v>211</v>
      </c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</row>
    <row r="54" spans="1:14">
      <c r="A54" s="136"/>
      <c r="B54" s="136" t="s">
        <v>212</v>
      </c>
      <c r="C54" s="155">
        <f>C51-SUM(S21:S37)</f>
        <v>8.4699000000000009</v>
      </c>
      <c r="D54" s="136" t="s">
        <v>210</v>
      </c>
      <c r="E54" s="136"/>
      <c r="F54" s="136"/>
      <c r="G54" s="136"/>
      <c r="H54" s="136"/>
      <c r="I54" s="136"/>
      <c r="J54" s="136"/>
      <c r="K54" s="136"/>
      <c r="L54" s="136"/>
      <c r="M54" s="136"/>
    </row>
    <row r="55" spans="1:14">
      <c r="A55" s="136"/>
      <c r="B55" s="136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</row>
    <row r="56" spans="1:14">
      <c r="B56" s="154" t="s">
        <v>213</v>
      </c>
      <c r="C56" s="136"/>
      <c r="D56" s="136"/>
      <c r="E56" s="136"/>
      <c r="F56" s="156" t="s">
        <v>214</v>
      </c>
      <c r="H56" s="156"/>
      <c r="I56" s="156"/>
      <c r="J56" s="156"/>
      <c r="K56" s="136"/>
      <c r="L56" s="136"/>
      <c r="M56" s="136"/>
      <c r="N56" s="136"/>
    </row>
    <row r="57" spans="1:14">
      <c r="A57" s="136"/>
      <c r="B57" s="136"/>
      <c r="C57" s="136"/>
      <c r="D57" s="136"/>
      <c r="E57" s="136"/>
      <c r="F57" s="156" t="s">
        <v>215</v>
      </c>
      <c r="G57" s="156"/>
      <c r="H57" s="156" t="s">
        <v>216</v>
      </c>
      <c r="I57" s="157">
        <f>3</f>
        <v>3</v>
      </c>
      <c r="J57" s="136" t="s">
        <v>121</v>
      </c>
      <c r="K57" s="136" t="s">
        <v>217</v>
      </c>
      <c r="L57" s="158"/>
      <c r="M57" s="136"/>
    </row>
    <row r="58" spans="1:14">
      <c r="A58" s="136"/>
      <c r="B58" s="154" t="s">
        <v>218</v>
      </c>
      <c r="C58" s="136"/>
      <c r="D58" s="159">
        <f>I58</f>
        <v>14.938095238095237</v>
      </c>
      <c r="E58" s="154" t="s">
        <v>121</v>
      </c>
      <c r="F58" s="156"/>
      <c r="G58" s="156"/>
      <c r="H58" s="156" t="s">
        <v>219</v>
      </c>
      <c r="I58" s="160">
        <f>I57/(21-I57)*(C54/C62)*100</f>
        <v>14.938095238095237</v>
      </c>
      <c r="J58" s="136" t="s">
        <v>121</v>
      </c>
      <c r="K58" s="136" t="s">
        <v>220</v>
      </c>
      <c r="L58" s="136"/>
      <c r="M58" s="136"/>
    </row>
    <row r="59" spans="1:14">
      <c r="A59" s="136"/>
      <c r="B59" s="161" t="s">
        <v>221</v>
      </c>
      <c r="C59" s="162" t="s">
        <v>222</v>
      </c>
      <c r="D59" s="163">
        <f>D58/100</f>
        <v>0.14938095238095236</v>
      </c>
      <c r="E59" s="136"/>
      <c r="F59" s="136"/>
      <c r="G59" s="136"/>
      <c r="H59" s="136"/>
      <c r="I59" s="136"/>
      <c r="J59" s="136"/>
      <c r="K59" s="136" t="s">
        <v>223</v>
      </c>
      <c r="L59" s="136"/>
      <c r="M59" s="136"/>
    </row>
    <row r="60" spans="1:14">
      <c r="A60" s="136"/>
      <c r="B60" s="136"/>
      <c r="C60" s="136" t="s">
        <v>224</v>
      </c>
      <c r="D60" s="136"/>
      <c r="E60" s="136"/>
      <c r="F60" s="136"/>
      <c r="G60" s="136"/>
      <c r="H60" s="136"/>
      <c r="I60" s="136"/>
      <c r="J60" s="145"/>
      <c r="K60" s="136" t="s">
        <v>225</v>
      </c>
      <c r="L60" s="136"/>
      <c r="M60" s="136"/>
    </row>
    <row r="61" spans="1:14">
      <c r="A61" s="136"/>
      <c r="B61" s="136" t="s">
        <v>226</v>
      </c>
      <c r="C61" s="136"/>
      <c r="D61" s="136"/>
      <c r="E61" s="136"/>
      <c r="F61" s="136"/>
      <c r="G61" s="136"/>
      <c r="H61" s="136"/>
      <c r="I61" s="136"/>
      <c r="J61" s="136"/>
      <c r="K61" s="136" t="s">
        <v>227</v>
      </c>
      <c r="L61" s="136"/>
      <c r="M61" s="136"/>
    </row>
    <row r="62" spans="1:14">
      <c r="A62" s="136"/>
      <c r="B62" s="136" t="s">
        <v>228</v>
      </c>
      <c r="C62" s="155">
        <f>Q38</f>
        <v>9.4500000000000011</v>
      </c>
      <c r="D62" s="136" t="s">
        <v>210</v>
      </c>
      <c r="E62" s="136"/>
      <c r="F62" s="136"/>
      <c r="G62" s="136"/>
      <c r="H62" s="136"/>
      <c r="I62" s="136"/>
      <c r="J62" s="136"/>
      <c r="K62" s="136" t="s">
        <v>229</v>
      </c>
      <c r="L62" s="136"/>
      <c r="M62" s="136"/>
    </row>
    <row r="63" spans="1:14">
      <c r="A63" s="136"/>
      <c r="B63" s="154" t="s">
        <v>230</v>
      </c>
      <c r="C63" s="136"/>
      <c r="D63" s="136"/>
      <c r="E63" s="136"/>
      <c r="F63" s="136"/>
      <c r="G63" s="136"/>
      <c r="H63" s="136"/>
      <c r="I63" s="136"/>
      <c r="J63" s="136"/>
      <c r="K63" s="136"/>
      <c r="L63" s="136"/>
      <c r="M63" s="136"/>
    </row>
    <row r="64" spans="1:14">
      <c r="A64" s="136"/>
      <c r="B64" s="136" t="s">
        <v>231</v>
      </c>
      <c r="C64" s="155">
        <f>C62*(1+D59)</f>
        <v>10.861650000000001</v>
      </c>
      <c r="D64" s="136" t="s">
        <v>210</v>
      </c>
      <c r="E64" s="136"/>
      <c r="F64" s="136"/>
      <c r="G64" s="136"/>
      <c r="H64" s="136"/>
      <c r="I64" s="136"/>
      <c r="J64" s="136"/>
      <c r="K64" s="136"/>
      <c r="L64" s="136"/>
      <c r="M64" s="136"/>
    </row>
    <row r="65" spans="1:14">
      <c r="A65" s="136"/>
      <c r="B65" s="136"/>
      <c r="C65" s="136"/>
      <c r="D65" s="136"/>
      <c r="E65" s="136"/>
      <c r="F65" s="136"/>
      <c r="G65" s="136"/>
      <c r="H65" s="136"/>
      <c r="I65" s="136"/>
      <c r="J65" s="136"/>
      <c r="K65" s="136"/>
      <c r="L65" s="136"/>
      <c r="M65" s="136"/>
    </row>
    <row r="66" spans="1:14">
      <c r="A66" s="136"/>
      <c r="B66" s="154" t="s">
        <v>232</v>
      </c>
      <c r="C66" s="136"/>
      <c r="D66" s="136"/>
      <c r="E66" s="136"/>
      <c r="F66" s="136"/>
      <c r="G66" s="136"/>
      <c r="H66" s="136"/>
      <c r="I66" s="136"/>
      <c r="J66" s="136"/>
      <c r="K66" s="136"/>
      <c r="L66" s="136"/>
      <c r="M66" s="136"/>
    </row>
    <row r="67" spans="1:14">
      <c r="A67" s="136"/>
      <c r="B67" s="136" t="s">
        <v>233</v>
      </c>
      <c r="C67" s="164">
        <f>C51+(D59*C62)</f>
        <v>11.841750000000001</v>
      </c>
      <c r="D67" s="136" t="s">
        <v>210</v>
      </c>
      <c r="E67" s="136"/>
      <c r="F67" s="136"/>
      <c r="G67" s="136"/>
      <c r="H67" s="165" t="s">
        <v>234</v>
      </c>
      <c r="I67" s="166">
        <f>SUM(R21:R37)/C67</f>
        <v>8.546878628581081E-2</v>
      </c>
      <c r="J67" s="136"/>
      <c r="K67" s="136"/>
      <c r="L67" s="136"/>
      <c r="M67" s="136"/>
    </row>
    <row r="68" spans="1:14">
      <c r="A68" s="136"/>
      <c r="B68" s="136"/>
      <c r="C68" s="136"/>
      <c r="D68" s="136"/>
      <c r="E68" s="136"/>
      <c r="F68" s="136"/>
      <c r="G68" s="136"/>
      <c r="H68" s="136"/>
      <c r="I68" s="136"/>
      <c r="J68" s="136"/>
      <c r="K68" s="136"/>
      <c r="L68" s="136"/>
      <c r="M68" s="136"/>
    </row>
    <row r="69" spans="1:14">
      <c r="A69" s="136"/>
      <c r="B69" s="136" t="s">
        <v>235</v>
      </c>
      <c r="C69" s="155">
        <f>C54+(D59*C62)</f>
        <v>9.8815500000000007</v>
      </c>
      <c r="D69" s="136" t="s">
        <v>210</v>
      </c>
      <c r="E69" s="165" t="s">
        <v>236</v>
      </c>
      <c r="F69" s="167">
        <f>I57</f>
        <v>3</v>
      </c>
      <c r="G69" s="136" t="s">
        <v>237</v>
      </c>
      <c r="H69" s="165" t="s">
        <v>234</v>
      </c>
      <c r="I69" s="166">
        <f>SUM(R21:R37)/C69</f>
        <v>0.10242320283761153</v>
      </c>
      <c r="J69" s="136"/>
      <c r="K69" s="136"/>
      <c r="L69" s="136"/>
      <c r="M69" s="136"/>
    </row>
    <row r="70" spans="1:14">
      <c r="A70" s="136"/>
      <c r="B70" s="136"/>
      <c r="C70" s="136"/>
      <c r="D70" s="136"/>
      <c r="E70" s="136"/>
      <c r="F70" s="136"/>
      <c r="G70" s="136"/>
      <c r="H70" s="136"/>
      <c r="I70" s="166">
        <f>R38/C69</f>
        <v>0.10164397285850905</v>
      </c>
      <c r="J70" s="136"/>
      <c r="K70" s="136"/>
      <c r="L70" s="136"/>
      <c r="M70" s="136"/>
    </row>
    <row r="71" spans="1:14">
      <c r="A71" s="136"/>
      <c r="B71" s="161" t="s">
        <v>238</v>
      </c>
      <c r="C71" s="164">
        <f>C69*((21-F69)/(21-F71))</f>
        <v>9.8815500000000007</v>
      </c>
      <c r="D71" s="168" t="s">
        <v>210</v>
      </c>
      <c r="E71" s="165" t="s">
        <v>236</v>
      </c>
      <c r="F71" s="169">
        <v>3</v>
      </c>
      <c r="G71" s="136" t="s">
        <v>239</v>
      </c>
      <c r="H71" s="136"/>
      <c r="I71" s="136"/>
      <c r="J71" s="136"/>
      <c r="K71" s="136"/>
      <c r="L71" s="136"/>
      <c r="M71" s="136"/>
    </row>
    <row r="72" spans="1:14">
      <c r="A72" s="136"/>
      <c r="B72" s="136"/>
      <c r="C72" s="136"/>
      <c r="D72" s="136"/>
      <c r="E72" s="136"/>
      <c r="F72" s="136" t="s">
        <v>240</v>
      </c>
      <c r="G72" s="136"/>
      <c r="H72" s="136"/>
      <c r="I72" s="136"/>
      <c r="J72" s="136"/>
      <c r="K72" s="136"/>
      <c r="L72" s="136"/>
      <c r="M72" s="136"/>
    </row>
    <row r="73" spans="1:14">
      <c r="A73" s="136"/>
      <c r="B73" s="136"/>
      <c r="C73" s="136"/>
      <c r="D73" s="136"/>
      <c r="E73" s="136"/>
      <c r="F73" s="136"/>
      <c r="G73" s="136"/>
      <c r="H73" s="136"/>
      <c r="I73" s="136"/>
      <c r="J73" s="136"/>
      <c r="K73" s="136"/>
      <c r="L73" s="136"/>
      <c r="M73" s="136"/>
    </row>
    <row r="74" spans="1:14">
      <c r="B74" s="154" t="s">
        <v>241</v>
      </c>
      <c r="C74" s="136"/>
      <c r="D74" s="136"/>
      <c r="E74" s="136"/>
      <c r="F74" s="136"/>
      <c r="G74" s="136"/>
      <c r="H74" s="136"/>
      <c r="I74" s="136"/>
      <c r="J74" s="136"/>
      <c r="K74" s="136"/>
      <c r="L74" s="136"/>
      <c r="M74" s="136"/>
      <c r="N74" s="136"/>
    </row>
    <row r="75" spans="1:14">
      <c r="A75" s="136"/>
      <c r="B75" s="136" t="s">
        <v>242</v>
      </c>
      <c r="C75" s="170">
        <f>C46*C17*24</f>
        <v>6208.7030291497576</v>
      </c>
      <c r="D75" s="154" t="s">
        <v>243</v>
      </c>
      <c r="E75" s="171">
        <f>1524.6/59%/1000*3600*24/4</f>
        <v>55815.864406779656</v>
      </c>
      <c r="F75" s="136"/>
      <c r="G75" s="136"/>
      <c r="H75" s="136"/>
      <c r="I75" s="136"/>
      <c r="J75" s="136"/>
      <c r="K75" s="136"/>
      <c r="L75" s="136"/>
      <c r="M75" s="136"/>
    </row>
    <row r="76" spans="1:14">
      <c r="A76" s="136"/>
      <c r="B76" s="136"/>
      <c r="C76" s="155">
        <f>C75/24</f>
        <v>258.69595954790657</v>
      </c>
      <c r="D76" s="136" t="s">
        <v>244</v>
      </c>
      <c r="E76" s="136"/>
      <c r="F76" s="136"/>
      <c r="G76" s="136"/>
      <c r="H76" s="136"/>
      <c r="I76" s="136"/>
      <c r="J76" s="136"/>
      <c r="K76" s="136"/>
      <c r="L76" s="136"/>
      <c r="M76" s="136"/>
    </row>
    <row r="77" spans="1:14">
      <c r="A77" s="136"/>
      <c r="B77" s="136" t="s">
        <v>245</v>
      </c>
      <c r="C77" s="172">
        <f>$E$46/1000</f>
        <v>3.3644220186723951E-2</v>
      </c>
      <c r="D77" s="154" t="s">
        <v>246</v>
      </c>
      <c r="E77" s="136"/>
      <c r="F77" s="136"/>
      <c r="G77" s="136"/>
      <c r="H77" s="136"/>
      <c r="I77" s="136"/>
      <c r="J77" s="136"/>
      <c r="K77" s="136"/>
      <c r="L77" s="136"/>
      <c r="M77" s="136"/>
    </row>
    <row r="78" spans="1:14">
      <c r="A78" s="136"/>
      <c r="B78" s="136"/>
      <c r="C78" s="173">
        <f>C76/C77</f>
        <v>7689.1649772874898</v>
      </c>
      <c r="D78" s="136" t="s">
        <v>247</v>
      </c>
      <c r="E78" s="136" t="s">
        <v>248</v>
      </c>
      <c r="F78" s="136">
        <f>F43</f>
        <v>15</v>
      </c>
      <c r="G78" s="136" t="str">
        <f>G43</f>
        <v>C</v>
      </c>
      <c r="H78" s="136"/>
      <c r="I78" s="136"/>
      <c r="J78" s="136"/>
      <c r="K78" s="136"/>
      <c r="L78" s="136"/>
      <c r="M78" s="136"/>
    </row>
    <row r="79" spans="1:14">
      <c r="A79" s="136"/>
      <c r="B79" s="136" t="s">
        <v>249</v>
      </c>
      <c r="C79" s="173">
        <f>C78/(273.15+F78)*(273.15+F79)</f>
        <v>7288.8961080898071</v>
      </c>
      <c r="D79" s="154" t="s">
        <v>250</v>
      </c>
      <c r="E79" s="136" t="s">
        <v>248</v>
      </c>
      <c r="F79" s="136">
        <v>0</v>
      </c>
      <c r="G79" s="136" t="s">
        <v>114</v>
      </c>
      <c r="H79" s="136" t="s">
        <v>251</v>
      </c>
      <c r="I79" s="136">
        <f>C79*C64</f>
        <v>79169.438412433665</v>
      </c>
      <c r="J79" s="136" t="s">
        <v>252</v>
      </c>
      <c r="K79" s="136"/>
      <c r="L79" s="136"/>
      <c r="M79" s="136"/>
    </row>
    <row r="80" spans="1:14">
      <c r="A80" s="136"/>
      <c r="B80" s="136"/>
      <c r="C80" s="136"/>
      <c r="D80" s="136"/>
      <c r="E80" s="136"/>
      <c r="F80" s="136"/>
      <c r="G80" s="136"/>
      <c r="H80" s="136"/>
      <c r="I80" s="136"/>
      <c r="J80" s="136"/>
      <c r="K80" s="136"/>
      <c r="L80" s="136"/>
      <c r="M80" s="136"/>
    </row>
    <row r="81" spans="1:14">
      <c r="A81" s="136"/>
      <c r="B81" s="154" t="s">
        <v>253</v>
      </c>
      <c r="C81" s="174" t="s">
        <v>254</v>
      </c>
      <c r="D81" s="136"/>
      <c r="E81" s="136"/>
      <c r="F81" s="136"/>
      <c r="G81" s="136"/>
      <c r="H81" s="136"/>
      <c r="I81" s="136"/>
      <c r="J81" s="136"/>
      <c r="K81" s="136"/>
      <c r="L81" s="136"/>
      <c r="M81" s="136"/>
    </row>
    <row r="82" spans="1:14" ht="15" thickBot="1">
      <c r="A82" s="136"/>
      <c r="B82" s="136"/>
      <c r="C82" s="155">
        <f>C71</f>
        <v>9.8815500000000007</v>
      </c>
      <c r="D82" s="136" t="s">
        <v>210</v>
      </c>
      <c r="E82" s="136"/>
      <c r="F82" s="136"/>
      <c r="G82" s="136"/>
      <c r="H82" s="136"/>
      <c r="I82" s="136"/>
      <c r="J82" s="136"/>
      <c r="K82" s="136"/>
      <c r="L82" s="136"/>
      <c r="M82" s="136"/>
    </row>
    <row r="83" spans="1:14">
      <c r="A83" s="136"/>
      <c r="B83" s="136"/>
      <c r="C83" s="147">
        <f>C79*C82</f>
        <v>72025.591336894839</v>
      </c>
      <c r="D83" s="154" t="s">
        <v>255</v>
      </c>
      <c r="E83" s="175">
        <v>51</v>
      </c>
      <c r="F83" s="176" t="s">
        <v>256</v>
      </c>
      <c r="G83" s="177">
        <f>E83/1000*C84</f>
        <v>1.0203625439393436</v>
      </c>
      <c r="H83" s="178" t="s">
        <v>257</v>
      </c>
      <c r="I83" s="136"/>
      <c r="J83" s="136"/>
      <c r="K83" s="136"/>
      <c r="L83" s="136"/>
      <c r="M83" s="136"/>
    </row>
    <row r="84" spans="1:14" ht="15" thickBot="1">
      <c r="A84" s="136"/>
      <c r="B84" s="136"/>
      <c r="C84" s="147">
        <f>C83/3600</f>
        <v>20.00710870469301</v>
      </c>
      <c r="D84" s="154" t="s">
        <v>97</v>
      </c>
      <c r="E84" s="179">
        <v>100</v>
      </c>
      <c r="F84" s="180" t="s">
        <v>258</v>
      </c>
      <c r="G84" s="181">
        <f>E84/1000*C84</f>
        <v>2.0007108704693013</v>
      </c>
      <c r="H84" s="182" t="s">
        <v>259</v>
      </c>
      <c r="I84" s="136"/>
      <c r="J84" s="136"/>
      <c r="K84" s="136"/>
      <c r="L84" s="136"/>
      <c r="M84" s="136"/>
    </row>
    <row r="85" spans="1:14">
      <c r="A85" s="136"/>
      <c r="B85" s="136"/>
      <c r="C85" s="136"/>
      <c r="D85" s="136"/>
      <c r="E85" s="136"/>
      <c r="F85" s="136"/>
      <c r="G85" s="136"/>
      <c r="H85" s="136"/>
      <c r="I85" s="136"/>
      <c r="J85" s="136"/>
      <c r="K85" s="136"/>
      <c r="L85" s="136"/>
      <c r="M85" s="136"/>
    </row>
    <row r="86" spans="1:14">
      <c r="A86" s="136"/>
      <c r="B86" s="136"/>
      <c r="C86" s="154" t="s">
        <v>260</v>
      </c>
      <c r="D86" s="136" t="s">
        <v>261</v>
      </c>
      <c r="E86" s="136"/>
      <c r="F86" s="136"/>
      <c r="G86" s="136"/>
      <c r="H86" s="136"/>
      <c r="I86" s="136"/>
      <c r="J86" s="136"/>
      <c r="K86" s="136"/>
      <c r="L86" s="136"/>
      <c r="M86" s="136"/>
    </row>
    <row r="87" spans="1:14">
      <c r="A87" s="136"/>
      <c r="B87" s="136"/>
      <c r="C87" s="155">
        <f>C67</f>
        <v>11.841750000000001</v>
      </c>
      <c r="D87" s="136" t="s">
        <v>210</v>
      </c>
      <c r="E87" s="136"/>
      <c r="F87" s="136"/>
      <c r="G87" s="136"/>
      <c r="H87" s="136"/>
      <c r="I87" s="136"/>
      <c r="J87" s="136"/>
      <c r="K87" s="136"/>
      <c r="L87" s="136"/>
      <c r="M87" s="136"/>
      <c r="N87" s="136"/>
    </row>
    <row r="88" spans="1:14">
      <c r="A88" s="136"/>
      <c r="B88" s="174" t="s">
        <v>262</v>
      </c>
      <c r="C88" s="183">
        <f>G88+273.15</f>
        <v>532.15</v>
      </c>
      <c r="D88" s="154" t="s">
        <v>115</v>
      </c>
      <c r="E88" s="136"/>
      <c r="F88" s="136" t="s">
        <v>263</v>
      </c>
      <c r="G88" s="136">
        <v>259</v>
      </c>
      <c r="H88" s="136" t="s">
        <v>264</v>
      </c>
      <c r="I88" s="136"/>
      <c r="J88" s="136"/>
      <c r="K88" s="136"/>
      <c r="L88" s="136"/>
      <c r="M88" s="136"/>
      <c r="N88" s="136"/>
    </row>
    <row r="89" spans="1:14">
      <c r="A89" s="136"/>
      <c r="B89" s="136"/>
      <c r="C89" s="147">
        <f>C79*C87*C88/273.15</f>
        <v>168155.28051409317</v>
      </c>
      <c r="D89" s="154" t="s">
        <v>265</v>
      </c>
      <c r="E89" s="136"/>
      <c r="F89" s="136" t="s">
        <v>266</v>
      </c>
      <c r="G89" s="184">
        <f>SUM(S21:S37)*100/C67</f>
        <v>16.553296598897965</v>
      </c>
      <c r="H89" s="136" t="s">
        <v>267</v>
      </c>
      <c r="I89" s="185" t="s">
        <v>268</v>
      </c>
      <c r="J89" s="136"/>
      <c r="K89" s="136"/>
      <c r="L89" s="136"/>
      <c r="M89" s="136"/>
      <c r="N89" s="136"/>
    </row>
    <row r="90" spans="1:14">
      <c r="A90" s="136"/>
      <c r="B90" s="136"/>
      <c r="C90" s="147">
        <f>C89/3600</f>
        <v>46.709800142803658</v>
      </c>
      <c r="D90" s="154" t="s">
        <v>48</v>
      </c>
      <c r="E90" s="136"/>
      <c r="F90" s="136" t="s">
        <v>269</v>
      </c>
      <c r="G90" s="136">
        <f>I57</f>
        <v>3</v>
      </c>
      <c r="H90" s="136" t="s">
        <v>270</v>
      </c>
      <c r="I90" s="136"/>
      <c r="J90" s="136"/>
      <c r="K90" s="136"/>
      <c r="L90" s="136"/>
      <c r="M90" s="136"/>
      <c r="N90" s="136"/>
    </row>
    <row r="91" spans="1:14">
      <c r="A91" s="136"/>
      <c r="B91" s="136"/>
      <c r="C91" s="136"/>
      <c r="D91" s="136"/>
      <c r="E91" s="136"/>
      <c r="F91" s="136"/>
      <c r="G91" s="136"/>
      <c r="H91" s="136"/>
      <c r="I91" s="136"/>
      <c r="J91" s="136"/>
      <c r="K91" s="136"/>
      <c r="L91" s="136"/>
      <c r="M91" s="136"/>
      <c r="N91" s="136"/>
    </row>
    <row r="92" spans="1:14">
      <c r="A92" s="136"/>
      <c r="B92" s="136" t="s">
        <v>271</v>
      </c>
      <c r="C92" s="136"/>
      <c r="D92" s="136"/>
      <c r="E92" s="136"/>
      <c r="F92" s="136"/>
      <c r="G92" s="136"/>
      <c r="H92" s="136"/>
      <c r="I92" s="136"/>
      <c r="J92" s="136"/>
      <c r="K92" s="136"/>
      <c r="L92" s="136"/>
      <c r="M92" s="136"/>
      <c r="N92" s="136"/>
    </row>
    <row r="93" spans="1:14">
      <c r="A93" s="136"/>
      <c r="B93" s="136"/>
      <c r="C93" s="186">
        <f>C76/3600</f>
        <v>7.1859988763307375E-2</v>
      </c>
      <c r="D93" s="136" t="s">
        <v>272</v>
      </c>
      <c r="E93" s="187">
        <f>E75</f>
        <v>55815.864406779656</v>
      </c>
      <c r="F93" s="136" t="s">
        <v>273</v>
      </c>
      <c r="G93" s="136"/>
      <c r="H93" s="136"/>
      <c r="I93" s="136"/>
      <c r="J93" s="136"/>
      <c r="K93" s="136"/>
      <c r="L93" s="136"/>
      <c r="M93" s="136"/>
      <c r="N93" s="136"/>
    </row>
    <row r="94" spans="1:14">
      <c r="A94" s="136"/>
      <c r="B94" s="136"/>
      <c r="C94" s="136">
        <f>C93*60</f>
        <v>4.3115993257984426</v>
      </c>
      <c r="D94" s="136" t="s">
        <v>274</v>
      </c>
      <c r="E94" s="136"/>
      <c r="F94" s="136"/>
      <c r="G94" s="136"/>
      <c r="H94" s="136"/>
      <c r="I94" s="136"/>
      <c r="J94" s="136"/>
      <c r="K94" s="136"/>
      <c r="L94" s="136"/>
      <c r="M94" s="136"/>
      <c r="N94" s="136"/>
    </row>
    <row r="95" spans="1:14">
      <c r="A95" s="136"/>
      <c r="B95" s="136"/>
      <c r="C95" s="136">
        <f>C94*60</f>
        <v>258.69595954790657</v>
      </c>
      <c r="D95" s="136" t="s">
        <v>275</v>
      </c>
      <c r="E95" s="187">
        <f>E93</f>
        <v>55815.864406779656</v>
      </c>
      <c r="F95" s="136" t="s">
        <v>276</v>
      </c>
      <c r="G95" s="136"/>
      <c r="H95" s="136"/>
      <c r="I95" s="136"/>
      <c r="J95" s="136"/>
      <c r="K95" s="136"/>
      <c r="L95" s="136"/>
      <c r="M95" s="136"/>
      <c r="N95" s="136"/>
    </row>
    <row r="96" spans="1:14">
      <c r="A96" s="136"/>
      <c r="B96" s="136"/>
      <c r="C96" s="188">
        <f>C95*24</f>
        <v>6208.7030291497576</v>
      </c>
      <c r="D96" s="136" t="s">
        <v>277</v>
      </c>
      <c r="E96" s="136">
        <f>E95*24</f>
        <v>1339580.7457627119</v>
      </c>
      <c r="F96" s="136" t="s">
        <v>278</v>
      </c>
      <c r="G96" s="136"/>
      <c r="H96" s="136"/>
      <c r="I96" s="136"/>
      <c r="J96" s="136"/>
      <c r="K96" s="136"/>
      <c r="L96" s="136"/>
      <c r="M96" s="136"/>
      <c r="N96" s="136"/>
    </row>
    <row r="97" spans="1:14">
      <c r="A97" s="136"/>
      <c r="B97" s="136"/>
      <c r="C97" s="145">
        <f>C96*365</f>
        <v>2266176.6056396617</v>
      </c>
      <c r="D97" s="136" t="s">
        <v>279</v>
      </c>
      <c r="E97" s="145">
        <f>E96*365</f>
        <v>488946972.20338982</v>
      </c>
      <c r="F97" s="136" t="s">
        <v>280</v>
      </c>
      <c r="G97" s="136"/>
      <c r="H97" s="136"/>
      <c r="I97" s="136"/>
      <c r="J97" s="136"/>
      <c r="K97" s="136"/>
      <c r="L97" s="136"/>
      <c r="M97" s="136"/>
      <c r="N97" s="136"/>
    </row>
    <row r="98" spans="1:14">
      <c r="F98" s="120"/>
      <c r="G98" s="120"/>
      <c r="H98" s="120"/>
      <c r="I98" s="120"/>
    </row>
    <row r="99" spans="1:14">
      <c r="F99" s="253"/>
      <c r="G99" s="253"/>
      <c r="H99" s="253"/>
      <c r="I99" s="253"/>
    </row>
  </sheetData>
  <mergeCells count="6">
    <mergeCell ref="B48:F48"/>
    <mergeCell ref="B10:E10"/>
    <mergeCell ref="B19:E19"/>
    <mergeCell ref="F19:K19"/>
    <mergeCell ref="L19:S19"/>
    <mergeCell ref="B42:F42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A98B0-9D78-482A-9177-DD6D16C2BF20}">
  <dimension ref="A1:U99"/>
  <sheetViews>
    <sheetView workbookViewId="0">
      <selection activeCell="C17" sqref="C17"/>
    </sheetView>
  </sheetViews>
  <sheetFormatPr defaultRowHeight="14.45"/>
  <cols>
    <col min="2" max="2" width="26.140625" customWidth="1"/>
    <col min="3" max="3" width="25.140625" customWidth="1"/>
    <col min="4" max="4" width="14.5703125" customWidth="1"/>
    <col min="5" max="5" width="30.7109375" customWidth="1"/>
    <col min="6" max="6" width="15" customWidth="1"/>
    <col min="7" max="7" width="15.5703125" customWidth="1"/>
    <col min="8" max="8" width="16.28515625" customWidth="1"/>
    <col min="9" max="10" width="14.140625" customWidth="1"/>
    <col min="11" max="11" width="11.85546875" customWidth="1"/>
    <col min="12" max="13" width="11.140625" customWidth="1"/>
    <col min="14" max="14" width="13.140625" bestFit="1" customWidth="1"/>
    <col min="15" max="15" width="10.85546875" customWidth="1"/>
    <col min="16" max="16" width="13.140625" bestFit="1" customWidth="1"/>
    <col min="17" max="17" width="11.140625" bestFit="1" customWidth="1"/>
    <col min="18" max="18" width="11.5703125" customWidth="1"/>
    <col min="19" max="19" width="11.42578125" customWidth="1"/>
    <col min="21" max="21" width="14.28515625" customWidth="1"/>
  </cols>
  <sheetData>
    <row r="1" spans="2:5" ht="15" thickBot="1"/>
    <row r="2" spans="2:5">
      <c r="B2" s="75" t="s">
        <v>128</v>
      </c>
      <c r="C2" s="76" t="s">
        <v>129</v>
      </c>
    </row>
    <row r="3" spans="2:5" ht="27.6">
      <c r="B3" s="77" t="s">
        <v>130</v>
      </c>
      <c r="C3" s="78" t="s">
        <v>281</v>
      </c>
    </row>
    <row r="4" spans="2:5" ht="15" thickBot="1">
      <c r="B4" s="79" t="s">
        <v>132</v>
      </c>
      <c r="C4" s="80" t="s">
        <v>282</v>
      </c>
    </row>
    <row r="6" spans="2:5">
      <c r="C6" s="81" t="s">
        <v>134</v>
      </c>
    </row>
    <row r="7" spans="2:5">
      <c r="C7" s="82" t="s">
        <v>135</v>
      </c>
    </row>
    <row r="9" spans="2:5" ht="15" thickBot="1"/>
    <row r="10" spans="2:5" ht="18">
      <c r="B10" s="380" t="s">
        <v>136</v>
      </c>
      <c r="C10" s="381"/>
      <c r="D10" s="381"/>
      <c r="E10" s="382"/>
    </row>
    <row r="11" spans="2:5">
      <c r="B11" s="83" t="s">
        <v>137</v>
      </c>
      <c r="C11" s="84" t="s">
        <v>138</v>
      </c>
      <c r="D11" s="84" t="s">
        <v>6</v>
      </c>
      <c r="E11" s="85" t="s">
        <v>139</v>
      </c>
    </row>
    <row r="12" spans="2:5">
      <c r="B12" s="86" t="s">
        <v>140</v>
      </c>
      <c r="C12" s="87" t="s">
        <v>282</v>
      </c>
      <c r="D12" s="88"/>
      <c r="E12" s="89"/>
    </row>
    <row r="13" spans="2:5">
      <c r="B13" s="86" t="s">
        <v>141</v>
      </c>
      <c r="C13" s="90"/>
      <c r="D13" s="88"/>
      <c r="E13" s="89"/>
    </row>
    <row r="14" spans="2:5">
      <c r="B14" s="86" t="s">
        <v>142</v>
      </c>
      <c r="C14" s="90"/>
      <c r="D14" s="88"/>
      <c r="E14" s="89"/>
    </row>
    <row r="15" spans="2:5">
      <c r="B15" s="86" t="s">
        <v>143</v>
      </c>
      <c r="C15" s="91">
        <v>35</v>
      </c>
      <c r="D15" s="60" t="s">
        <v>28</v>
      </c>
      <c r="E15" s="92"/>
    </row>
    <row r="16" spans="2:5">
      <c r="B16" s="86" t="s">
        <v>144</v>
      </c>
      <c r="C16" s="91">
        <f>'Emissions Summary'!E22</f>
        <v>0.9</v>
      </c>
      <c r="D16" s="60" t="s">
        <v>28</v>
      </c>
      <c r="E16" s="92"/>
    </row>
    <row r="17" spans="1:21" ht="42" thickBot="1">
      <c r="B17" s="93" t="s">
        <v>145</v>
      </c>
      <c r="C17" s="94">
        <f>'Emissions Summary'!E8</f>
        <v>1.4346801533858433</v>
      </c>
      <c r="D17" s="95" t="s">
        <v>146</v>
      </c>
      <c r="E17" s="96" t="s">
        <v>147</v>
      </c>
    </row>
    <row r="18" spans="1:21" ht="15" thickBot="1"/>
    <row r="19" spans="1:21" ht="18">
      <c r="A19" s="97" t="s">
        <v>148</v>
      </c>
      <c r="B19" s="383" t="s">
        <v>149</v>
      </c>
      <c r="C19" s="384"/>
      <c r="D19" s="384"/>
      <c r="E19" s="385"/>
      <c r="F19" s="383"/>
      <c r="G19" s="384"/>
      <c r="H19" s="384"/>
      <c r="I19" s="384"/>
      <c r="J19" s="384"/>
      <c r="K19" s="385"/>
      <c r="L19" s="383"/>
      <c r="M19" s="384"/>
      <c r="N19" s="384"/>
      <c r="O19" s="384"/>
      <c r="P19" s="384"/>
      <c r="Q19" s="384"/>
      <c r="R19" s="384"/>
      <c r="S19" s="385"/>
    </row>
    <row r="20" spans="1:21" ht="36">
      <c r="B20" s="98" t="s">
        <v>150</v>
      </c>
      <c r="C20" s="99" t="s">
        <v>151</v>
      </c>
      <c r="D20" s="99" t="s">
        <v>152</v>
      </c>
      <c r="E20" s="100" t="s">
        <v>153</v>
      </c>
      <c r="F20" s="98" t="s">
        <v>154</v>
      </c>
      <c r="G20" s="99" t="s">
        <v>155</v>
      </c>
      <c r="H20" s="99" t="s">
        <v>156</v>
      </c>
      <c r="I20" s="99" t="s">
        <v>157</v>
      </c>
      <c r="J20" s="99" t="s">
        <v>158</v>
      </c>
      <c r="K20" s="100" t="s">
        <v>159</v>
      </c>
      <c r="L20" s="98" t="s">
        <v>160</v>
      </c>
      <c r="M20" s="99" t="s">
        <v>161</v>
      </c>
      <c r="N20" s="101" t="s">
        <v>162</v>
      </c>
      <c r="O20" s="101" t="s">
        <v>163</v>
      </c>
      <c r="P20" s="101" t="s">
        <v>164</v>
      </c>
      <c r="Q20" s="101" t="s">
        <v>165</v>
      </c>
      <c r="R20" s="101" t="s">
        <v>166</v>
      </c>
      <c r="S20" s="102" t="s">
        <v>167</v>
      </c>
      <c r="U20" s="103" t="s">
        <v>168</v>
      </c>
    </row>
    <row r="21" spans="1:21">
      <c r="B21" s="104" t="s">
        <v>34</v>
      </c>
      <c r="C21" s="105" t="s">
        <v>101</v>
      </c>
      <c r="D21" s="106">
        <v>28</v>
      </c>
      <c r="E21" s="107">
        <v>3.64</v>
      </c>
      <c r="F21" s="108">
        <f t="shared" ref="F21:F37" si="0">(E21/100*D21)</f>
        <v>1.0192000000000001</v>
      </c>
      <c r="G21" s="109">
        <f t="shared" ref="G21:G37" si="1">F21/F$38</f>
        <v>5.8807237813884805E-2</v>
      </c>
      <c r="H21" s="110" t="s">
        <v>169</v>
      </c>
      <c r="I21" s="110" t="s">
        <v>169</v>
      </c>
      <c r="J21" s="111" t="s">
        <v>169</v>
      </c>
      <c r="K21" s="112" t="s">
        <v>169</v>
      </c>
      <c r="L21" s="108" t="s">
        <v>169</v>
      </c>
      <c r="M21" s="111" t="s">
        <v>169</v>
      </c>
      <c r="N21" s="113" t="s">
        <v>169</v>
      </c>
      <c r="O21" s="113" t="s">
        <v>169</v>
      </c>
      <c r="P21" s="114" t="s">
        <v>169</v>
      </c>
      <c r="Q21" s="114" t="s">
        <v>169</v>
      </c>
      <c r="R21" s="115" t="s">
        <v>169</v>
      </c>
      <c r="S21" s="115" t="s">
        <v>169</v>
      </c>
      <c r="U21" t="e">
        <f>I21*1000*D21</f>
        <v>#VALUE!</v>
      </c>
    </row>
    <row r="22" spans="1:21">
      <c r="B22" s="104" t="s">
        <v>170</v>
      </c>
      <c r="C22" s="105" t="s">
        <v>102</v>
      </c>
      <c r="D22" s="106">
        <v>18</v>
      </c>
      <c r="E22" s="107">
        <v>0</v>
      </c>
      <c r="F22" s="108">
        <f t="shared" si="0"/>
        <v>0</v>
      </c>
      <c r="G22" s="109">
        <f t="shared" si="1"/>
        <v>0</v>
      </c>
      <c r="H22" s="110" t="s">
        <v>169</v>
      </c>
      <c r="I22" s="110" t="s">
        <v>169</v>
      </c>
      <c r="J22" s="111" t="s">
        <v>169</v>
      </c>
      <c r="K22" s="112" t="s">
        <v>169</v>
      </c>
      <c r="L22" s="108" t="s">
        <v>169</v>
      </c>
      <c r="M22" s="111" t="s">
        <v>169</v>
      </c>
      <c r="N22" s="113" t="s">
        <v>169</v>
      </c>
      <c r="O22" s="113" t="s">
        <v>169</v>
      </c>
      <c r="P22" s="114" t="s">
        <v>169</v>
      </c>
      <c r="Q22" s="114" t="s">
        <v>169</v>
      </c>
      <c r="R22" s="115" t="s">
        <v>169</v>
      </c>
      <c r="S22" s="116">
        <f>$E22/100</f>
        <v>0</v>
      </c>
      <c r="U22" t="e">
        <f t="shared" ref="U22:U31" si="2">I22*1000*D22</f>
        <v>#VALUE!</v>
      </c>
    </row>
    <row r="23" spans="1:21">
      <c r="B23" s="104" t="s">
        <v>32</v>
      </c>
      <c r="C23" s="105" t="s">
        <v>99</v>
      </c>
      <c r="D23" s="106">
        <v>44</v>
      </c>
      <c r="E23" s="107">
        <v>0.77</v>
      </c>
      <c r="F23" s="108">
        <f t="shared" si="0"/>
        <v>0.33879999999999999</v>
      </c>
      <c r="G23" s="109">
        <f t="shared" si="1"/>
        <v>1.9548559822747419E-2</v>
      </c>
      <c r="H23" s="110" t="s">
        <v>169</v>
      </c>
      <c r="I23" s="110" t="s">
        <v>169</v>
      </c>
      <c r="J23" s="111" t="s">
        <v>169</v>
      </c>
      <c r="K23" s="112" t="s">
        <v>169</v>
      </c>
      <c r="L23" s="108" t="s">
        <v>169</v>
      </c>
      <c r="M23" s="111" t="s">
        <v>169</v>
      </c>
      <c r="N23" s="113" t="s">
        <v>169</v>
      </c>
      <c r="O23" s="113" t="s">
        <v>169</v>
      </c>
      <c r="P23" s="114" t="s">
        <v>169</v>
      </c>
      <c r="Q23" s="114" t="s">
        <v>169</v>
      </c>
      <c r="R23" s="116">
        <f>$E23/100</f>
        <v>7.7000000000000002E-3</v>
      </c>
      <c r="S23" s="115" t="s">
        <v>169</v>
      </c>
      <c r="U23" t="e">
        <f t="shared" si="2"/>
        <v>#VALUE!</v>
      </c>
    </row>
    <row r="24" spans="1:21">
      <c r="B24" s="104" t="s">
        <v>171</v>
      </c>
      <c r="C24" s="105" t="s">
        <v>172</v>
      </c>
      <c r="D24" s="106">
        <v>34</v>
      </c>
      <c r="E24" s="117">
        <v>0</v>
      </c>
      <c r="F24" s="108">
        <f t="shared" si="0"/>
        <v>0</v>
      </c>
      <c r="G24" s="118">
        <f t="shared" si="1"/>
        <v>0</v>
      </c>
      <c r="H24" s="110">
        <v>35.06</v>
      </c>
      <c r="I24" s="110">
        <v>31.56</v>
      </c>
      <c r="J24" s="106">
        <f t="shared" ref="J24:J37" si="3">H24*G24</f>
        <v>0</v>
      </c>
      <c r="K24" s="112">
        <f t="shared" ref="K24:K37" si="4">I24*G24</f>
        <v>0</v>
      </c>
      <c r="L24" s="119">
        <v>1</v>
      </c>
      <c r="M24" s="106">
        <v>2</v>
      </c>
      <c r="N24" s="113">
        <f t="shared" ref="N24:N37" si="5">L24*E24/100</f>
        <v>0</v>
      </c>
      <c r="O24" s="113">
        <f t="shared" ref="O24:O37" si="6">M24*E24/100</f>
        <v>0</v>
      </c>
      <c r="P24" s="114">
        <f>N24+O24/4</f>
        <v>0</v>
      </c>
      <c r="Q24" s="114">
        <f>P24/0.21</f>
        <v>0</v>
      </c>
      <c r="R24" s="116">
        <f>N24</f>
        <v>0</v>
      </c>
      <c r="S24" s="115">
        <f>O24/2</f>
        <v>0</v>
      </c>
      <c r="U24" s="120">
        <f t="shared" si="2"/>
        <v>1073040</v>
      </c>
    </row>
    <row r="25" spans="1:21">
      <c r="B25" s="104" t="s">
        <v>173</v>
      </c>
      <c r="C25" s="105" t="s">
        <v>174</v>
      </c>
      <c r="D25" s="106">
        <v>16</v>
      </c>
      <c r="E25" s="107">
        <v>91.79</v>
      </c>
      <c r="F25" s="108">
        <f>(E25/100*D25)</f>
        <v>14.686400000000001</v>
      </c>
      <c r="G25" s="109">
        <f t="shared" si="1"/>
        <v>0.84739660265878902</v>
      </c>
      <c r="H25" s="110">
        <f>37.71/0.6785</f>
        <v>55.578481945467949</v>
      </c>
      <c r="I25" s="110">
        <f>33.95/0.6785</f>
        <v>50.036845983787771</v>
      </c>
      <c r="J25" s="111">
        <f t="shared" si="3"/>
        <v>47.097016781522385</v>
      </c>
      <c r="K25" s="112">
        <f>I25*G25</f>
        <v>42.40105329442283</v>
      </c>
      <c r="L25" s="119">
        <v>1</v>
      </c>
      <c r="M25" s="106">
        <v>4</v>
      </c>
      <c r="N25" s="113">
        <f t="shared" si="5"/>
        <v>0.91790000000000005</v>
      </c>
      <c r="O25" s="113">
        <f>M25*E25/100</f>
        <v>3.6716000000000002</v>
      </c>
      <c r="P25" s="114">
        <f t="shared" ref="P25:P37" si="7">N25+O25/4</f>
        <v>1.8358000000000001</v>
      </c>
      <c r="Q25" s="114">
        <f t="shared" ref="Q25:Q37" si="8">P25/0.21</f>
        <v>8.7419047619047632</v>
      </c>
      <c r="R25" s="116">
        <f t="shared" ref="R25:R38" si="9">N25</f>
        <v>0.91790000000000005</v>
      </c>
      <c r="S25" s="115">
        <f>O25/2</f>
        <v>1.8358000000000001</v>
      </c>
      <c r="U25" s="120">
        <f t="shared" si="2"/>
        <v>800589.53574060439</v>
      </c>
    </row>
    <row r="26" spans="1:21">
      <c r="B26" s="104" t="s">
        <v>175</v>
      </c>
      <c r="C26" s="105" t="s">
        <v>176</v>
      </c>
      <c r="D26" s="106">
        <v>30</v>
      </c>
      <c r="E26" s="107">
        <v>3</v>
      </c>
      <c r="F26" s="108">
        <f t="shared" si="0"/>
        <v>0.89999999999999991</v>
      </c>
      <c r="G26" s="109">
        <f t="shared" si="1"/>
        <v>5.1929468242245209E-2</v>
      </c>
      <c r="H26" s="110">
        <f>66.07/1.272</f>
        <v>51.941823899371066</v>
      </c>
      <c r="I26" s="110">
        <f>60.43/1.272</f>
        <v>47.507861635220124</v>
      </c>
      <c r="J26" s="111">
        <f t="shared" si="3"/>
        <v>2.6973112946266831</v>
      </c>
      <c r="K26" s="112">
        <f t="shared" si="4"/>
        <v>2.4670579920431428</v>
      </c>
      <c r="L26" s="119">
        <v>2</v>
      </c>
      <c r="M26" s="106">
        <v>6</v>
      </c>
      <c r="N26" s="113">
        <f t="shared" si="5"/>
        <v>0.06</v>
      </c>
      <c r="O26" s="113">
        <f t="shared" si="6"/>
        <v>0.18</v>
      </c>
      <c r="P26" s="114">
        <f t="shared" si="7"/>
        <v>0.105</v>
      </c>
      <c r="Q26" s="114">
        <f t="shared" si="8"/>
        <v>0.5</v>
      </c>
      <c r="R26" s="116">
        <f t="shared" si="9"/>
        <v>0.06</v>
      </c>
      <c r="S26" s="115">
        <f t="shared" ref="S26:S38" si="10">O26/2</f>
        <v>0.09</v>
      </c>
      <c r="U26" s="120">
        <f t="shared" si="2"/>
        <v>1425235.8490566036</v>
      </c>
    </row>
    <row r="27" spans="1:21">
      <c r="B27" s="104" t="s">
        <v>177</v>
      </c>
      <c r="C27" s="105" t="s">
        <v>178</v>
      </c>
      <c r="D27" s="106">
        <v>44</v>
      </c>
      <c r="E27" s="107">
        <v>0.59</v>
      </c>
      <c r="F27" s="108">
        <f t="shared" si="0"/>
        <v>0.2596</v>
      </c>
      <c r="G27" s="109">
        <f t="shared" si="1"/>
        <v>1.4978766617429841E-2</v>
      </c>
      <c r="H27" s="110">
        <f>93.94/1.865</f>
        <v>50.369973190348524</v>
      </c>
      <c r="I27" s="110">
        <f>86.42/1.865</f>
        <v>46.337801608579092</v>
      </c>
      <c r="J27" s="111">
        <f t="shared" si="3"/>
        <v>0.75448007294442854</v>
      </c>
      <c r="K27" s="112">
        <f t="shared" si="4"/>
        <v>0.69408311585967131</v>
      </c>
      <c r="L27" s="119">
        <v>3</v>
      </c>
      <c r="M27" s="106">
        <v>8</v>
      </c>
      <c r="N27" s="113">
        <f t="shared" si="5"/>
        <v>1.77E-2</v>
      </c>
      <c r="O27" s="113">
        <f t="shared" si="6"/>
        <v>4.7199999999999999E-2</v>
      </c>
      <c r="P27" s="114">
        <f t="shared" si="7"/>
        <v>2.9499999999999998E-2</v>
      </c>
      <c r="Q27" s="114">
        <f t="shared" si="8"/>
        <v>0.14047619047619048</v>
      </c>
      <c r="R27" s="116">
        <f t="shared" si="9"/>
        <v>1.77E-2</v>
      </c>
      <c r="S27" s="115">
        <f t="shared" si="10"/>
        <v>2.3599999999999999E-2</v>
      </c>
      <c r="U27" s="120">
        <f t="shared" si="2"/>
        <v>2038863.2707774802</v>
      </c>
    </row>
    <row r="28" spans="1:21">
      <c r="B28" s="104" t="s">
        <v>179</v>
      </c>
      <c r="C28" s="105" t="s">
        <v>180</v>
      </c>
      <c r="D28" s="106">
        <v>58</v>
      </c>
      <c r="E28" s="107">
        <v>0.14000000000000001</v>
      </c>
      <c r="F28" s="108">
        <f t="shared" si="0"/>
        <v>8.1200000000000008E-2</v>
      </c>
      <c r="G28" s="109">
        <f t="shared" si="1"/>
        <v>4.6851920236336796E-3</v>
      </c>
      <c r="H28" s="110">
        <f>121.6/2.458</f>
        <v>49.471114727420662</v>
      </c>
      <c r="I28" s="110">
        <f>112.2/2.458</f>
        <v>45.64686737184703</v>
      </c>
      <c r="J28" s="111">
        <f t="shared" si="3"/>
        <v>0.23178167212117795</v>
      </c>
      <c r="K28" s="112">
        <f t="shared" si="4"/>
        <v>0.21386433891444218</v>
      </c>
      <c r="L28" s="119">
        <v>4</v>
      </c>
      <c r="M28" s="106">
        <v>10</v>
      </c>
      <c r="N28" s="113">
        <f t="shared" si="5"/>
        <v>5.6000000000000008E-3</v>
      </c>
      <c r="O28" s="113">
        <f t="shared" si="6"/>
        <v>1.4000000000000002E-2</v>
      </c>
      <c r="P28" s="114">
        <f t="shared" si="7"/>
        <v>9.1000000000000004E-3</v>
      </c>
      <c r="Q28" s="114">
        <f t="shared" si="8"/>
        <v>4.3333333333333335E-2</v>
      </c>
      <c r="R28" s="116">
        <f t="shared" si="9"/>
        <v>5.6000000000000008E-3</v>
      </c>
      <c r="S28" s="115">
        <f t="shared" si="10"/>
        <v>7.000000000000001E-3</v>
      </c>
      <c r="U28" s="120">
        <f t="shared" si="2"/>
        <v>2647518.307567128</v>
      </c>
    </row>
    <row r="29" spans="1:21">
      <c r="B29" s="104"/>
      <c r="C29" s="105" t="s">
        <v>181</v>
      </c>
      <c r="D29" s="106">
        <v>58</v>
      </c>
      <c r="E29" s="107">
        <v>0</v>
      </c>
      <c r="F29" s="108">
        <f t="shared" si="0"/>
        <v>0</v>
      </c>
      <c r="G29" s="109">
        <f t="shared" si="1"/>
        <v>0</v>
      </c>
      <c r="H29" s="121">
        <v>49.471114727420662</v>
      </c>
      <c r="I29" s="121">
        <v>45.64686737184703</v>
      </c>
      <c r="J29" s="111">
        <f t="shared" si="3"/>
        <v>0</v>
      </c>
      <c r="K29" s="112">
        <f t="shared" si="4"/>
        <v>0</v>
      </c>
      <c r="L29" s="119">
        <v>4</v>
      </c>
      <c r="M29" s="106">
        <v>10</v>
      </c>
      <c r="N29" s="113">
        <f t="shared" si="5"/>
        <v>0</v>
      </c>
      <c r="O29" s="113">
        <f t="shared" si="6"/>
        <v>0</v>
      </c>
      <c r="P29" s="114">
        <f t="shared" si="7"/>
        <v>0</v>
      </c>
      <c r="Q29" s="114">
        <f t="shared" si="8"/>
        <v>0</v>
      </c>
      <c r="R29" s="116">
        <f t="shared" si="9"/>
        <v>0</v>
      </c>
      <c r="S29" s="115">
        <f t="shared" si="10"/>
        <v>0</v>
      </c>
      <c r="U29" s="120">
        <f t="shared" si="2"/>
        <v>2647518.307567128</v>
      </c>
    </row>
    <row r="30" spans="1:21">
      <c r="B30" s="104" t="s">
        <v>182</v>
      </c>
      <c r="C30" s="105" t="s">
        <v>183</v>
      </c>
      <c r="D30" s="106">
        <v>72</v>
      </c>
      <c r="E30" s="107">
        <v>0.04</v>
      </c>
      <c r="F30" s="108">
        <f t="shared" si="0"/>
        <v>2.8800000000000003E-2</v>
      </c>
      <c r="G30" s="109">
        <f t="shared" si="1"/>
        <v>1.661742983751847E-3</v>
      </c>
      <c r="H30" s="122">
        <f>149.3/3.051</f>
        <v>48.93477548344805</v>
      </c>
      <c r="I30" s="122">
        <f>138.1/3.051</f>
        <v>45.263847918715172</v>
      </c>
      <c r="J30" s="111">
        <f t="shared" si="3"/>
        <v>8.1317019821091699E-2</v>
      </c>
      <c r="K30" s="112">
        <f t="shared" si="4"/>
        <v>7.5216881696535579E-2</v>
      </c>
      <c r="L30" s="119">
        <v>5</v>
      </c>
      <c r="M30" s="106">
        <v>12</v>
      </c>
      <c r="N30" s="113">
        <f t="shared" si="5"/>
        <v>2E-3</v>
      </c>
      <c r="O30" s="113">
        <f t="shared" si="6"/>
        <v>4.7999999999999996E-3</v>
      </c>
      <c r="P30" s="114">
        <f t="shared" si="7"/>
        <v>3.1999999999999997E-3</v>
      </c>
      <c r="Q30" s="114">
        <f t="shared" si="8"/>
        <v>1.5238095238095238E-2</v>
      </c>
      <c r="R30" s="116">
        <f t="shared" si="9"/>
        <v>2E-3</v>
      </c>
      <c r="S30" s="115">
        <f t="shared" si="10"/>
        <v>2.3999999999999998E-3</v>
      </c>
      <c r="U30" s="120">
        <f t="shared" si="2"/>
        <v>3258997.0501474924</v>
      </c>
    </row>
    <row r="31" spans="1:21">
      <c r="B31" s="104"/>
      <c r="C31" s="105"/>
      <c r="D31" s="106">
        <v>72</v>
      </c>
      <c r="E31" s="107">
        <v>0</v>
      </c>
      <c r="F31" s="108">
        <f t="shared" si="0"/>
        <v>0</v>
      </c>
      <c r="G31" s="109">
        <f t="shared" si="1"/>
        <v>0</v>
      </c>
      <c r="H31" s="121">
        <v>48.93477548344805</v>
      </c>
      <c r="I31" s="121">
        <v>45.263847918715172</v>
      </c>
      <c r="J31" s="111">
        <f t="shared" si="3"/>
        <v>0</v>
      </c>
      <c r="K31" s="112">
        <f t="shared" si="4"/>
        <v>0</v>
      </c>
      <c r="L31" s="119">
        <v>5</v>
      </c>
      <c r="M31" s="106">
        <v>12</v>
      </c>
      <c r="N31" s="113">
        <f t="shared" si="5"/>
        <v>0</v>
      </c>
      <c r="O31" s="113">
        <f t="shared" si="6"/>
        <v>0</v>
      </c>
      <c r="P31" s="114">
        <f t="shared" si="7"/>
        <v>0</v>
      </c>
      <c r="Q31" s="114">
        <f t="shared" si="8"/>
        <v>0</v>
      </c>
      <c r="R31" s="116">
        <f t="shared" si="9"/>
        <v>0</v>
      </c>
      <c r="S31" s="115">
        <f t="shared" si="10"/>
        <v>0</v>
      </c>
      <c r="U31" s="120">
        <f t="shared" si="2"/>
        <v>3258997.0501474924</v>
      </c>
    </row>
    <row r="32" spans="1:21">
      <c r="B32" s="104" t="s">
        <v>184</v>
      </c>
      <c r="C32" s="105" t="s">
        <v>185</v>
      </c>
      <c r="D32" s="106">
        <v>86</v>
      </c>
      <c r="E32" s="107">
        <v>0.02</v>
      </c>
      <c r="F32" s="108">
        <f>(E32/100*D32)</f>
        <v>1.72E-2</v>
      </c>
      <c r="G32" s="109">
        <f>F32/F$38</f>
        <v>9.9242983751846405E-4</v>
      </c>
      <c r="H32" s="122">
        <f>177.55/3.645</f>
        <v>48.710562414266121</v>
      </c>
      <c r="I32" s="122">
        <f>164.4/3.645</f>
        <v>45.102880658436213</v>
      </c>
      <c r="J32" s="111">
        <f>H32*G32</f>
        <v>4.8341815542223131E-2</v>
      </c>
      <c r="K32" s="112">
        <f>I32*G32</f>
        <v>4.4761444523466525E-2</v>
      </c>
      <c r="L32" s="119">
        <v>6</v>
      </c>
      <c r="M32" s="106">
        <v>14</v>
      </c>
      <c r="N32" s="113">
        <f>L32*E32/100</f>
        <v>1.1999999999999999E-3</v>
      </c>
      <c r="O32" s="113">
        <f>M32*E32/100</f>
        <v>2.8000000000000004E-3</v>
      </c>
      <c r="P32" s="114">
        <f>N32+O32/4</f>
        <v>1.9E-3</v>
      </c>
      <c r="Q32" s="114">
        <f>P32/0.21</f>
        <v>9.0476190476190474E-3</v>
      </c>
      <c r="R32" s="116">
        <f>N32</f>
        <v>1.1999999999999999E-3</v>
      </c>
      <c r="S32" s="115">
        <f>O32/2</f>
        <v>1.4000000000000002E-3</v>
      </c>
      <c r="U32" s="120">
        <f>I32*1000*D32</f>
        <v>3878847.736625514</v>
      </c>
    </row>
    <row r="33" spans="1:21">
      <c r="B33" s="104" t="s">
        <v>186</v>
      </c>
      <c r="C33" s="105" t="s">
        <v>187</v>
      </c>
      <c r="D33" s="106">
        <v>78</v>
      </c>
      <c r="E33" s="107">
        <v>0</v>
      </c>
      <c r="F33" s="108">
        <f>(E33/100*D33)</f>
        <v>0</v>
      </c>
      <c r="G33" s="109">
        <f>F33/F$38</f>
        <v>0</v>
      </c>
      <c r="H33" s="122">
        <f>139.69/3.304</f>
        <v>42.279055690072639</v>
      </c>
      <c r="I33" s="122">
        <f>134.05/3.304</f>
        <v>40.572033898305094</v>
      </c>
      <c r="J33" s="111">
        <f>H33*G33</f>
        <v>0</v>
      </c>
      <c r="K33" s="112">
        <f>I33*G33</f>
        <v>0</v>
      </c>
      <c r="L33" s="119">
        <v>6</v>
      </c>
      <c r="M33" s="106">
        <v>6</v>
      </c>
      <c r="N33" s="113">
        <f>L33*E33/100</f>
        <v>0</v>
      </c>
      <c r="O33" s="113">
        <f>M33*E33/100</f>
        <v>0</v>
      </c>
      <c r="P33" s="114">
        <f>N33+O33/4</f>
        <v>0</v>
      </c>
      <c r="Q33" s="114">
        <f>P33/0.21</f>
        <v>0</v>
      </c>
      <c r="R33" s="116">
        <f>N33</f>
        <v>0</v>
      </c>
      <c r="S33" s="115">
        <f>O33/2</f>
        <v>0</v>
      </c>
      <c r="U33" s="120"/>
    </row>
    <row r="34" spans="1:21">
      <c r="B34" s="104" t="s">
        <v>188</v>
      </c>
      <c r="C34" s="105" t="s">
        <v>189</v>
      </c>
      <c r="D34" s="106">
        <v>100</v>
      </c>
      <c r="E34" s="107">
        <v>0</v>
      </c>
      <c r="F34" s="108">
        <f>(E34/100*D34)</f>
        <v>0</v>
      </c>
      <c r="G34" s="109">
        <f>F34/F$38</f>
        <v>0</v>
      </c>
      <c r="H34" s="122">
        <f>205.43/4.238</f>
        <v>48.473336479471449</v>
      </c>
      <c r="I34" s="122">
        <f>190.4/4.238</f>
        <v>44.926852288815475</v>
      </c>
      <c r="J34" s="111">
        <f>H34*G34</f>
        <v>0</v>
      </c>
      <c r="K34" s="112">
        <f>I34*G34</f>
        <v>0</v>
      </c>
      <c r="L34" s="119">
        <v>7</v>
      </c>
      <c r="M34" s="106">
        <v>16</v>
      </c>
      <c r="N34" s="113">
        <f>L34*E34/100</f>
        <v>0</v>
      </c>
      <c r="O34" s="113">
        <f>M34*E34/100</f>
        <v>0</v>
      </c>
      <c r="P34" s="114">
        <f>N34+O34/4</f>
        <v>0</v>
      </c>
      <c r="Q34" s="114">
        <f>P34/0.21</f>
        <v>0</v>
      </c>
      <c r="R34" s="116">
        <f>N34</f>
        <v>0</v>
      </c>
      <c r="S34" s="115">
        <f>O34/2</f>
        <v>0</v>
      </c>
      <c r="U34" s="120"/>
    </row>
    <row r="35" spans="1:21">
      <c r="B35" s="104" t="s">
        <v>190</v>
      </c>
      <c r="C35" s="105" t="s">
        <v>191</v>
      </c>
      <c r="D35" s="106">
        <v>92</v>
      </c>
      <c r="E35" s="107">
        <v>0</v>
      </c>
      <c r="F35" s="108">
        <f>(E35/100*D35)</f>
        <v>0</v>
      </c>
      <c r="G35" s="109">
        <f>F35/F$38</f>
        <v>0</v>
      </c>
      <c r="H35" s="122">
        <f>167.06/3.897</f>
        <v>42.868873492430076</v>
      </c>
      <c r="I35" s="122">
        <f>159.54/3.897</f>
        <v>40.939183987682831</v>
      </c>
      <c r="J35" s="111">
        <f>H35*G35</f>
        <v>0</v>
      </c>
      <c r="K35" s="112">
        <f>I35*G35</f>
        <v>0</v>
      </c>
      <c r="L35" s="119">
        <v>7</v>
      </c>
      <c r="M35" s="106">
        <v>8</v>
      </c>
      <c r="N35" s="113">
        <f>L35*E35/100</f>
        <v>0</v>
      </c>
      <c r="O35" s="113">
        <f>M35*E35/100</f>
        <v>0</v>
      </c>
      <c r="P35" s="114">
        <f>N35+O35/4</f>
        <v>0</v>
      </c>
      <c r="Q35" s="114">
        <f>P35/0.21</f>
        <v>0</v>
      </c>
      <c r="R35" s="116">
        <f>N35</f>
        <v>0</v>
      </c>
      <c r="S35" s="115">
        <f>O35/2</f>
        <v>0</v>
      </c>
      <c r="U35" s="120"/>
    </row>
    <row r="36" spans="1:21">
      <c r="B36" s="104" t="s">
        <v>192</v>
      </c>
      <c r="C36" s="105" t="s">
        <v>193</v>
      </c>
      <c r="D36" s="106">
        <v>114</v>
      </c>
      <c r="E36" s="107">
        <v>0</v>
      </c>
      <c r="F36" s="108">
        <f>(E36/100*D36)</f>
        <v>0</v>
      </c>
      <c r="G36" s="109">
        <f>F36/F$38</f>
        <v>0</v>
      </c>
      <c r="H36" s="122">
        <f>233.29/4.831</f>
        <v>48.290209066445861</v>
      </c>
      <c r="I36" s="122">
        <f>216.38/4.831</f>
        <v>44.789898571724279</v>
      </c>
      <c r="J36" s="111">
        <f>H36*G36</f>
        <v>0</v>
      </c>
      <c r="K36" s="112">
        <f>I36*G36</f>
        <v>0</v>
      </c>
      <c r="L36" s="119">
        <v>8</v>
      </c>
      <c r="M36" s="106">
        <v>18</v>
      </c>
      <c r="N36" s="113">
        <f>L36*E36/100</f>
        <v>0</v>
      </c>
      <c r="O36" s="113">
        <f>M36*E36/100</f>
        <v>0</v>
      </c>
      <c r="P36" s="114">
        <f>N36+O36/4</f>
        <v>0</v>
      </c>
      <c r="Q36" s="114">
        <f>P36/0.21</f>
        <v>0</v>
      </c>
      <c r="R36" s="116">
        <f>N36</f>
        <v>0</v>
      </c>
      <c r="S36" s="115">
        <f>O36/2</f>
        <v>0</v>
      </c>
      <c r="U36" s="120"/>
    </row>
    <row r="37" spans="1:21">
      <c r="B37" s="104" t="s">
        <v>194</v>
      </c>
      <c r="C37" s="105" t="s">
        <v>185</v>
      </c>
      <c r="D37" s="106">
        <v>86</v>
      </c>
      <c r="E37" s="107"/>
      <c r="F37" s="108">
        <f t="shared" si="0"/>
        <v>0</v>
      </c>
      <c r="G37" s="109">
        <f t="shared" si="1"/>
        <v>0</v>
      </c>
      <c r="H37" s="122">
        <f>177.55/3.645</f>
        <v>48.710562414266121</v>
      </c>
      <c r="I37" s="122">
        <f>164.4/3.645</f>
        <v>45.102880658436213</v>
      </c>
      <c r="J37" s="111">
        <f t="shared" si="3"/>
        <v>0</v>
      </c>
      <c r="K37" s="112">
        <f t="shared" si="4"/>
        <v>0</v>
      </c>
      <c r="L37" s="119">
        <v>6</v>
      </c>
      <c r="M37" s="106">
        <v>14</v>
      </c>
      <c r="N37" s="113">
        <f t="shared" si="5"/>
        <v>0</v>
      </c>
      <c r="O37" s="113">
        <f t="shared" si="6"/>
        <v>0</v>
      </c>
      <c r="P37" s="114">
        <f t="shared" si="7"/>
        <v>0</v>
      </c>
      <c r="Q37" s="114">
        <f t="shared" si="8"/>
        <v>0</v>
      </c>
      <c r="R37" s="116">
        <f t="shared" si="9"/>
        <v>0</v>
      </c>
      <c r="S37" s="115">
        <f t="shared" si="10"/>
        <v>0</v>
      </c>
      <c r="U37" s="120">
        <f>I37*1000*D37</f>
        <v>3878847.736625514</v>
      </c>
    </row>
    <row r="38" spans="1:21">
      <c r="B38" s="104" t="s">
        <v>195</v>
      </c>
      <c r="C38" s="106" t="s">
        <v>169</v>
      </c>
      <c r="D38" s="106" t="s">
        <v>169</v>
      </c>
      <c r="E38" s="112">
        <f>SUM(E21:E37)</f>
        <v>99.990000000000009</v>
      </c>
      <c r="F38" s="123">
        <f>SUM(F21:F37)</f>
        <v>17.331199999999995</v>
      </c>
      <c r="G38" s="124">
        <f>SUM(G21:G37)</f>
        <v>1.0000000000000004</v>
      </c>
      <c r="H38" s="111" t="s">
        <v>169</v>
      </c>
      <c r="I38" s="111" t="s">
        <v>169</v>
      </c>
      <c r="J38" s="125">
        <f>SUM(J24:J37)</f>
        <v>50.910248656577998</v>
      </c>
      <c r="K38" s="126">
        <f>SUM(K24:K37)</f>
        <v>45.896037067460085</v>
      </c>
      <c r="L38" s="119" t="s">
        <v>169</v>
      </c>
      <c r="M38" s="106" t="s">
        <v>169</v>
      </c>
      <c r="N38" s="127">
        <f>SUM(N24:N37)</f>
        <v>1.0044000000000002</v>
      </c>
      <c r="O38" s="127">
        <f>SUM(O24:O37)</f>
        <v>3.9204000000000003</v>
      </c>
      <c r="P38" s="114">
        <f>N38+O38/4</f>
        <v>1.9845000000000002</v>
      </c>
      <c r="Q38" s="114">
        <f>P38/0.21</f>
        <v>9.4500000000000011</v>
      </c>
      <c r="R38" s="116">
        <f t="shared" si="9"/>
        <v>1.0044000000000002</v>
      </c>
      <c r="S38" s="115">
        <f t="shared" si="10"/>
        <v>1.9602000000000002</v>
      </c>
    </row>
    <row r="39" spans="1:21">
      <c r="B39" s="104" t="s">
        <v>196</v>
      </c>
      <c r="C39" s="106" t="s">
        <v>169</v>
      </c>
      <c r="D39" s="106" t="s">
        <v>169</v>
      </c>
      <c r="E39" s="112">
        <f>SUM(E26:E37)</f>
        <v>3.79</v>
      </c>
      <c r="F39" s="108" t="s">
        <v>169</v>
      </c>
      <c r="G39" s="124">
        <f>SUM(G26:G37)</f>
        <v>7.4247599704579045E-2</v>
      </c>
      <c r="H39" s="111" t="s">
        <v>169</v>
      </c>
      <c r="I39" s="111" t="s">
        <v>169</v>
      </c>
      <c r="J39" s="111" t="s">
        <v>169</v>
      </c>
      <c r="K39" s="112" t="s">
        <v>169</v>
      </c>
      <c r="L39" s="119" t="s">
        <v>169</v>
      </c>
      <c r="M39" s="106" t="s">
        <v>169</v>
      </c>
      <c r="N39" s="128" t="s">
        <v>169</v>
      </c>
      <c r="O39" s="113" t="s">
        <v>169</v>
      </c>
      <c r="P39" s="113" t="s">
        <v>169</v>
      </c>
      <c r="Q39" s="113"/>
      <c r="R39" s="113"/>
      <c r="S39" s="129"/>
    </row>
    <row r="40" spans="1:21" ht="15" customHeight="1" thickBot="1">
      <c r="B40" s="130" t="s">
        <v>197</v>
      </c>
      <c r="C40" s="131"/>
      <c r="D40" s="131"/>
      <c r="E40" s="132"/>
      <c r="F40" s="133"/>
      <c r="G40" s="131"/>
      <c r="H40" s="131"/>
      <c r="I40" s="131"/>
      <c r="J40" s="131"/>
      <c r="K40" s="132"/>
      <c r="L40" s="133"/>
      <c r="M40" s="131"/>
      <c r="N40" s="134"/>
      <c r="O40" s="134"/>
      <c r="P40" s="134"/>
      <c r="Q40" s="134"/>
      <c r="R40" s="134"/>
      <c r="S40" s="135"/>
    </row>
    <row r="41" spans="1:21" ht="15" thickBot="1">
      <c r="B41" s="136"/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</row>
    <row r="42" spans="1:21" ht="15" customHeight="1">
      <c r="B42" s="386" t="s">
        <v>198</v>
      </c>
      <c r="C42" s="387"/>
      <c r="D42" s="387"/>
      <c r="E42" s="387"/>
      <c r="F42" s="388"/>
      <c r="G42" s="136"/>
      <c r="H42" s="136"/>
      <c r="I42" s="136"/>
      <c r="J42" s="136"/>
      <c r="K42" s="136"/>
      <c r="L42" s="136"/>
      <c r="M42" s="136"/>
      <c r="N42" s="136"/>
      <c r="O42" s="136"/>
      <c r="P42" s="136"/>
      <c r="Q42" s="136"/>
      <c r="R42" s="136"/>
    </row>
    <row r="43" spans="1:21">
      <c r="B43" s="137" t="s">
        <v>137</v>
      </c>
      <c r="C43" s="138" t="s">
        <v>138</v>
      </c>
      <c r="D43" s="138" t="s">
        <v>6</v>
      </c>
      <c r="E43" s="138" t="s">
        <v>139</v>
      </c>
      <c r="F43" s="139">
        <v>15</v>
      </c>
      <c r="G43" s="136" t="s">
        <v>114</v>
      </c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6"/>
    </row>
    <row r="44" spans="1:21">
      <c r="B44" s="140" t="s">
        <v>199</v>
      </c>
      <c r="C44" s="141">
        <f>F38/E38*100</f>
        <v>17.332933293329329</v>
      </c>
      <c r="D44" s="142" t="s">
        <v>200</v>
      </c>
      <c r="E44" s="143">
        <f>(C44/1000)/(22.414/1000/273.15*(273.15+F43))</f>
        <v>0.7330528371604752</v>
      </c>
      <c r="F44" s="144" t="s">
        <v>201</v>
      </c>
      <c r="H44" s="145" t="e">
        <f>C46*1000*C44*#REF!*#REF!</f>
        <v>#REF!</v>
      </c>
      <c r="I44" s="136"/>
      <c r="J44" s="136"/>
      <c r="K44" s="136"/>
      <c r="L44" s="136"/>
      <c r="M44" s="136"/>
      <c r="N44" s="136"/>
      <c r="O44" s="136"/>
      <c r="P44" s="146">
        <f>(28*(Q38-P38)+44*SUM(R21:R37)+18*SUM(S21:S37)+29*Q38*I58/100)/((Q38-P38)+SUM(R21:R37)+SUM(S21:S37)+Q38*I58/100)</f>
        <v>27.831490069159329</v>
      </c>
      <c r="Q44" s="136"/>
      <c r="R44" s="136"/>
    </row>
    <row r="45" spans="1:21">
      <c r="B45" s="140" t="s">
        <v>202</v>
      </c>
      <c r="C45" s="147">
        <f>J38</f>
        <v>50.910248656577998</v>
      </c>
      <c r="D45" s="142" t="s">
        <v>203</v>
      </c>
      <c r="E45" s="148">
        <f>C45*1000/1000*E44</f>
        <v>37.319902218249773</v>
      </c>
      <c r="F45" s="144" t="s">
        <v>204</v>
      </c>
      <c r="G45" s="136"/>
      <c r="H45" s="136"/>
      <c r="I45" s="136"/>
      <c r="J45" s="136"/>
      <c r="K45" s="136"/>
      <c r="L45" s="136"/>
      <c r="M45" s="136"/>
      <c r="N45" s="136"/>
      <c r="O45" s="136"/>
      <c r="P45" s="136"/>
      <c r="Q45" s="136"/>
      <c r="R45" s="136"/>
    </row>
    <row r="46" spans="1:21" ht="15" thickBot="1">
      <c r="B46" s="149" t="s">
        <v>205</v>
      </c>
      <c r="C46" s="150">
        <f>K38</f>
        <v>45.896037067460085</v>
      </c>
      <c r="D46" s="151" t="s">
        <v>203</v>
      </c>
      <c r="E46" s="152">
        <f>C46*1000/1000*E44</f>
        <v>33.644220186723949</v>
      </c>
      <c r="F46" s="153" t="s">
        <v>204</v>
      </c>
      <c r="G46" s="136"/>
      <c r="H46" s="136"/>
      <c r="I46" s="136"/>
      <c r="J46" s="136"/>
      <c r="K46" s="136"/>
      <c r="L46" s="136"/>
      <c r="M46" s="136"/>
      <c r="N46" s="136"/>
      <c r="O46" s="136"/>
      <c r="P46" s="136"/>
      <c r="Q46" s="136"/>
      <c r="R46" s="136"/>
    </row>
    <row r="47" spans="1:21" ht="15" thickBot="1"/>
    <row r="48" spans="1:21" ht="18">
      <c r="A48" s="97" t="s">
        <v>206</v>
      </c>
      <c r="B48" s="386" t="s">
        <v>198</v>
      </c>
      <c r="C48" s="387"/>
      <c r="D48" s="387"/>
      <c r="E48" s="387"/>
      <c r="F48" s="388"/>
      <c r="G48" s="136"/>
      <c r="H48" s="136"/>
      <c r="I48" s="136"/>
      <c r="J48" s="136"/>
      <c r="K48" s="136"/>
      <c r="L48" s="136"/>
      <c r="M48" s="136"/>
    </row>
    <row r="49" spans="1:14">
      <c r="B49" s="154" t="s">
        <v>207</v>
      </c>
      <c r="C49" s="136"/>
      <c r="D49" s="136"/>
      <c r="E49" s="136"/>
      <c r="F49" s="136"/>
      <c r="G49" s="136"/>
      <c r="H49" s="136"/>
      <c r="I49" s="136"/>
      <c r="J49" s="136"/>
      <c r="K49" s="136"/>
      <c r="L49" s="136"/>
      <c r="M49" s="136"/>
      <c r="N49" s="136"/>
    </row>
    <row r="50" spans="1:14">
      <c r="A50" s="136"/>
      <c r="B50" s="136" t="s">
        <v>208</v>
      </c>
      <c r="C50" s="136"/>
      <c r="D50" s="136"/>
      <c r="E50" s="136"/>
      <c r="F50" s="136"/>
      <c r="G50" s="136"/>
      <c r="H50" s="136"/>
      <c r="I50" s="136"/>
      <c r="J50" s="136"/>
      <c r="K50" s="136"/>
      <c r="L50" s="136"/>
      <c r="M50" s="136"/>
    </row>
    <row r="51" spans="1:14">
      <c r="A51" s="136"/>
      <c r="B51" s="136" t="s">
        <v>209</v>
      </c>
      <c r="C51" s="155">
        <f>Q38-P38+R38+S38</f>
        <v>10.430100000000001</v>
      </c>
      <c r="D51" s="136" t="s">
        <v>210</v>
      </c>
      <c r="E51" s="136"/>
      <c r="F51" s="136"/>
      <c r="G51" s="136"/>
      <c r="H51" s="136"/>
      <c r="I51" s="136"/>
      <c r="J51" s="136"/>
      <c r="K51" s="136"/>
      <c r="L51" s="136"/>
      <c r="M51" s="136"/>
    </row>
    <row r="52" spans="1:14">
      <c r="A52" s="136"/>
      <c r="B52" s="136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</row>
    <row r="53" spans="1:14">
      <c r="A53" s="136"/>
      <c r="B53" s="136" t="s">
        <v>211</v>
      </c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</row>
    <row r="54" spans="1:14">
      <c r="A54" s="136"/>
      <c r="B54" s="136" t="s">
        <v>212</v>
      </c>
      <c r="C54" s="155">
        <f>C51-SUM(S21:S37)</f>
        <v>8.4699000000000009</v>
      </c>
      <c r="D54" s="136" t="s">
        <v>210</v>
      </c>
      <c r="E54" s="136"/>
      <c r="F54" s="136"/>
      <c r="G54" s="136"/>
      <c r="H54" s="136"/>
      <c r="I54" s="136"/>
      <c r="J54" s="136"/>
      <c r="K54" s="136"/>
      <c r="L54" s="136"/>
      <c r="M54" s="136"/>
    </row>
    <row r="55" spans="1:14">
      <c r="A55" s="136"/>
      <c r="B55" s="136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</row>
    <row r="56" spans="1:14">
      <c r="B56" s="154" t="s">
        <v>213</v>
      </c>
      <c r="C56" s="136"/>
      <c r="D56" s="136"/>
      <c r="E56" s="136"/>
      <c r="F56" s="156" t="s">
        <v>214</v>
      </c>
      <c r="H56" s="156"/>
      <c r="I56" s="156"/>
      <c r="J56" s="156"/>
      <c r="K56" s="136"/>
      <c r="L56" s="136"/>
      <c r="M56" s="136"/>
      <c r="N56" s="136"/>
    </row>
    <row r="57" spans="1:14">
      <c r="A57" s="136"/>
      <c r="B57" s="136"/>
      <c r="C57" s="136"/>
      <c r="D57" s="136"/>
      <c r="E57" s="136"/>
      <c r="F57" s="156" t="s">
        <v>215</v>
      </c>
      <c r="G57" s="156"/>
      <c r="H57" s="156" t="s">
        <v>216</v>
      </c>
      <c r="I57" s="157">
        <v>3</v>
      </c>
      <c r="J57" s="136" t="s">
        <v>121</v>
      </c>
      <c r="K57" s="136" t="s">
        <v>217</v>
      </c>
      <c r="L57" s="158"/>
      <c r="M57" s="136"/>
    </row>
    <row r="58" spans="1:14">
      <c r="A58" s="136"/>
      <c r="B58" s="154" t="s">
        <v>218</v>
      </c>
      <c r="C58" s="136"/>
      <c r="D58" s="159">
        <f>I58</f>
        <v>14.938095238095237</v>
      </c>
      <c r="E58" s="154" t="s">
        <v>121</v>
      </c>
      <c r="F58" s="156"/>
      <c r="G58" s="156"/>
      <c r="H58" s="156" t="s">
        <v>219</v>
      </c>
      <c r="I58" s="160">
        <f>I57/(21-I57)*(C54/C62)*100</f>
        <v>14.938095238095237</v>
      </c>
      <c r="J58" s="136" t="s">
        <v>121</v>
      </c>
      <c r="K58" s="136" t="s">
        <v>220</v>
      </c>
      <c r="L58" s="136"/>
      <c r="M58" s="136"/>
    </row>
    <row r="59" spans="1:14">
      <c r="A59" s="136"/>
      <c r="B59" s="161" t="s">
        <v>221</v>
      </c>
      <c r="C59" s="162" t="s">
        <v>222</v>
      </c>
      <c r="D59" s="163">
        <f>D58/100</f>
        <v>0.14938095238095236</v>
      </c>
      <c r="E59" s="136"/>
      <c r="F59" s="136"/>
      <c r="G59" s="136"/>
      <c r="H59" s="136"/>
      <c r="I59" s="136"/>
      <c r="J59" s="136"/>
      <c r="K59" s="136" t="s">
        <v>223</v>
      </c>
      <c r="L59" s="136"/>
      <c r="M59" s="136"/>
    </row>
    <row r="60" spans="1:14">
      <c r="A60" s="136"/>
      <c r="B60" s="136"/>
      <c r="C60" s="136" t="s">
        <v>224</v>
      </c>
      <c r="D60" s="136"/>
      <c r="E60" s="136"/>
      <c r="F60" s="136"/>
      <c r="G60" s="136"/>
      <c r="H60" s="136"/>
      <c r="I60" s="136"/>
      <c r="J60" s="145"/>
      <c r="K60" s="136" t="s">
        <v>225</v>
      </c>
      <c r="L60" s="136"/>
      <c r="M60" s="136"/>
    </row>
    <row r="61" spans="1:14">
      <c r="A61" s="136"/>
      <c r="B61" s="136" t="s">
        <v>226</v>
      </c>
      <c r="C61" s="136"/>
      <c r="D61" s="136"/>
      <c r="E61" s="136"/>
      <c r="F61" s="136"/>
      <c r="G61" s="136"/>
      <c r="H61" s="136"/>
      <c r="I61" s="136"/>
      <c r="J61" s="136"/>
      <c r="K61" s="136" t="s">
        <v>227</v>
      </c>
      <c r="L61" s="136"/>
      <c r="M61" s="136"/>
    </row>
    <row r="62" spans="1:14">
      <c r="A62" s="136"/>
      <c r="B62" s="136" t="s">
        <v>228</v>
      </c>
      <c r="C62" s="155">
        <f>Q38</f>
        <v>9.4500000000000011</v>
      </c>
      <c r="D62" s="136" t="s">
        <v>210</v>
      </c>
      <c r="E62" s="136"/>
      <c r="F62" s="136"/>
      <c r="G62" s="136"/>
      <c r="H62" s="136"/>
      <c r="I62" s="136"/>
      <c r="J62" s="136"/>
      <c r="K62" s="136" t="s">
        <v>229</v>
      </c>
      <c r="L62" s="136"/>
      <c r="M62" s="136"/>
    </row>
    <row r="63" spans="1:14">
      <c r="A63" s="136"/>
      <c r="B63" s="154" t="s">
        <v>230</v>
      </c>
      <c r="C63" s="136"/>
      <c r="D63" s="136"/>
      <c r="E63" s="136"/>
      <c r="F63" s="136"/>
      <c r="G63" s="136"/>
      <c r="H63" s="136"/>
      <c r="I63" s="136"/>
      <c r="J63" s="136"/>
      <c r="K63" s="136"/>
      <c r="L63" s="136"/>
      <c r="M63" s="136"/>
    </row>
    <row r="64" spans="1:14">
      <c r="A64" s="136"/>
      <c r="B64" s="136" t="s">
        <v>231</v>
      </c>
      <c r="C64" s="155">
        <f>C62*(1+D59)</f>
        <v>10.861650000000001</v>
      </c>
      <c r="D64" s="136" t="s">
        <v>210</v>
      </c>
      <c r="E64" s="136"/>
      <c r="F64" s="136"/>
      <c r="G64" s="136"/>
      <c r="H64" s="136"/>
      <c r="I64" s="136"/>
      <c r="J64" s="136"/>
      <c r="K64" s="136"/>
      <c r="L64" s="136"/>
      <c r="M64" s="136"/>
    </row>
    <row r="65" spans="1:14">
      <c r="A65" s="136"/>
      <c r="B65" s="136"/>
      <c r="C65" s="136"/>
      <c r="D65" s="136"/>
      <c r="E65" s="136"/>
      <c r="F65" s="136"/>
      <c r="G65" s="136"/>
      <c r="H65" s="136"/>
      <c r="I65" s="136"/>
      <c r="J65" s="136"/>
      <c r="K65" s="136"/>
      <c r="L65" s="136"/>
      <c r="M65" s="136"/>
    </row>
    <row r="66" spans="1:14">
      <c r="A66" s="136"/>
      <c r="B66" s="154" t="s">
        <v>232</v>
      </c>
      <c r="C66" s="136"/>
      <c r="D66" s="136"/>
      <c r="E66" s="136"/>
      <c r="F66" s="136"/>
      <c r="G66" s="136"/>
      <c r="H66" s="136"/>
      <c r="I66" s="136"/>
      <c r="J66" s="136"/>
      <c r="K66" s="136"/>
      <c r="L66" s="136"/>
      <c r="M66" s="136"/>
    </row>
    <row r="67" spans="1:14">
      <c r="A67" s="136"/>
      <c r="B67" s="136" t="s">
        <v>233</v>
      </c>
      <c r="C67" s="164">
        <f>C51+(D59*C62)</f>
        <v>11.841750000000001</v>
      </c>
      <c r="D67" s="136" t="s">
        <v>210</v>
      </c>
      <c r="E67" s="136"/>
      <c r="F67" s="136"/>
      <c r="G67" s="136"/>
      <c r="H67" s="165" t="s">
        <v>234</v>
      </c>
      <c r="I67" s="166">
        <f>SUM(R21:R37)/C67</f>
        <v>8.546878628581081E-2</v>
      </c>
      <c r="J67" s="136"/>
      <c r="K67" s="136"/>
      <c r="L67" s="136"/>
      <c r="M67" s="136"/>
    </row>
    <row r="68" spans="1:14">
      <c r="A68" s="136"/>
      <c r="B68" s="136"/>
      <c r="C68" s="136"/>
      <c r="D68" s="136"/>
      <c r="E68" s="136"/>
      <c r="F68" s="136"/>
      <c r="G68" s="136"/>
      <c r="H68" s="136"/>
      <c r="I68" s="136"/>
      <c r="J68" s="136"/>
      <c r="K68" s="136"/>
      <c r="L68" s="136"/>
      <c r="M68" s="136"/>
    </row>
    <row r="69" spans="1:14">
      <c r="A69" s="136"/>
      <c r="B69" s="136" t="s">
        <v>235</v>
      </c>
      <c r="C69" s="155">
        <f>C54+(D59*C62)</f>
        <v>9.8815500000000007</v>
      </c>
      <c r="D69" s="136" t="s">
        <v>210</v>
      </c>
      <c r="E69" s="165" t="s">
        <v>236</v>
      </c>
      <c r="F69" s="167">
        <f>I57</f>
        <v>3</v>
      </c>
      <c r="G69" s="136" t="s">
        <v>237</v>
      </c>
      <c r="H69" s="165" t="s">
        <v>234</v>
      </c>
      <c r="I69" s="166">
        <f>SUM(R21:R37)/C69</f>
        <v>0.10242320283761153</v>
      </c>
      <c r="J69" s="136"/>
      <c r="K69" s="136"/>
      <c r="L69" s="136"/>
      <c r="M69" s="136"/>
    </row>
    <row r="70" spans="1:14">
      <c r="A70" s="136"/>
      <c r="B70" s="136"/>
      <c r="C70" s="136"/>
      <c r="D70" s="136"/>
      <c r="E70" s="136"/>
      <c r="F70" s="136"/>
      <c r="G70" s="136"/>
      <c r="H70" s="136"/>
      <c r="I70" s="166">
        <f>R38/C69</f>
        <v>0.10164397285850905</v>
      </c>
      <c r="J70" s="136"/>
      <c r="K70" s="136"/>
      <c r="L70" s="136"/>
      <c r="M70" s="136"/>
    </row>
    <row r="71" spans="1:14">
      <c r="A71" s="136"/>
      <c r="B71" s="161" t="s">
        <v>238</v>
      </c>
      <c r="C71" s="164">
        <f>C69*((21-F69)/(21-F71))</f>
        <v>9.8815500000000007</v>
      </c>
      <c r="D71" s="168" t="s">
        <v>210</v>
      </c>
      <c r="E71" s="165" t="s">
        <v>236</v>
      </c>
      <c r="F71" s="169">
        <v>3</v>
      </c>
      <c r="G71" s="136" t="s">
        <v>239</v>
      </c>
      <c r="H71" s="136"/>
      <c r="I71" s="136"/>
      <c r="J71" s="136"/>
      <c r="K71" s="136"/>
      <c r="L71" s="136"/>
      <c r="M71" s="136"/>
    </row>
    <row r="72" spans="1:14">
      <c r="A72" s="136"/>
      <c r="B72" s="136"/>
      <c r="C72" s="136"/>
      <c r="D72" s="136"/>
      <c r="E72" s="136"/>
      <c r="F72" s="136" t="s">
        <v>240</v>
      </c>
      <c r="G72" s="136"/>
      <c r="H72" s="136"/>
      <c r="I72" s="136"/>
      <c r="J72" s="136"/>
      <c r="K72" s="136"/>
      <c r="L72" s="136"/>
      <c r="M72" s="136"/>
    </row>
    <row r="73" spans="1:14">
      <c r="A73" s="136"/>
      <c r="B73" s="136"/>
      <c r="C73" s="136"/>
      <c r="D73" s="136"/>
      <c r="E73" s="136"/>
      <c r="F73" s="136"/>
      <c r="G73" s="136"/>
      <c r="H73" s="136"/>
      <c r="I73" s="136"/>
      <c r="J73" s="136"/>
      <c r="K73" s="136"/>
      <c r="L73" s="136"/>
      <c r="M73" s="136"/>
    </row>
    <row r="74" spans="1:14">
      <c r="B74" s="154" t="s">
        <v>241</v>
      </c>
      <c r="C74" s="136"/>
      <c r="D74" s="136"/>
      <c r="E74" s="136"/>
      <c r="F74" s="136"/>
      <c r="G74" s="136"/>
      <c r="H74" s="136"/>
      <c r="I74" s="136"/>
      <c r="J74" s="136"/>
      <c r="K74" s="136"/>
      <c r="L74" s="136"/>
      <c r="M74" s="136"/>
      <c r="N74" s="136"/>
    </row>
    <row r="75" spans="1:14">
      <c r="A75" s="136"/>
      <c r="B75" s="136" t="s">
        <v>242</v>
      </c>
      <c r="C75" s="170">
        <f>C46*C17*24</f>
        <v>1580.3072039939038</v>
      </c>
      <c r="D75" s="154" t="s">
        <v>243</v>
      </c>
      <c r="E75" s="171">
        <f>1524.6/59%/1000*3600*24/4</f>
        <v>55815.864406779656</v>
      </c>
      <c r="F75" s="136"/>
      <c r="G75" s="136"/>
      <c r="H75" s="136"/>
      <c r="I75" s="136"/>
      <c r="J75" s="136"/>
      <c r="K75" s="136"/>
      <c r="L75" s="136"/>
      <c r="M75" s="136"/>
    </row>
    <row r="76" spans="1:14">
      <c r="A76" s="136"/>
      <c r="B76" s="136"/>
      <c r="C76" s="155">
        <f>C75/24</f>
        <v>65.846133499745989</v>
      </c>
      <c r="D76" s="136" t="s">
        <v>244</v>
      </c>
      <c r="E76" s="136"/>
      <c r="F76" s="136"/>
      <c r="G76" s="136"/>
      <c r="H76" s="136"/>
      <c r="I76" s="136"/>
      <c r="J76" s="136"/>
      <c r="K76" s="136"/>
      <c r="L76" s="136"/>
      <c r="M76" s="136"/>
    </row>
    <row r="77" spans="1:14">
      <c r="A77" s="136"/>
      <c r="B77" s="136" t="s">
        <v>245</v>
      </c>
      <c r="C77" s="172">
        <f>$E$46/1000</f>
        <v>3.3644220186723951E-2</v>
      </c>
      <c r="D77" s="154" t="s">
        <v>246</v>
      </c>
      <c r="E77" s="136"/>
      <c r="F77" s="136"/>
      <c r="G77" s="136"/>
      <c r="H77" s="136"/>
      <c r="I77" s="136"/>
      <c r="J77" s="136"/>
      <c r="K77" s="136"/>
      <c r="L77" s="136"/>
      <c r="M77" s="136"/>
    </row>
    <row r="78" spans="1:14">
      <c r="A78" s="136"/>
      <c r="B78" s="136"/>
      <c r="C78" s="173">
        <f>C76/C77</f>
        <v>1957.1306195923944</v>
      </c>
      <c r="D78" s="136" t="s">
        <v>247</v>
      </c>
      <c r="E78" s="136" t="s">
        <v>248</v>
      </c>
      <c r="F78" s="136">
        <f>F43</f>
        <v>15</v>
      </c>
      <c r="G78" s="136" t="str">
        <f>G43</f>
        <v>C</v>
      </c>
      <c r="H78" s="136"/>
      <c r="I78" s="136"/>
      <c r="J78" s="136"/>
      <c r="K78" s="136"/>
      <c r="L78" s="136"/>
      <c r="M78" s="136"/>
    </row>
    <row r="79" spans="1:14">
      <c r="A79" s="136"/>
      <c r="B79" s="136" t="s">
        <v>249</v>
      </c>
      <c r="C79" s="173">
        <f>C78/(273.15+F78)*(273.15+F79)</f>
        <v>1855.2497960842011</v>
      </c>
      <c r="D79" s="154" t="s">
        <v>250</v>
      </c>
      <c r="E79" s="136" t="s">
        <v>248</v>
      </c>
      <c r="F79" s="136">
        <v>0</v>
      </c>
      <c r="G79" s="136" t="s">
        <v>114</v>
      </c>
      <c r="H79" s="136" t="s">
        <v>251</v>
      </c>
      <c r="I79" s="136">
        <f>C79*C64</f>
        <v>20151.073947637964</v>
      </c>
      <c r="J79" s="136" t="s">
        <v>252</v>
      </c>
      <c r="K79" s="136"/>
      <c r="L79" s="136"/>
      <c r="M79" s="136"/>
    </row>
    <row r="80" spans="1:14">
      <c r="A80" s="136"/>
      <c r="B80" s="136"/>
      <c r="C80" s="136"/>
      <c r="D80" s="136"/>
      <c r="E80" s="136"/>
      <c r="F80" s="136"/>
      <c r="G80" s="136"/>
      <c r="H80" s="136"/>
      <c r="I80" s="136"/>
      <c r="J80" s="136"/>
      <c r="K80" s="136"/>
      <c r="L80" s="136"/>
      <c r="M80" s="136"/>
    </row>
    <row r="81" spans="1:14">
      <c r="A81" s="136"/>
      <c r="B81" s="154" t="s">
        <v>253</v>
      </c>
      <c r="C81" s="174" t="s">
        <v>254</v>
      </c>
      <c r="D81" s="136"/>
      <c r="E81" s="136"/>
      <c r="F81" s="136"/>
      <c r="G81" s="136"/>
      <c r="H81" s="136"/>
      <c r="I81" s="136"/>
      <c r="J81" s="136"/>
      <c r="K81" s="136"/>
      <c r="L81" s="136"/>
      <c r="M81" s="136"/>
    </row>
    <row r="82" spans="1:14" ht="15" thickBot="1">
      <c r="A82" s="136"/>
      <c r="B82" s="136"/>
      <c r="C82" s="155">
        <f>C71</f>
        <v>9.8815500000000007</v>
      </c>
      <c r="D82" s="136" t="s">
        <v>210</v>
      </c>
      <c r="E82" s="136"/>
      <c r="F82" s="136"/>
      <c r="G82" s="136"/>
      <c r="H82" s="136"/>
      <c r="I82" s="136"/>
      <c r="J82" s="136"/>
      <c r="K82" s="136"/>
      <c r="L82" s="136"/>
      <c r="M82" s="136"/>
    </row>
    <row r="83" spans="1:14">
      <c r="A83" s="136"/>
      <c r="B83" s="136"/>
      <c r="C83" s="147">
        <f>C79*C82</f>
        <v>18332.74362249584</v>
      </c>
      <c r="D83" s="154" t="s">
        <v>255</v>
      </c>
      <c r="E83" s="175">
        <v>51</v>
      </c>
      <c r="F83" s="176" t="s">
        <v>256</v>
      </c>
      <c r="G83" s="177">
        <f>E83/1000*C84</f>
        <v>0.25971386798535773</v>
      </c>
      <c r="H83" s="178" t="s">
        <v>257</v>
      </c>
      <c r="I83" s="136"/>
      <c r="J83" s="136"/>
      <c r="K83" s="136"/>
      <c r="L83" s="136"/>
      <c r="M83" s="136"/>
    </row>
    <row r="84" spans="1:14" ht="15" thickBot="1">
      <c r="A84" s="136"/>
      <c r="B84" s="136"/>
      <c r="C84" s="147">
        <f>C83/3600</f>
        <v>5.0924287840266222</v>
      </c>
      <c r="D84" s="154" t="s">
        <v>97</v>
      </c>
      <c r="E84" s="179">
        <v>100</v>
      </c>
      <c r="F84" s="180" t="s">
        <v>258</v>
      </c>
      <c r="G84" s="181">
        <f>E84/1000*C84</f>
        <v>0.50924287840266225</v>
      </c>
      <c r="H84" s="182" t="s">
        <v>259</v>
      </c>
      <c r="I84" s="136"/>
      <c r="J84" s="136"/>
      <c r="K84" s="136"/>
      <c r="L84" s="136"/>
      <c r="M84" s="136"/>
    </row>
    <row r="85" spans="1:14">
      <c r="A85" s="136"/>
      <c r="B85" s="136"/>
      <c r="C85" s="136"/>
      <c r="D85" s="136"/>
      <c r="E85" s="136"/>
      <c r="F85" s="136"/>
      <c r="G85" s="136"/>
      <c r="H85" s="136"/>
      <c r="I85" s="136"/>
      <c r="J85" s="136"/>
      <c r="K85" s="136"/>
      <c r="L85" s="136"/>
      <c r="M85" s="136"/>
    </row>
    <row r="86" spans="1:14">
      <c r="A86" s="136"/>
      <c r="B86" s="136"/>
      <c r="C86" s="154" t="s">
        <v>260</v>
      </c>
      <c r="D86" s="136" t="s">
        <v>261</v>
      </c>
      <c r="E86" s="136"/>
      <c r="F86" s="136"/>
      <c r="G86" s="136"/>
      <c r="H86" s="136"/>
      <c r="I86" s="136"/>
      <c r="J86" s="136"/>
      <c r="K86" s="136"/>
      <c r="L86" s="136"/>
      <c r="M86" s="136"/>
    </row>
    <row r="87" spans="1:14">
      <c r="A87" s="136"/>
      <c r="B87" s="136"/>
      <c r="C87" s="155">
        <f>C67</f>
        <v>11.841750000000001</v>
      </c>
      <c r="D87" s="136" t="s">
        <v>210</v>
      </c>
      <c r="E87" s="136"/>
      <c r="F87" s="136"/>
      <c r="G87" s="136"/>
      <c r="H87" s="136"/>
      <c r="I87" s="136"/>
      <c r="J87" s="136"/>
      <c r="K87" s="136"/>
      <c r="L87" s="136"/>
      <c r="M87" s="136"/>
      <c r="N87" s="136"/>
    </row>
    <row r="88" spans="1:14">
      <c r="A88" s="136"/>
      <c r="B88" s="174" t="s">
        <v>262</v>
      </c>
      <c r="C88" s="183">
        <f>G88+273.15</f>
        <v>473.15</v>
      </c>
      <c r="D88" s="154" t="s">
        <v>115</v>
      </c>
      <c r="E88" s="136"/>
      <c r="F88" s="136" t="s">
        <v>263</v>
      </c>
      <c r="G88" s="136">
        <v>200</v>
      </c>
      <c r="H88" s="136" t="s">
        <v>264</v>
      </c>
      <c r="I88" s="136"/>
      <c r="J88" s="136"/>
      <c r="K88" s="136"/>
      <c r="L88" s="136"/>
      <c r="M88" s="136"/>
      <c r="N88" s="136"/>
    </row>
    <row r="89" spans="1:14">
      <c r="A89" s="136"/>
      <c r="B89" s="136"/>
      <c r="C89" s="147">
        <f>C79*C87*C88/273.15</f>
        <v>38055.367496488747</v>
      </c>
      <c r="D89" s="154" t="s">
        <v>265</v>
      </c>
      <c r="E89" s="136"/>
      <c r="F89" s="136" t="s">
        <v>266</v>
      </c>
      <c r="G89" s="184">
        <f>SUM(S21:S37)*100/C67</f>
        <v>16.553296598897965</v>
      </c>
      <c r="H89" s="136" t="s">
        <v>267</v>
      </c>
      <c r="I89" s="185" t="s">
        <v>268</v>
      </c>
      <c r="J89" s="136"/>
      <c r="K89" s="136"/>
      <c r="L89" s="136"/>
      <c r="M89" s="136"/>
      <c r="N89" s="136"/>
    </row>
    <row r="90" spans="1:14">
      <c r="A90" s="136"/>
      <c r="B90" s="136"/>
      <c r="C90" s="147">
        <f>C89/3600</f>
        <v>10.570935415691318</v>
      </c>
      <c r="D90" s="154" t="s">
        <v>48</v>
      </c>
      <c r="E90" s="136"/>
      <c r="F90" s="136" t="s">
        <v>269</v>
      </c>
      <c r="G90" s="136">
        <f>I57</f>
        <v>3</v>
      </c>
      <c r="H90" s="136" t="s">
        <v>270</v>
      </c>
      <c r="I90" s="136"/>
      <c r="J90" s="136"/>
      <c r="K90" s="136"/>
      <c r="L90" s="136"/>
      <c r="M90" s="136"/>
      <c r="N90" s="136"/>
    </row>
    <row r="91" spans="1:14">
      <c r="A91" s="136"/>
      <c r="B91" s="136"/>
      <c r="C91" s="136"/>
      <c r="D91" s="136"/>
      <c r="E91" s="136"/>
      <c r="F91" s="136"/>
      <c r="G91" s="136"/>
      <c r="H91" s="136"/>
      <c r="I91" s="136"/>
      <c r="J91" s="136"/>
      <c r="K91" s="136"/>
      <c r="L91" s="136"/>
      <c r="M91" s="136"/>
      <c r="N91" s="136"/>
    </row>
    <row r="92" spans="1:14">
      <c r="A92" s="136"/>
      <c r="B92" s="136" t="s">
        <v>271</v>
      </c>
      <c r="C92" s="136"/>
      <c r="D92" s="136"/>
      <c r="E92" s="136"/>
      <c r="F92" s="136"/>
      <c r="G92" s="136"/>
      <c r="H92" s="136"/>
      <c r="I92" s="136"/>
      <c r="J92" s="136"/>
      <c r="K92" s="136"/>
      <c r="L92" s="136"/>
      <c r="M92" s="136"/>
      <c r="N92" s="136"/>
    </row>
    <row r="93" spans="1:14">
      <c r="A93" s="136"/>
      <c r="B93" s="136"/>
      <c r="C93" s="186">
        <f>C76/3600</f>
        <v>1.8290592638818329E-2</v>
      </c>
      <c r="D93" s="136" t="s">
        <v>272</v>
      </c>
      <c r="E93" s="187">
        <f>E75</f>
        <v>55815.864406779656</v>
      </c>
      <c r="F93" s="136" t="s">
        <v>273</v>
      </c>
      <c r="G93" s="136"/>
      <c r="H93" s="136"/>
      <c r="I93" s="136"/>
      <c r="J93" s="136"/>
      <c r="K93" s="136"/>
      <c r="L93" s="136"/>
      <c r="M93" s="136"/>
      <c r="N93" s="136"/>
    </row>
    <row r="94" spans="1:14">
      <c r="A94" s="136"/>
      <c r="B94" s="136"/>
      <c r="C94" s="136">
        <f>C93*60</f>
        <v>1.0974355583290998</v>
      </c>
      <c r="D94" s="136" t="s">
        <v>274</v>
      </c>
      <c r="E94" s="136"/>
      <c r="F94" s="136"/>
      <c r="G94" s="136"/>
      <c r="H94" s="136"/>
      <c r="I94" s="136"/>
      <c r="J94" s="136"/>
      <c r="K94" s="136"/>
      <c r="L94" s="136"/>
      <c r="M94" s="136"/>
      <c r="N94" s="136"/>
    </row>
    <row r="95" spans="1:14">
      <c r="A95" s="136"/>
      <c r="B95" s="136"/>
      <c r="C95" s="136">
        <f>C94*60</f>
        <v>65.846133499745989</v>
      </c>
      <c r="D95" s="136" t="s">
        <v>275</v>
      </c>
      <c r="E95" s="187">
        <f>E93</f>
        <v>55815.864406779656</v>
      </c>
      <c r="F95" s="136" t="s">
        <v>276</v>
      </c>
      <c r="G95" s="136"/>
      <c r="H95" s="136"/>
      <c r="I95" s="136"/>
      <c r="J95" s="136"/>
      <c r="K95" s="136"/>
      <c r="L95" s="136"/>
      <c r="M95" s="136"/>
      <c r="N95" s="136"/>
    </row>
    <row r="96" spans="1:14">
      <c r="A96" s="136"/>
      <c r="B96" s="136"/>
      <c r="C96" s="188">
        <f>C95*24</f>
        <v>1580.3072039939038</v>
      </c>
      <c r="D96" s="136" t="s">
        <v>277</v>
      </c>
      <c r="E96" s="136">
        <f>E95*24</f>
        <v>1339580.7457627119</v>
      </c>
      <c r="F96" s="136" t="s">
        <v>278</v>
      </c>
      <c r="G96" s="136"/>
      <c r="H96" s="136"/>
      <c r="I96" s="136"/>
      <c r="J96" s="136"/>
      <c r="K96" s="136"/>
      <c r="L96" s="136"/>
      <c r="M96" s="136"/>
      <c r="N96" s="136"/>
    </row>
    <row r="97" spans="1:14">
      <c r="A97" s="136"/>
      <c r="B97" s="136"/>
      <c r="C97" s="145">
        <f>C96*365</f>
        <v>576812.12945777492</v>
      </c>
      <c r="D97" s="136" t="s">
        <v>279</v>
      </c>
      <c r="E97" s="145">
        <f>E96*365</f>
        <v>488946972.20338982</v>
      </c>
      <c r="F97" s="136" t="s">
        <v>280</v>
      </c>
      <c r="G97" s="136"/>
      <c r="H97" s="136"/>
      <c r="I97" s="136"/>
      <c r="J97" s="136"/>
      <c r="K97" s="136"/>
      <c r="L97" s="136"/>
      <c r="M97" s="136"/>
      <c r="N97" s="136"/>
    </row>
    <row r="98" spans="1:14">
      <c r="F98" s="120"/>
      <c r="G98" s="120"/>
      <c r="H98" s="120"/>
      <c r="I98" s="120"/>
    </row>
    <row r="99" spans="1:14">
      <c r="F99" s="253"/>
      <c r="G99" s="253"/>
      <c r="H99" s="253"/>
      <c r="I99" s="253"/>
    </row>
  </sheetData>
  <mergeCells count="6">
    <mergeCell ref="B48:F48"/>
    <mergeCell ref="B10:E10"/>
    <mergeCell ref="B19:E19"/>
    <mergeCell ref="F19:K19"/>
    <mergeCell ref="L19:S19"/>
    <mergeCell ref="B42:F42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C6278-7B97-473B-82A2-A4C76806CFE3}">
  <dimension ref="A1:U203"/>
  <sheetViews>
    <sheetView topLeftCell="A142" workbookViewId="0">
      <selection activeCell="J163" sqref="J163"/>
    </sheetView>
  </sheetViews>
  <sheetFormatPr defaultRowHeight="14.45"/>
  <cols>
    <col min="2" max="2" width="26.140625" customWidth="1"/>
    <col min="3" max="3" width="25.140625" customWidth="1"/>
    <col min="4" max="4" width="14.5703125" customWidth="1"/>
    <col min="5" max="5" width="39.28515625" customWidth="1"/>
    <col min="6" max="6" width="15" customWidth="1"/>
    <col min="7" max="7" width="15.5703125" customWidth="1"/>
    <col min="8" max="8" width="16.28515625" customWidth="1"/>
    <col min="9" max="10" width="14.140625" customWidth="1"/>
    <col min="11" max="11" width="11.85546875" customWidth="1"/>
    <col min="12" max="13" width="11.140625" customWidth="1"/>
    <col min="14" max="14" width="13.140625" bestFit="1" customWidth="1"/>
    <col min="15" max="15" width="10.85546875" customWidth="1"/>
    <col min="16" max="16" width="13.140625" bestFit="1" customWidth="1"/>
    <col min="17" max="17" width="11.140625" bestFit="1" customWidth="1"/>
    <col min="18" max="18" width="11.5703125" customWidth="1"/>
    <col min="19" max="19" width="11.42578125" customWidth="1"/>
    <col min="21" max="21" width="14.28515625" customWidth="1"/>
  </cols>
  <sheetData>
    <row r="1" spans="2:9" ht="15" thickBot="1"/>
    <row r="2" spans="2:9">
      <c r="B2" s="75" t="s">
        <v>128</v>
      </c>
      <c r="C2" s="76" t="s">
        <v>129</v>
      </c>
    </row>
    <row r="3" spans="2:9" ht="27.6">
      <c r="B3" s="77" t="s">
        <v>130</v>
      </c>
      <c r="C3" s="78" t="s">
        <v>283</v>
      </c>
    </row>
    <row r="4" spans="2:9" ht="15" thickBot="1">
      <c r="B4" s="79" t="s">
        <v>132</v>
      </c>
      <c r="C4" s="80" t="s">
        <v>284</v>
      </c>
    </row>
    <row r="6" spans="2:9">
      <c r="C6" s="81" t="s">
        <v>134</v>
      </c>
    </row>
    <row r="7" spans="2:9">
      <c r="C7" s="82" t="s">
        <v>135</v>
      </c>
    </row>
    <row r="9" spans="2:9" ht="15" thickBot="1"/>
    <row r="10" spans="2:9" ht="18">
      <c r="B10" s="380" t="s">
        <v>136</v>
      </c>
      <c r="C10" s="381"/>
      <c r="D10" s="381"/>
      <c r="E10" s="382"/>
    </row>
    <row r="11" spans="2:9">
      <c r="B11" s="83" t="s">
        <v>137</v>
      </c>
      <c r="C11" s="84" t="s">
        <v>138</v>
      </c>
      <c r="D11" s="84" t="s">
        <v>6</v>
      </c>
      <c r="E11" s="85" t="s">
        <v>139</v>
      </c>
    </row>
    <row r="12" spans="2:9">
      <c r="B12" s="86" t="s">
        <v>140</v>
      </c>
      <c r="C12" s="87"/>
      <c r="D12" s="88"/>
      <c r="E12" s="89"/>
    </row>
    <row r="13" spans="2:9">
      <c r="B13" s="86" t="s">
        <v>141</v>
      </c>
      <c r="C13" s="90"/>
      <c r="D13" s="88"/>
      <c r="E13" s="89"/>
    </row>
    <row r="14" spans="2:9">
      <c r="B14" s="86" t="s">
        <v>142</v>
      </c>
      <c r="C14" s="90"/>
      <c r="D14" s="88"/>
      <c r="E14" s="89"/>
      <c r="I14" s="342"/>
    </row>
    <row r="15" spans="2:9">
      <c r="B15" s="86" t="s">
        <v>143</v>
      </c>
      <c r="C15" s="91">
        <v>65</v>
      </c>
      <c r="D15" s="60" t="s">
        <v>28</v>
      </c>
      <c r="E15" s="92"/>
    </row>
    <row r="16" spans="2:9">
      <c r="B16" s="86" t="s">
        <v>144</v>
      </c>
      <c r="C16" s="91">
        <v>0.9</v>
      </c>
      <c r="D16" s="60" t="s">
        <v>28</v>
      </c>
      <c r="E16" s="92"/>
    </row>
    <row r="17" spans="1:21" ht="28.15" thickBot="1">
      <c r="B17" s="93" t="s">
        <v>145</v>
      </c>
      <c r="C17" s="94">
        <f>186450/1000</f>
        <v>186.45</v>
      </c>
      <c r="D17" s="95" t="s">
        <v>146</v>
      </c>
      <c r="E17" s="96" t="s">
        <v>147</v>
      </c>
    </row>
    <row r="18" spans="1:21" ht="15" thickBot="1"/>
    <row r="19" spans="1:21" ht="18">
      <c r="A19" s="97" t="s">
        <v>148</v>
      </c>
      <c r="B19" s="383" t="s">
        <v>149</v>
      </c>
      <c r="C19" s="384"/>
      <c r="D19" s="384"/>
      <c r="E19" s="385"/>
      <c r="F19" s="383"/>
      <c r="G19" s="384"/>
      <c r="H19" s="384"/>
      <c r="I19" s="384"/>
      <c r="J19" s="384"/>
      <c r="K19" s="385"/>
      <c r="L19" s="383"/>
      <c r="M19" s="384"/>
      <c r="N19" s="384"/>
      <c r="O19" s="384"/>
      <c r="P19" s="384"/>
      <c r="Q19" s="384"/>
      <c r="R19" s="384"/>
      <c r="S19" s="385"/>
    </row>
    <row r="20" spans="1:21" ht="36">
      <c r="B20" s="98" t="s">
        <v>150</v>
      </c>
      <c r="C20" s="99" t="s">
        <v>151</v>
      </c>
      <c r="D20" s="99" t="s">
        <v>152</v>
      </c>
      <c r="E20" s="100" t="s">
        <v>153</v>
      </c>
      <c r="F20" s="98" t="s">
        <v>154</v>
      </c>
      <c r="G20" s="99" t="s">
        <v>155</v>
      </c>
      <c r="H20" s="99" t="s">
        <v>156</v>
      </c>
      <c r="I20" s="99" t="s">
        <v>157</v>
      </c>
      <c r="J20" s="99" t="s">
        <v>158</v>
      </c>
      <c r="K20" s="100" t="s">
        <v>159</v>
      </c>
      <c r="L20" s="98" t="s">
        <v>160</v>
      </c>
      <c r="M20" s="99" t="s">
        <v>161</v>
      </c>
      <c r="N20" s="101" t="s">
        <v>162</v>
      </c>
      <c r="O20" s="101" t="s">
        <v>163</v>
      </c>
      <c r="P20" s="101" t="s">
        <v>164</v>
      </c>
      <c r="Q20" s="101" t="s">
        <v>165</v>
      </c>
      <c r="R20" s="101" t="s">
        <v>166</v>
      </c>
      <c r="S20" s="102" t="s">
        <v>167</v>
      </c>
      <c r="U20" s="103" t="s">
        <v>168</v>
      </c>
    </row>
    <row r="21" spans="1:21">
      <c r="B21" s="104" t="s">
        <v>34</v>
      </c>
      <c r="C21" s="105" t="s">
        <v>101</v>
      </c>
      <c r="D21" s="106">
        <v>28</v>
      </c>
      <c r="E21" s="107">
        <v>0.19</v>
      </c>
      <c r="F21" s="108">
        <f t="shared" ref="F21:F41" si="0">(E21/100*D21)</f>
        <v>5.3199999999999997E-2</v>
      </c>
      <c r="G21" s="109">
        <f t="shared" ref="G21:G41" si="1">F21/F$42</f>
        <v>4.227053140096618E-3</v>
      </c>
      <c r="H21" s="110" t="s">
        <v>169</v>
      </c>
      <c r="I21" s="110" t="s">
        <v>169</v>
      </c>
      <c r="J21" s="111" t="s">
        <v>169</v>
      </c>
      <c r="K21" s="112" t="s">
        <v>169</v>
      </c>
      <c r="L21" s="108" t="s">
        <v>169</v>
      </c>
      <c r="M21" s="111" t="s">
        <v>169</v>
      </c>
      <c r="N21" s="113" t="s">
        <v>169</v>
      </c>
      <c r="O21" s="113" t="s">
        <v>169</v>
      </c>
      <c r="P21" s="114" t="s">
        <v>169</v>
      </c>
      <c r="Q21" s="114" t="s">
        <v>169</v>
      </c>
      <c r="R21" s="115" t="s">
        <v>169</v>
      </c>
      <c r="S21" s="115" t="s">
        <v>169</v>
      </c>
      <c r="U21" t="e">
        <f>I21*1000*D21</f>
        <v>#VALUE!</v>
      </c>
    </row>
    <row r="22" spans="1:21">
      <c r="B22" s="104" t="s">
        <v>170</v>
      </c>
      <c r="C22" s="105" t="s">
        <v>102</v>
      </c>
      <c r="D22" s="106">
        <v>18</v>
      </c>
      <c r="E22" s="107">
        <v>0.45</v>
      </c>
      <c r="F22" s="108">
        <f t="shared" si="0"/>
        <v>8.1000000000000016E-2</v>
      </c>
      <c r="G22" s="109">
        <f t="shared" si="1"/>
        <v>6.4359267734553794E-3</v>
      </c>
      <c r="H22" s="110" t="s">
        <v>169</v>
      </c>
      <c r="I22" s="110" t="s">
        <v>169</v>
      </c>
      <c r="J22" s="111" t="s">
        <v>169</v>
      </c>
      <c r="K22" s="112" t="s">
        <v>169</v>
      </c>
      <c r="L22" s="108" t="s">
        <v>169</v>
      </c>
      <c r="M22" s="111" t="s">
        <v>169</v>
      </c>
      <c r="N22" s="113" t="s">
        <v>169</v>
      </c>
      <c r="O22" s="113" t="s">
        <v>169</v>
      </c>
      <c r="P22" s="114" t="s">
        <v>169</v>
      </c>
      <c r="Q22" s="114" t="s">
        <v>169</v>
      </c>
      <c r="R22" s="115" t="s">
        <v>169</v>
      </c>
      <c r="S22" s="116">
        <f>$E22/100</f>
        <v>4.5000000000000005E-3</v>
      </c>
      <c r="U22" t="e">
        <f t="shared" ref="U22:U31" si="2">I22*1000*D22</f>
        <v>#VALUE!</v>
      </c>
    </row>
    <row r="23" spans="1:21">
      <c r="B23" s="104" t="s">
        <v>32</v>
      </c>
      <c r="C23" s="105" t="s">
        <v>99</v>
      </c>
      <c r="D23" s="106">
        <v>44</v>
      </c>
      <c r="E23" s="107">
        <v>24.48</v>
      </c>
      <c r="F23" s="108">
        <f t="shared" si="0"/>
        <v>10.7712</v>
      </c>
      <c r="G23" s="109">
        <f t="shared" si="1"/>
        <v>0.85583524027459956</v>
      </c>
      <c r="H23" s="110" t="s">
        <v>169</v>
      </c>
      <c r="I23" s="110" t="s">
        <v>169</v>
      </c>
      <c r="J23" s="111" t="s">
        <v>169</v>
      </c>
      <c r="K23" s="112" t="s">
        <v>169</v>
      </c>
      <c r="L23" s="108" t="s">
        <v>169</v>
      </c>
      <c r="M23" s="111" t="s">
        <v>169</v>
      </c>
      <c r="N23" s="113" t="s">
        <v>169</v>
      </c>
      <c r="O23" s="113" t="s">
        <v>169</v>
      </c>
      <c r="P23" s="114" t="s">
        <v>169</v>
      </c>
      <c r="Q23" s="114" t="s">
        <v>169</v>
      </c>
      <c r="R23" s="116">
        <f>$E23/100</f>
        <v>0.24480000000000002</v>
      </c>
      <c r="S23" s="115" t="s">
        <v>169</v>
      </c>
      <c r="U23" t="e">
        <f t="shared" si="2"/>
        <v>#VALUE!</v>
      </c>
    </row>
    <row r="24" spans="1:21">
      <c r="B24" s="104" t="s">
        <v>171</v>
      </c>
      <c r="C24" s="105" t="s">
        <v>172</v>
      </c>
      <c r="D24" s="106">
        <v>34</v>
      </c>
      <c r="E24" s="117">
        <v>0</v>
      </c>
      <c r="F24" s="108">
        <f t="shared" si="0"/>
        <v>0</v>
      </c>
      <c r="G24" s="118">
        <f t="shared" si="1"/>
        <v>0</v>
      </c>
      <c r="H24" s="110">
        <v>35.06</v>
      </c>
      <c r="I24" s="110">
        <v>31.56</v>
      </c>
      <c r="J24" s="106">
        <f t="shared" ref="J24:J41" si="3">H24*G24</f>
        <v>0</v>
      </c>
      <c r="K24" s="112">
        <f t="shared" ref="K24:K41" si="4">I24*G24</f>
        <v>0</v>
      </c>
      <c r="L24" s="119">
        <v>1</v>
      </c>
      <c r="M24" s="106">
        <v>2</v>
      </c>
      <c r="N24" s="113">
        <f t="shared" ref="N24:N41" si="5">L24*E24/100</f>
        <v>0</v>
      </c>
      <c r="O24" s="113">
        <f t="shared" ref="O24:O41" si="6">M24*E24/100</f>
        <v>0</v>
      </c>
      <c r="P24" s="114">
        <f>N24+O24/4</f>
        <v>0</v>
      </c>
      <c r="Q24" s="114">
        <f>P24/0.21</f>
        <v>0</v>
      </c>
      <c r="R24" s="116">
        <f>N24</f>
        <v>0</v>
      </c>
      <c r="S24" s="115">
        <f>O24/2</f>
        <v>0</v>
      </c>
      <c r="U24" s="120">
        <f t="shared" si="2"/>
        <v>1073040</v>
      </c>
    </row>
    <row r="25" spans="1:21">
      <c r="B25" s="104" t="s">
        <v>173</v>
      </c>
      <c r="C25" s="105" t="s">
        <v>174</v>
      </c>
      <c r="D25" s="106">
        <v>16</v>
      </c>
      <c r="E25" s="107">
        <v>0.5</v>
      </c>
      <c r="F25" s="108">
        <f>(E25/100*D25)</f>
        <v>0.08</v>
      </c>
      <c r="G25" s="109">
        <f t="shared" si="1"/>
        <v>6.3564708873633359E-3</v>
      </c>
      <c r="H25" s="110">
        <f>37.71/0.6785</f>
        <v>55.578481945467949</v>
      </c>
      <c r="I25" s="110">
        <f>33.95/0.6785</f>
        <v>50.036845983787771</v>
      </c>
      <c r="J25" s="111">
        <f t="shared" si="3"/>
        <v>0.35328300245021582</v>
      </c>
      <c r="K25" s="112">
        <f>I25*G25</f>
        <v>0.31805775479143</v>
      </c>
      <c r="L25" s="119">
        <v>1</v>
      </c>
      <c r="M25" s="106">
        <v>4</v>
      </c>
      <c r="N25" s="113">
        <f t="shared" si="5"/>
        <v>5.0000000000000001E-3</v>
      </c>
      <c r="O25" s="113">
        <f>M25*E25/100</f>
        <v>0.02</v>
      </c>
      <c r="P25" s="114">
        <f t="shared" ref="P25:P41" si="7">N25+O25/4</f>
        <v>0.01</v>
      </c>
      <c r="Q25" s="114">
        <f t="shared" ref="Q25:Q41" si="8">P25/0.21</f>
        <v>4.7619047619047623E-2</v>
      </c>
      <c r="R25" s="116">
        <f t="shared" ref="R25:R42" si="9">N25</f>
        <v>5.0000000000000001E-3</v>
      </c>
      <c r="S25" s="115">
        <f>O25/2</f>
        <v>0.01</v>
      </c>
      <c r="U25" s="120">
        <f t="shared" si="2"/>
        <v>800589.53574060439</v>
      </c>
    </row>
    <row r="26" spans="1:21">
      <c r="B26" s="104" t="s">
        <v>175</v>
      </c>
      <c r="C26" s="105" t="s">
        <v>176</v>
      </c>
      <c r="D26" s="106">
        <v>30</v>
      </c>
      <c r="E26" s="107">
        <v>0</v>
      </c>
      <c r="F26" s="108">
        <f t="shared" si="0"/>
        <v>0</v>
      </c>
      <c r="G26" s="109">
        <f t="shared" si="1"/>
        <v>0</v>
      </c>
      <c r="H26" s="110">
        <f>66.07/1.272</f>
        <v>51.941823899371066</v>
      </c>
      <c r="I26" s="110">
        <f>60.43/1.272</f>
        <v>47.507861635220124</v>
      </c>
      <c r="J26" s="111">
        <f t="shared" si="3"/>
        <v>0</v>
      </c>
      <c r="K26" s="112">
        <f t="shared" si="4"/>
        <v>0</v>
      </c>
      <c r="L26" s="119">
        <v>2</v>
      </c>
      <c r="M26" s="106">
        <v>6</v>
      </c>
      <c r="N26" s="113">
        <f t="shared" si="5"/>
        <v>0</v>
      </c>
      <c r="O26" s="113">
        <f t="shared" si="6"/>
        <v>0</v>
      </c>
      <c r="P26" s="114">
        <f t="shared" si="7"/>
        <v>0</v>
      </c>
      <c r="Q26" s="114">
        <f t="shared" si="8"/>
        <v>0</v>
      </c>
      <c r="R26" s="116">
        <f t="shared" si="9"/>
        <v>0</v>
      </c>
      <c r="S26" s="115">
        <f t="shared" ref="S26:S42" si="10">O26/2</f>
        <v>0</v>
      </c>
      <c r="U26" s="120">
        <f t="shared" si="2"/>
        <v>1425235.8490566036</v>
      </c>
    </row>
    <row r="27" spans="1:21">
      <c r="B27" s="104" t="s">
        <v>177</v>
      </c>
      <c r="C27" s="105" t="s">
        <v>178</v>
      </c>
      <c r="D27" s="106">
        <v>44</v>
      </c>
      <c r="E27" s="107">
        <v>0</v>
      </c>
      <c r="F27" s="108">
        <f t="shared" si="0"/>
        <v>0</v>
      </c>
      <c r="G27" s="109">
        <f t="shared" si="1"/>
        <v>0</v>
      </c>
      <c r="H27" s="110">
        <f>93.94/1.865</f>
        <v>50.369973190348524</v>
      </c>
      <c r="I27" s="110">
        <f>86.42/1.865</f>
        <v>46.337801608579092</v>
      </c>
      <c r="J27" s="111">
        <f t="shared" si="3"/>
        <v>0</v>
      </c>
      <c r="K27" s="112">
        <f t="shared" si="4"/>
        <v>0</v>
      </c>
      <c r="L27" s="119">
        <v>3</v>
      </c>
      <c r="M27" s="106">
        <v>8</v>
      </c>
      <c r="N27" s="113">
        <f t="shared" si="5"/>
        <v>0</v>
      </c>
      <c r="O27" s="113">
        <f t="shared" si="6"/>
        <v>0</v>
      </c>
      <c r="P27" s="114">
        <f t="shared" si="7"/>
        <v>0</v>
      </c>
      <c r="Q27" s="114">
        <f t="shared" si="8"/>
        <v>0</v>
      </c>
      <c r="R27" s="116">
        <f t="shared" si="9"/>
        <v>0</v>
      </c>
      <c r="S27" s="115">
        <f t="shared" si="10"/>
        <v>0</v>
      </c>
      <c r="U27" s="120">
        <f t="shared" si="2"/>
        <v>2038863.2707774802</v>
      </c>
    </row>
    <row r="28" spans="1:21">
      <c r="B28" s="104" t="s">
        <v>179</v>
      </c>
      <c r="C28" s="105" t="s">
        <v>180</v>
      </c>
      <c r="D28" s="106">
        <v>58</v>
      </c>
      <c r="E28" s="107">
        <v>0</v>
      </c>
      <c r="F28" s="108">
        <f t="shared" si="0"/>
        <v>0</v>
      </c>
      <c r="G28" s="109">
        <f t="shared" si="1"/>
        <v>0</v>
      </c>
      <c r="H28" s="110">
        <f>121.6/2.458</f>
        <v>49.471114727420662</v>
      </c>
      <c r="I28" s="110">
        <f>112.2/2.458</f>
        <v>45.64686737184703</v>
      </c>
      <c r="J28" s="111">
        <f t="shared" si="3"/>
        <v>0</v>
      </c>
      <c r="K28" s="112">
        <f t="shared" si="4"/>
        <v>0</v>
      </c>
      <c r="L28" s="119">
        <v>4</v>
      </c>
      <c r="M28" s="106">
        <v>10</v>
      </c>
      <c r="N28" s="113">
        <f t="shared" si="5"/>
        <v>0</v>
      </c>
      <c r="O28" s="113">
        <f t="shared" si="6"/>
        <v>0</v>
      </c>
      <c r="P28" s="114">
        <f t="shared" si="7"/>
        <v>0</v>
      </c>
      <c r="Q28" s="114">
        <f t="shared" si="8"/>
        <v>0</v>
      </c>
      <c r="R28" s="116">
        <f t="shared" si="9"/>
        <v>0</v>
      </c>
      <c r="S28" s="115">
        <f t="shared" si="10"/>
        <v>0</v>
      </c>
      <c r="U28" s="120">
        <f t="shared" si="2"/>
        <v>2647518.307567128</v>
      </c>
    </row>
    <row r="29" spans="1:21">
      <c r="B29" s="104"/>
      <c r="C29" s="105" t="s">
        <v>181</v>
      </c>
      <c r="D29" s="106">
        <v>58</v>
      </c>
      <c r="E29" s="107">
        <v>0</v>
      </c>
      <c r="F29" s="108">
        <f t="shared" si="0"/>
        <v>0</v>
      </c>
      <c r="G29" s="109">
        <f t="shared" si="1"/>
        <v>0</v>
      </c>
      <c r="H29" s="121">
        <v>49.471114727420662</v>
      </c>
      <c r="I29" s="121">
        <v>45.64686737184703</v>
      </c>
      <c r="J29" s="111">
        <f t="shared" si="3"/>
        <v>0</v>
      </c>
      <c r="K29" s="112">
        <f t="shared" si="4"/>
        <v>0</v>
      </c>
      <c r="L29" s="119">
        <v>4</v>
      </c>
      <c r="M29" s="106">
        <v>10</v>
      </c>
      <c r="N29" s="113">
        <f t="shared" si="5"/>
        <v>0</v>
      </c>
      <c r="O29" s="113">
        <f t="shared" si="6"/>
        <v>0</v>
      </c>
      <c r="P29" s="114">
        <f t="shared" si="7"/>
        <v>0</v>
      </c>
      <c r="Q29" s="114">
        <f t="shared" si="8"/>
        <v>0</v>
      </c>
      <c r="R29" s="116">
        <f t="shared" si="9"/>
        <v>0</v>
      </c>
      <c r="S29" s="115">
        <f t="shared" si="10"/>
        <v>0</v>
      </c>
      <c r="U29" s="120">
        <f t="shared" si="2"/>
        <v>2647518.307567128</v>
      </c>
    </row>
    <row r="30" spans="1:21">
      <c r="B30" s="104" t="s">
        <v>182</v>
      </c>
      <c r="C30" s="105" t="s">
        <v>183</v>
      </c>
      <c r="D30" s="106">
        <v>72</v>
      </c>
      <c r="E30" s="107">
        <v>0</v>
      </c>
      <c r="F30" s="108">
        <f t="shared" si="0"/>
        <v>0</v>
      </c>
      <c r="G30" s="109">
        <f t="shared" si="1"/>
        <v>0</v>
      </c>
      <c r="H30" s="122">
        <f>149.3/3.051</f>
        <v>48.93477548344805</v>
      </c>
      <c r="I30" s="122">
        <f>138.1/3.051</f>
        <v>45.263847918715172</v>
      </c>
      <c r="J30" s="111">
        <f t="shared" si="3"/>
        <v>0</v>
      </c>
      <c r="K30" s="112">
        <f t="shared" si="4"/>
        <v>0</v>
      </c>
      <c r="L30" s="119">
        <v>5</v>
      </c>
      <c r="M30" s="106">
        <v>12</v>
      </c>
      <c r="N30" s="113">
        <f t="shared" si="5"/>
        <v>0</v>
      </c>
      <c r="O30" s="113">
        <f t="shared" si="6"/>
        <v>0</v>
      </c>
      <c r="P30" s="114">
        <f t="shared" si="7"/>
        <v>0</v>
      </c>
      <c r="Q30" s="114">
        <f t="shared" si="8"/>
        <v>0</v>
      </c>
      <c r="R30" s="116">
        <f t="shared" si="9"/>
        <v>0</v>
      </c>
      <c r="S30" s="115">
        <f t="shared" si="10"/>
        <v>0</v>
      </c>
      <c r="U30" s="120">
        <f t="shared" si="2"/>
        <v>3258997.0501474924</v>
      </c>
    </row>
    <row r="31" spans="1:21">
      <c r="B31" s="104"/>
      <c r="C31" s="105"/>
      <c r="D31" s="106">
        <v>72</v>
      </c>
      <c r="E31" s="107">
        <v>0</v>
      </c>
      <c r="F31" s="108">
        <f t="shared" si="0"/>
        <v>0</v>
      </c>
      <c r="G31" s="109">
        <f t="shared" si="1"/>
        <v>0</v>
      </c>
      <c r="H31" s="121">
        <v>48.93477548344805</v>
      </c>
      <c r="I31" s="121">
        <v>45.263847918715172</v>
      </c>
      <c r="J31" s="111">
        <f t="shared" si="3"/>
        <v>0</v>
      </c>
      <c r="K31" s="112">
        <f t="shared" si="4"/>
        <v>0</v>
      </c>
      <c r="L31" s="119">
        <v>5</v>
      </c>
      <c r="M31" s="106">
        <v>12</v>
      </c>
      <c r="N31" s="113">
        <f t="shared" si="5"/>
        <v>0</v>
      </c>
      <c r="O31" s="113">
        <f t="shared" si="6"/>
        <v>0</v>
      </c>
      <c r="P31" s="114">
        <f t="shared" si="7"/>
        <v>0</v>
      </c>
      <c r="Q31" s="114">
        <f t="shared" si="8"/>
        <v>0</v>
      </c>
      <c r="R31" s="116">
        <f t="shared" si="9"/>
        <v>0</v>
      </c>
      <c r="S31" s="115">
        <f t="shared" si="10"/>
        <v>0</v>
      </c>
      <c r="U31" s="120">
        <f t="shared" si="2"/>
        <v>3258997.0501474924</v>
      </c>
    </row>
    <row r="32" spans="1:21">
      <c r="B32" s="104" t="s">
        <v>184</v>
      </c>
      <c r="C32" s="105" t="s">
        <v>185</v>
      </c>
      <c r="D32" s="106">
        <v>86</v>
      </c>
      <c r="E32" s="107">
        <v>0</v>
      </c>
      <c r="F32" s="108">
        <f>(E32/100*D32)</f>
        <v>0</v>
      </c>
      <c r="G32" s="109">
        <f>F32/F$42</f>
        <v>0</v>
      </c>
      <c r="H32" s="122">
        <f>177.55/3.645</f>
        <v>48.710562414266121</v>
      </c>
      <c r="I32" s="122">
        <f>164.4/3.645</f>
        <v>45.102880658436213</v>
      </c>
      <c r="J32" s="111">
        <f>H32*G32</f>
        <v>0</v>
      </c>
      <c r="K32" s="112">
        <f>I32*G32</f>
        <v>0</v>
      </c>
      <c r="L32" s="119">
        <v>6</v>
      </c>
      <c r="M32" s="106">
        <v>14</v>
      </c>
      <c r="N32" s="113">
        <f>L32*E32/100</f>
        <v>0</v>
      </c>
      <c r="O32" s="113">
        <f>M32*E32/100</f>
        <v>0</v>
      </c>
      <c r="P32" s="114">
        <f>N32+O32/4</f>
        <v>0</v>
      </c>
      <c r="Q32" s="114">
        <f>P32/0.21</f>
        <v>0</v>
      </c>
      <c r="R32" s="116">
        <f>N32</f>
        <v>0</v>
      </c>
      <c r="S32" s="115">
        <f>O32/2</f>
        <v>0</v>
      </c>
      <c r="U32" s="120">
        <f>I32*1000*D32</f>
        <v>3878847.736625514</v>
      </c>
    </row>
    <row r="33" spans="2:21">
      <c r="B33" s="104" t="s">
        <v>186</v>
      </c>
      <c r="C33" s="105" t="s">
        <v>187</v>
      </c>
      <c r="D33" s="106">
        <v>78</v>
      </c>
      <c r="E33" s="107">
        <v>0</v>
      </c>
      <c r="F33" s="108">
        <f>(E33/100*D33)</f>
        <v>0</v>
      </c>
      <c r="G33" s="109">
        <f>F33/F$42</f>
        <v>0</v>
      </c>
      <c r="H33" s="122">
        <f>139.69/3.304</f>
        <v>42.279055690072639</v>
      </c>
      <c r="I33" s="122">
        <f>134.05/3.304</f>
        <v>40.572033898305094</v>
      </c>
      <c r="J33" s="111">
        <f>H33*G33</f>
        <v>0</v>
      </c>
      <c r="K33" s="112">
        <f>I33*G33</f>
        <v>0</v>
      </c>
      <c r="L33" s="119">
        <v>6</v>
      </c>
      <c r="M33" s="106">
        <v>6</v>
      </c>
      <c r="N33" s="113">
        <f>L33*E33/100</f>
        <v>0</v>
      </c>
      <c r="O33" s="113">
        <f>M33*E33/100</f>
        <v>0</v>
      </c>
      <c r="P33" s="114">
        <f>N33+O33/4</f>
        <v>0</v>
      </c>
      <c r="Q33" s="114">
        <f>P33/0.21</f>
        <v>0</v>
      </c>
      <c r="R33" s="116">
        <f>N33</f>
        <v>0</v>
      </c>
      <c r="S33" s="115">
        <f>O33/2</f>
        <v>0</v>
      </c>
      <c r="U33" s="120">
        <f t="shared" ref="U33:U40" si="11">I33*1000*D33</f>
        <v>3164618.6440677973</v>
      </c>
    </row>
    <row r="34" spans="2:21">
      <c r="B34" s="104" t="s">
        <v>188</v>
      </c>
      <c r="C34" s="105" t="s">
        <v>189</v>
      </c>
      <c r="D34" s="106">
        <v>100</v>
      </c>
      <c r="E34" s="107">
        <v>0</v>
      </c>
      <c r="F34" s="108">
        <f>(E34/100*D34)</f>
        <v>0</v>
      </c>
      <c r="G34" s="109">
        <f>F34/F$42</f>
        <v>0</v>
      </c>
      <c r="H34" s="122">
        <f>205.43/4.238</f>
        <v>48.473336479471449</v>
      </c>
      <c r="I34" s="122">
        <f>190.4/4.238</f>
        <v>44.926852288815475</v>
      </c>
      <c r="J34" s="111">
        <f>H34*G34</f>
        <v>0</v>
      </c>
      <c r="K34" s="112">
        <f>I34*G34</f>
        <v>0</v>
      </c>
      <c r="L34" s="119">
        <v>7</v>
      </c>
      <c r="M34" s="106">
        <v>16</v>
      </c>
      <c r="N34" s="113">
        <f>L34*E34/100</f>
        <v>0</v>
      </c>
      <c r="O34" s="113">
        <f>M34*E34/100</f>
        <v>0</v>
      </c>
      <c r="P34" s="114">
        <f>N34+O34/4</f>
        <v>0</v>
      </c>
      <c r="Q34" s="114">
        <f>P34/0.21</f>
        <v>0</v>
      </c>
      <c r="R34" s="116">
        <f>N34</f>
        <v>0</v>
      </c>
      <c r="S34" s="115">
        <f>O34/2</f>
        <v>0</v>
      </c>
      <c r="U34" s="120">
        <f t="shared" si="11"/>
        <v>4492685.2288815472</v>
      </c>
    </row>
    <row r="35" spans="2:21">
      <c r="B35" s="104" t="s">
        <v>190</v>
      </c>
      <c r="C35" s="105" t="s">
        <v>191</v>
      </c>
      <c r="D35" s="106">
        <v>92</v>
      </c>
      <c r="E35" s="107">
        <v>0</v>
      </c>
      <c r="F35" s="108">
        <f>(E35/100*D35)</f>
        <v>0</v>
      </c>
      <c r="G35" s="109">
        <f>F35/F$42</f>
        <v>0</v>
      </c>
      <c r="H35" s="122">
        <f>167.06/3.897</f>
        <v>42.868873492430076</v>
      </c>
      <c r="I35" s="122">
        <f>159.54/3.897</f>
        <v>40.939183987682831</v>
      </c>
      <c r="J35" s="111">
        <f>H35*G35</f>
        <v>0</v>
      </c>
      <c r="K35" s="112">
        <f>I35*G35</f>
        <v>0</v>
      </c>
      <c r="L35" s="119">
        <v>7</v>
      </c>
      <c r="M35" s="106">
        <v>8</v>
      </c>
      <c r="N35" s="113">
        <f>L35*E35/100</f>
        <v>0</v>
      </c>
      <c r="O35" s="113">
        <f>M35*E35/100</f>
        <v>0</v>
      </c>
      <c r="P35" s="114">
        <f>N35+O35/4</f>
        <v>0</v>
      </c>
      <c r="Q35" s="114">
        <f>P35/0.21</f>
        <v>0</v>
      </c>
      <c r="R35" s="116">
        <f>N35</f>
        <v>0</v>
      </c>
      <c r="S35" s="115">
        <f>O35/2</f>
        <v>0</v>
      </c>
      <c r="U35" s="120">
        <f t="shared" si="11"/>
        <v>3766404.9268668205</v>
      </c>
    </row>
    <row r="36" spans="2:21">
      <c r="B36" s="104" t="s">
        <v>192</v>
      </c>
      <c r="C36" s="105" t="s">
        <v>193</v>
      </c>
      <c r="D36" s="106">
        <v>114</v>
      </c>
      <c r="E36" s="107">
        <v>0</v>
      </c>
      <c r="F36" s="108">
        <f>(E36/100*D36)</f>
        <v>0</v>
      </c>
      <c r="G36" s="109">
        <f>F36/F$42</f>
        <v>0</v>
      </c>
      <c r="H36" s="122">
        <f>233.29/4.831</f>
        <v>48.290209066445861</v>
      </c>
      <c r="I36" s="122">
        <f>216.38/4.831</f>
        <v>44.789898571724279</v>
      </c>
      <c r="J36" s="111">
        <f>H36*G36</f>
        <v>0</v>
      </c>
      <c r="K36" s="112">
        <f>I36*G36</f>
        <v>0</v>
      </c>
      <c r="L36" s="119">
        <v>8</v>
      </c>
      <c r="M36" s="106">
        <v>18</v>
      </c>
      <c r="N36" s="113">
        <f>L36*E36/100</f>
        <v>0</v>
      </c>
      <c r="O36" s="113">
        <f>M36*E36/100</f>
        <v>0</v>
      </c>
      <c r="P36" s="114">
        <f>N36+O36/4</f>
        <v>0</v>
      </c>
      <c r="Q36" s="114">
        <f>P36/0.21</f>
        <v>0</v>
      </c>
      <c r="R36" s="116">
        <f>N36</f>
        <v>0</v>
      </c>
      <c r="S36" s="115">
        <f>O36/2</f>
        <v>0</v>
      </c>
      <c r="U36" s="120">
        <f t="shared" si="11"/>
        <v>5106048.4371765675</v>
      </c>
    </row>
    <row r="37" spans="2:21">
      <c r="B37" s="104" t="s">
        <v>285</v>
      </c>
      <c r="C37" s="105" t="s">
        <v>286</v>
      </c>
      <c r="D37" s="106">
        <v>2</v>
      </c>
      <c r="E37" s="107">
        <v>73.97</v>
      </c>
      <c r="F37" s="108">
        <f t="shared" ref="F37:F40" si="12">(E37/100*D37)</f>
        <v>1.4794</v>
      </c>
      <c r="G37" s="109">
        <f t="shared" ref="G37:G40" si="13">F37/F$42</f>
        <v>0.1175470378845665</v>
      </c>
      <c r="H37" s="122">
        <v>141.69999999999999</v>
      </c>
      <c r="I37" s="122">
        <v>120</v>
      </c>
      <c r="J37" s="111">
        <f t="shared" ref="J37:J40" si="14">H37*G37</f>
        <v>16.65641526824307</v>
      </c>
      <c r="K37" s="112">
        <f t="shared" ref="K37:K40" si="15">I37*G37</f>
        <v>14.10564454614798</v>
      </c>
      <c r="L37" s="119">
        <v>0</v>
      </c>
      <c r="M37" s="106">
        <v>2</v>
      </c>
      <c r="N37" s="113">
        <f t="shared" ref="N37:N40" si="16">L37*E37/100</f>
        <v>0</v>
      </c>
      <c r="O37" s="113">
        <f t="shared" ref="O37:O40" si="17">M37*E37/100</f>
        <v>1.4794</v>
      </c>
      <c r="P37" s="114">
        <f t="shared" ref="P37:P40" si="18">N37+O37/4</f>
        <v>0.36985000000000001</v>
      </c>
      <c r="Q37" s="114">
        <f t="shared" ref="Q37:Q40" si="19">P37/0.21</f>
        <v>1.7611904761904764</v>
      </c>
      <c r="R37" s="116">
        <f t="shared" ref="R37:R40" si="20">N37</f>
        <v>0</v>
      </c>
      <c r="S37" s="115">
        <f t="shared" ref="S37:S40" si="21">O37/2</f>
        <v>0.73970000000000002</v>
      </c>
      <c r="U37" s="120">
        <f t="shared" si="11"/>
        <v>240000</v>
      </c>
    </row>
    <row r="38" spans="2:21">
      <c r="B38" s="104" t="s">
        <v>287</v>
      </c>
      <c r="C38" s="105" t="s">
        <v>66</v>
      </c>
      <c r="D38" s="106">
        <v>28</v>
      </c>
      <c r="E38" s="107">
        <v>0.3</v>
      </c>
      <c r="F38" s="108">
        <f t="shared" si="12"/>
        <v>8.4000000000000005E-2</v>
      </c>
      <c r="G38" s="109">
        <f t="shared" si="13"/>
        <v>6.6742944317315037E-3</v>
      </c>
      <c r="H38" s="122">
        <v>10.16</v>
      </c>
      <c r="I38" s="122">
        <v>10.16</v>
      </c>
      <c r="J38" s="111">
        <f t="shared" si="14"/>
        <v>6.7810831426392076E-2</v>
      </c>
      <c r="K38" s="112">
        <f t="shared" si="15"/>
        <v>6.7810831426392076E-2</v>
      </c>
      <c r="L38" s="119">
        <v>1</v>
      </c>
      <c r="M38" s="106">
        <v>0</v>
      </c>
      <c r="N38" s="113">
        <f t="shared" si="16"/>
        <v>3.0000000000000001E-3</v>
      </c>
      <c r="O38" s="113">
        <f t="shared" si="17"/>
        <v>0</v>
      </c>
      <c r="P38" s="114">
        <f t="shared" si="18"/>
        <v>3.0000000000000001E-3</v>
      </c>
      <c r="Q38" s="114">
        <f t="shared" si="19"/>
        <v>1.4285714285714287E-2</v>
      </c>
      <c r="R38" s="116">
        <f t="shared" si="20"/>
        <v>3.0000000000000001E-3</v>
      </c>
      <c r="S38" s="115">
        <f t="shared" si="21"/>
        <v>0</v>
      </c>
      <c r="U38" s="120">
        <f t="shared" si="11"/>
        <v>284480</v>
      </c>
    </row>
    <row r="39" spans="2:21">
      <c r="B39" s="104" t="s">
        <v>35</v>
      </c>
      <c r="C39" s="105" t="s">
        <v>100</v>
      </c>
      <c r="D39" s="106">
        <v>40</v>
      </c>
      <c r="E39" s="107">
        <v>0.06</v>
      </c>
      <c r="F39" s="108">
        <f t="shared" si="12"/>
        <v>2.3999999999999997E-2</v>
      </c>
      <c r="G39" s="109">
        <f t="shared" si="13"/>
        <v>1.9069412662090007E-3</v>
      </c>
      <c r="H39" s="122"/>
      <c r="I39" s="122"/>
      <c r="J39" s="111">
        <f t="shared" si="14"/>
        <v>0</v>
      </c>
      <c r="K39" s="112">
        <f t="shared" si="15"/>
        <v>0</v>
      </c>
      <c r="L39" s="119">
        <v>0</v>
      </c>
      <c r="M39" s="106">
        <v>0</v>
      </c>
      <c r="N39" s="113">
        <f t="shared" si="16"/>
        <v>0</v>
      </c>
      <c r="O39" s="113">
        <f t="shared" si="17"/>
        <v>0</v>
      </c>
      <c r="P39" s="114">
        <f t="shared" si="18"/>
        <v>0</v>
      </c>
      <c r="Q39" s="114">
        <f t="shared" si="19"/>
        <v>0</v>
      </c>
      <c r="R39" s="116">
        <f t="shared" si="20"/>
        <v>0</v>
      </c>
      <c r="S39" s="115">
        <f t="shared" si="21"/>
        <v>0</v>
      </c>
      <c r="U39" s="120">
        <f t="shared" si="11"/>
        <v>0</v>
      </c>
    </row>
    <row r="40" spans="2:21">
      <c r="B40" s="104" t="s">
        <v>288</v>
      </c>
      <c r="C40" s="105" t="s">
        <v>289</v>
      </c>
      <c r="D40" s="106">
        <v>32</v>
      </c>
      <c r="E40" s="107">
        <v>0.04</v>
      </c>
      <c r="F40" s="108">
        <f t="shared" si="12"/>
        <v>1.2800000000000001E-2</v>
      </c>
      <c r="G40" s="109">
        <f t="shared" si="13"/>
        <v>1.0170353419781339E-3</v>
      </c>
      <c r="H40" s="122">
        <v>23</v>
      </c>
      <c r="I40" s="122">
        <v>19.899999999999999</v>
      </c>
      <c r="J40" s="111">
        <f t="shared" si="14"/>
        <v>2.3391812865497078E-2</v>
      </c>
      <c r="K40" s="112">
        <f t="shared" si="15"/>
        <v>2.0239003305364864E-2</v>
      </c>
      <c r="L40" s="119">
        <v>1</v>
      </c>
      <c r="M40" s="106">
        <v>4</v>
      </c>
      <c r="N40" s="113">
        <f t="shared" si="16"/>
        <v>4.0000000000000002E-4</v>
      </c>
      <c r="O40" s="113">
        <f t="shared" si="17"/>
        <v>1.6000000000000001E-3</v>
      </c>
      <c r="P40" s="114">
        <f t="shared" si="18"/>
        <v>8.0000000000000004E-4</v>
      </c>
      <c r="Q40" s="114">
        <f t="shared" si="19"/>
        <v>3.80952380952381E-3</v>
      </c>
      <c r="R40" s="116">
        <f t="shared" si="20"/>
        <v>4.0000000000000002E-4</v>
      </c>
      <c r="S40" s="115">
        <f t="shared" si="21"/>
        <v>8.0000000000000004E-4</v>
      </c>
      <c r="U40" s="120">
        <f t="shared" si="11"/>
        <v>636800</v>
      </c>
    </row>
    <row r="41" spans="2:21">
      <c r="B41" s="104" t="s">
        <v>194</v>
      </c>
      <c r="C41" s="105" t="s">
        <v>185</v>
      </c>
      <c r="D41" s="106">
        <v>86</v>
      </c>
      <c r="E41" s="107"/>
      <c r="F41" s="108">
        <f t="shared" si="0"/>
        <v>0</v>
      </c>
      <c r="G41" s="109">
        <f t="shared" si="1"/>
        <v>0</v>
      </c>
      <c r="H41" s="122"/>
      <c r="I41" s="122"/>
      <c r="J41" s="111">
        <f t="shared" si="3"/>
        <v>0</v>
      </c>
      <c r="K41" s="112">
        <f t="shared" si="4"/>
        <v>0</v>
      </c>
      <c r="L41" s="119">
        <v>6</v>
      </c>
      <c r="M41" s="106">
        <v>14</v>
      </c>
      <c r="N41" s="113">
        <f t="shared" si="5"/>
        <v>0</v>
      </c>
      <c r="O41" s="113">
        <f t="shared" si="6"/>
        <v>0</v>
      </c>
      <c r="P41" s="114">
        <f t="shared" si="7"/>
        <v>0</v>
      </c>
      <c r="Q41" s="114">
        <f t="shared" si="8"/>
        <v>0</v>
      </c>
      <c r="R41" s="116">
        <f t="shared" si="9"/>
        <v>0</v>
      </c>
      <c r="S41" s="115">
        <f t="shared" si="10"/>
        <v>0</v>
      </c>
      <c r="U41" s="120">
        <f>I41*1000*D41</f>
        <v>0</v>
      </c>
    </row>
    <row r="42" spans="2:21">
      <c r="B42" s="104" t="s">
        <v>195</v>
      </c>
      <c r="C42" s="106" t="s">
        <v>169</v>
      </c>
      <c r="D42" s="106" t="s">
        <v>169</v>
      </c>
      <c r="E42" s="112">
        <f>SUM(E21:E41)</f>
        <v>99.990000000000009</v>
      </c>
      <c r="F42" s="123">
        <f>SUM(F21:F41)</f>
        <v>12.585599999999999</v>
      </c>
      <c r="G42" s="124">
        <f>SUM(G21:G41)</f>
        <v>1.0000000000000002</v>
      </c>
      <c r="H42" s="111" t="s">
        <v>169</v>
      </c>
      <c r="I42" s="111" t="s">
        <v>169</v>
      </c>
      <c r="J42" s="125">
        <f>SUM(J24:J41)</f>
        <v>17.100900914985175</v>
      </c>
      <c r="K42" s="126">
        <f>SUM(K24:K41)</f>
        <v>14.511752135671168</v>
      </c>
      <c r="L42" s="119" t="s">
        <v>169</v>
      </c>
      <c r="M42" s="106" t="s">
        <v>169</v>
      </c>
      <c r="N42" s="127">
        <f>SUM(N24:N41)</f>
        <v>8.3999999999999995E-3</v>
      </c>
      <c r="O42" s="127">
        <f>SUM(O24:O41)</f>
        <v>1.5010000000000001</v>
      </c>
      <c r="P42" s="114">
        <f>N42+O42/4</f>
        <v>0.38365000000000005</v>
      </c>
      <c r="Q42" s="114">
        <f>P42/0.21</f>
        <v>1.8269047619047623</v>
      </c>
      <c r="R42" s="116">
        <f t="shared" si="9"/>
        <v>8.3999999999999995E-3</v>
      </c>
      <c r="S42" s="115">
        <f t="shared" si="10"/>
        <v>0.75050000000000006</v>
      </c>
    </row>
    <row r="43" spans="2:21">
      <c r="B43" s="104" t="s">
        <v>196</v>
      </c>
      <c r="C43" s="106" t="s">
        <v>169</v>
      </c>
      <c r="D43" s="106" t="s">
        <v>169</v>
      </c>
      <c r="E43" s="112">
        <f>SUM(E26:E41)</f>
        <v>74.37</v>
      </c>
      <c r="F43" s="108" t="s">
        <v>169</v>
      </c>
      <c r="G43" s="124">
        <f>SUM(G26:G41)</f>
        <v>0.12714530892448514</v>
      </c>
      <c r="H43" s="111" t="s">
        <v>169</v>
      </c>
      <c r="I43" s="111" t="s">
        <v>169</v>
      </c>
      <c r="J43" s="111" t="s">
        <v>169</v>
      </c>
      <c r="K43" s="112" t="s">
        <v>169</v>
      </c>
      <c r="L43" s="119" t="s">
        <v>169</v>
      </c>
      <c r="M43" s="106" t="s">
        <v>169</v>
      </c>
      <c r="N43" s="128" t="s">
        <v>169</v>
      </c>
      <c r="O43" s="113" t="s">
        <v>169</v>
      </c>
      <c r="P43" s="113" t="s">
        <v>169</v>
      </c>
      <c r="Q43" s="113"/>
      <c r="R43" s="113"/>
      <c r="S43" s="129"/>
    </row>
    <row r="44" spans="2:21" ht="15" customHeight="1" thickBot="1">
      <c r="B44" s="130" t="s">
        <v>197</v>
      </c>
      <c r="C44" s="131"/>
      <c r="D44" s="131"/>
      <c r="E44" s="132"/>
      <c r="F44" s="133"/>
      <c r="G44" s="131"/>
      <c r="H44" s="131"/>
      <c r="I44" s="131"/>
      <c r="J44" s="131"/>
      <c r="K44" s="132"/>
      <c r="L44" s="133"/>
      <c r="M44" s="131"/>
      <c r="N44" s="134"/>
      <c r="O44" s="134"/>
      <c r="P44" s="134"/>
      <c r="Q44" s="134"/>
      <c r="R44" s="134"/>
      <c r="S44" s="135"/>
    </row>
    <row r="45" spans="2:21" ht="15" thickBot="1">
      <c r="B45" s="136"/>
      <c r="C45" s="136"/>
      <c r="D45" s="136"/>
      <c r="E45" s="136"/>
      <c r="F45" s="136"/>
      <c r="G45" s="136"/>
      <c r="H45" s="136"/>
      <c r="I45" s="136"/>
      <c r="J45" s="136"/>
      <c r="K45" s="136"/>
      <c r="L45" s="136"/>
      <c r="M45" s="136"/>
      <c r="N45" s="136"/>
      <c r="O45" s="136"/>
      <c r="P45" s="136"/>
      <c r="Q45" s="136"/>
      <c r="R45" s="136"/>
      <c r="S45" s="136"/>
    </row>
    <row r="46" spans="2:21" ht="15" customHeight="1">
      <c r="B46" s="386" t="s">
        <v>198</v>
      </c>
      <c r="C46" s="387"/>
      <c r="D46" s="387"/>
      <c r="E46" s="387"/>
      <c r="F46" s="388"/>
      <c r="G46" s="136"/>
      <c r="H46" s="136"/>
      <c r="I46" s="136"/>
      <c r="J46" s="136"/>
      <c r="K46" s="136"/>
      <c r="L46" s="136"/>
      <c r="M46" s="136"/>
      <c r="N46" s="136"/>
      <c r="O46" s="136"/>
      <c r="P46" s="136"/>
      <c r="Q46" s="136"/>
      <c r="R46" s="136"/>
    </row>
    <row r="47" spans="2:21">
      <c r="B47" s="137" t="s">
        <v>137</v>
      </c>
      <c r="C47" s="138" t="s">
        <v>138</v>
      </c>
      <c r="D47" s="138" t="s">
        <v>6</v>
      </c>
      <c r="E47" s="138" t="s">
        <v>139</v>
      </c>
      <c r="F47" s="139">
        <v>15</v>
      </c>
      <c r="G47" s="136" t="s">
        <v>114</v>
      </c>
      <c r="H47" s="136"/>
      <c r="I47" s="136"/>
      <c r="J47" s="136"/>
      <c r="K47" s="136"/>
      <c r="L47" s="136"/>
      <c r="M47" s="136"/>
      <c r="N47" s="136"/>
      <c r="O47" s="136"/>
      <c r="P47" s="136"/>
      <c r="Q47" s="136"/>
      <c r="R47" s="136"/>
    </row>
    <row r="48" spans="2:21">
      <c r="B48" s="140" t="s">
        <v>199</v>
      </c>
      <c r="C48" s="141">
        <f>F42/E42*100</f>
        <v>12.586858685868584</v>
      </c>
      <c r="D48" s="142" t="s">
        <v>200</v>
      </c>
      <c r="E48" s="143">
        <f>(C48/1000)/(22.414/1000/273.15*(273.15+F47))</f>
        <v>0.53232954367654162</v>
      </c>
      <c r="F48" s="144" t="s">
        <v>201</v>
      </c>
      <c r="H48" s="145">
        <f>C50*1000*C48*C128*E131</f>
        <v>135623.09976141312</v>
      </c>
      <c r="I48" s="136"/>
      <c r="J48" s="136"/>
      <c r="K48" s="136"/>
      <c r="L48" s="136"/>
      <c r="M48" s="136"/>
      <c r="N48" s="136"/>
      <c r="O48" s="136"/>
      <c r="P48" s="146">
        <f>(28*(Q42-P42)+44*SUM(R21:R41)+18*SUM(S21:S41)+29*Q42*I62/100)/((Q42-P42)+SUM(R21:R41)+SUM(S21:S41)+Q42*I62/100)</f>
        <v>26.57618072559891</v>
      </c>
      <c r="Q48" s="136"/>
      <c r="R48" s="136"/>
    </row>
    <row r="49" spans="1:18">
      <c r="B49" s="140" t="s">
        <v>202</v>
      </c>
      <c r="C49" s="147">
        <f>J42</f>
        <v>17.100900914985175</v>
      </c>
      <c r="D49" s="142" t="s">
        <v>203</v>
      </c>
      <c r="E49" s="148">
        <f>C49*1000/1000*E48</f>
        <v>9.1033147805318109</v>
      </c>
      <c r="F49" s="144" t="s">
        <v>204</v>
      </c>
      <c r="G49" s="136"/>
      <c r="H49" s="136"/>
      <c r="I49" s="136"/>
      <c r="J49" s="136"/>
      <c r="K49" s="136"/>
      <c r="L49" s="136"/>
      <c r="M49" s="136"/>
      <c r="N49" s="136"/>
      <c r="O49" s="136"/>
      <c r="P49" s="136"/>
      <c r="Q49" s="136"/>
      <c r="R49" s="136"/>
    </row>
    <row r="50" spans="1:18" ht="15" thickBot="1">
      <c r="B50" s="149" t="s">
        <v>205</v>
      </c>
      <c r="C50" s="150">
        <f>K42</f>
        <v>14.511752135671168</v>
      </c>
      <c r="D50" s="151" t="s">
        <v>203</v>
      </c>
      <c r="E50" s="152">
        <f>C50*1000/1000*E48</f>
        <v>7.7250343923289115</v>
      </c>
      <c r="F50" s="153" t="s">
        <v>204</v>
      </c>
      <c r="G50" s="136"/>
      <c r="H50" s="136"/>
      <c r="I50" s="136"/>
      <c r="J50" s="136"/>
      <c r="K50" s="136"/>
      <c r="L50" s="136"/>
      <c r="M50" s="136"/>
      <c r="N50" s="136"/>
      <c r="O50" s="136"/>
      <c r="P50" s="136"/>
      <c r="Q50" s="136"/>
      <c r="R50" s="136"/>
    </row>
    <row r="51" spans="1:18" ht="15" thickBot="1"/>
    <row r="52" spans="1:18" ht="18">
      <c r="A52" s="97" t="s">
        <v>206</v>
      </c>
      <c r="B52" s="386" t="s">
        <v>198</v>
      </c>
      <c r="C52" s="387"/>
      <c r="D52" s="387"/>
      <c r="E52" s="387"/>
      <c r="F52" s="388"/>
      <c r="G52" s="136"/>
      <c r="H52" s="136"/>
      <c r="I52" s="136"/>
      <c r="J52" s="136"/>
      <c r="K52" s="136"/>
      <c r="L52" s="136"/>
      <c r="M52" s="136"/>
    </row>
    <row r="53" spans="1:18">
      <c r="B53" s="154" t="s">
        <v>207</v>
      </c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</row>
    <row r="54" spans="1:18">
      <c r="A54" s="136"/>
      <c r="B54" s="136" t="s">
        <v>208</v>
      </c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</row>
    <row r="55" spans="1:18">
      <c r="A55" s="136"/>
      <c r="B55" s="136" t="s">
        <v>209</v>
      </c>
      <c r="C55" s="155">
        <f>Q42-P42+R42+S42</f>
        <v>2.2021547619047621</v>
      </c>
      <c r="D55" s="136" t="s">
        <v>210</v>
      </c>
      <c r="E55" s="136"/>
      <c r="F55" s="136"/>
      <c r="G55" s="136"/>
      <c r="H55" s="136"/>
      <c r="I55" s="136"/>
      <c r="J55" s="136"/>
      <c r="K55" s="136"/>
      <c r="L55" s="136"/>
      <c r="M55" s="136"/>
    </row>
    <row r="56" spans="1:18">
      <c r="A56" s="136"/>
      <c r="B56" s="136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</row>
    <row r="57" spans="1:18">
      <c r="A57" s="136"/>
      <c r="B57" s="136" t="s">
        <v>211</v>
      </c>
      <c r="C57" s="136"/>
      <c r="D57" s="136"/>
      <c r="E57" s="136"/>
      <c r="F57" s="136"/>
      <c r="G57" s="136"/>
      <c r="H57" s="136"/>
      <c r="I57" s="136"/>
      <c r="J57" s="136"/>
      <c r="K57" s="136"/>
      <c r="L57" s="136"/>
      <c r="M57" s="136"/>
    </row>
    <row r="58" spans="1:18">
      <c r="A58" s="136"/>
      <c r="B58" s="136" t="s">
        <v>212</v>
      </c>
      <c r="C58" s="155">
        <f>C55-SUM(S21:S41)</f>
        <v>1.4471547619047622</v>
      </c>
      <c r="D58" s="136" t="s">
        <v>210</v>
      </c>
      <c r="E58" s="136"/>
      <c r="F58" s="136"/>
      <c r="G58" s="136"/>
      <c r="H58" s="136"/>
      <c r="I58" s="136"/>
      <c r="J58" s="136"/>
      <c r="K58" s="136"/>
      <c r="L58" s="136"/>
      <c r="M58" s="136"/>
    </row>
    <row r="59" spans="1:18">
      <c r="A59" s="136"/>
      <c r="B59" s="136"/>
      <c r="C59" s="136"/>
      <c r="D59" s="136"/>
      <c r="E59" s="136"/>
      <c r="F59" s="136"/>
      <c r="G59" s="136"/>
      <c r="H59" s="136"/>
      <c r="I59" s="136"/>
      <c r="J59" s="136"/>
      <c r="K59" s="136"/>
      <c r="L59" s="136"/>
      <c r="M59" s="136"/>
    </row>
    <row r="60" spans="1:18">
      <c r="B60" s="154" t="s">
        <v>213</v>
      </c>
      <c r="C60" s="136"/>
      <c r="D60" s="136"/>
      <c r="E60" s="136"/>
      <c r="F60" s="156" t="s">
        <v>214</v>
      </c>
      <c r="H60" s="156"/>
      <c r="I60" s="156"/>
      <c r="J60" s="156"/>
      <c r="K60" s="136"/>
      <c r="L60" s="136"/>
      <c r="M60" s="136"/>
      <c r="N60" s="136"/>
    </row>
    <row r="61" spans="1:18">
      <c r="A61" s="136"/>
      <c r="B61" s="136"/>
      <c r="C61" s="136"/>
      <c r="D61" s="136"/>
      <c r="E61" s="136"/>
      <c r="F61" s="156" t="s">
        <v>215</v>
      </c>
      <c r="G61" s="156"/>
      <c r="H61" s="156" t="s">
        <v>216</v>
      </c>
      <c r="I61" s="157">
        <v>0.05</v>
      </c>
      <c r="J61" s="136" t="s">
        <v>121</v>
      </c>
      <c r="K61" s="136" t="s">
        <v>217</v>
      </c>
      <c r="L61" s="158"/>
      <c r="M61" s="136"/>
    </row>
    <row r="62" spans="1:18">
      <c r="A62" s="136"/>
      <c r="B62" s="154" t="s">
        <v>218</v>
      </c>
      <c r="C62" s="136"/>
      <c r="D62" s="159">
        <f>I62</f>
        <v>0.18905364158548701</v>
      </c>
      <c r="E62" s="154" t="s">
        <v>121</v>
      </c>
      <c r="F62" s="156"/>
      <c r="G62" s="156"/>
      <c r="H62" s="156" t="s">
        <v>219</v>
      </c>
      <c r="I62" s="160">
        <f>I61/(21-I61)*(C58/C66)*100</f>
        <v>0.18905364158548701</v>
      </c>
      <c r="J62" s="136" t="s">
        <v>121</v>
      </c>
      <c r="K62" s="136" t="s">
        <v>220</v>
      </c>
      <c r="L62" s="136"/>
      <c r="M62" s="136"/>
    </row>
    <row r="63" spans="1:18">
      <c r="A63" s="136"/>
      <c r="B63" s="161" t="s">
        <v>221</v>
      </c>
      <c r="C63" s="162" t="s">
        <v>222</v>
      </c>
      <c r="D63" s="163">
        <f>D62/100</f>
        <v>1.8905364158548702E-3</v>
      </c>
      <c r="E63" s="136"/>
      <c r="F63" s="136"/>
      <c r="G63" s="136"/>
      <c r="H63" s="136"/>
      <c r="I63" s="136"/>
      <c r="J63" s="136"/>
      <c r="K63" s="136" t="s">
        <v>223</v>
      </c>
      <c r="L63" s="136"/>
      <c r="M63" s="136"/>
    </row>
    <row r="64" spans="1:18">
      <c r="A64" s="136"/>
      <c r="B64" s="136"/>
      <c r="C64" s="136" t="s">
        <v>224</v>
      </c>
      <c r="D64" s="136"/>
      <c r="E64" s="136"/>
      <c r="F64" s="136"/>
      <c r="G64" s="136"/>
      <c r="H64" s="136"/>
      <c r="I64" s="136"/>
      <c r="J64" s="145"/>
      <c r="K64" s="136" t="s">
        <v>225</v>
      </c>
      <c r="L64" s="136"/>
      <c r="M64" s="136"/>
    </row>
    <row r="65" spans="1:14">
      <c r="A65" s="136"/>
      <c r="B65" s="136" t="s">
        <v>226</v>
      </c>
      <c r="C65" s="136"/>
      <c r="D65" s="136"/>
      <c r="E65" s="136"/>
      <c r="F65" s="136"/>
      <c r="G65" s="136"/>
      <c r="H65" s="136"/>
      <c r="I65" s="136"/>
      <c r="J65" s="136"/>
      <c r="K65" s="136" t="s">
        <v>227</v>
      </c>
      <c r="L65" s="136"/>
      <c r="M65" s="136"/>
    </row>
    <row r="66" spans="1:14">
      <c r="A66" s="136"/>
      <c r="B66" s="136" t="s">
        <v>228</v>
      </c>
      <c r="C66" s="155">
        <f>Q42</f>
        <v>1.8269047619047623</v>
      </c>
      <c r="D66" s="136" t="s">
        <v>210</v>
      </c>
      <c r="E66" s="136"/>
      <c r="F66" s="136"/>
      <c r="G66" s="136"/>
      <c r="H66" s="136"/>
      <c r="I66" s="136"/>
      <c r="J66" s="136"/>
      <c r="K66" s="136" t="s">
        <v>229</v>
      </c>
      <c r="L66" s="136"/>
      <c r="M66" s="136"/>
    </row>
    <row r="67" spans="1:14">
      <c r="A67" s="136"/>
      <c r="B67" s="154" t="s">
        <v>230</v>
      </c>
      <c r="C67" s="136"/>
      <c r="D67" s="136"/>
      <c r="E67" s="136"/>
      <c r="F67" s="136"/>
      <c r="G67" s="136"/>
      <c r="H67" s="136"/>
      <c r="I67" s="136"/>
      <c r="J67" s="136"/>
      <c r="K67" s="136"/>
      <c r="L67" s="136"/>
      <c r="M67" s="136"/>
    </row>
    <row r="68" spans="1:14">
      <c r="A68" s="136"/>
      <c r="B68" s="136" t="s">
        <v>231</v>
      </c>
      <c r="C68" s="155">
        <f>C66*(1+D63)</f>
        <v>1.8303585918854417</v>
      </c>
      <c r="D68" s="136" t="s">
        <v>210</v>
      </c>
      <c r="E68" s="136"/>
      <c r="F68" s="136"/>
      <c r="G68" s="136"/>
      <c r="H68" s="136"/>
      <c r="I68" s="136"/>
      <c r="J68" s="136"/>
      <c r="K68" s="136"/>
      <c r="L68" s="136"/>
      <c r="M68" s="136"/>
    </row>
    <row r="69" spans="1:14">
      <c r="A69" s="136"/>
      <c r="B69" s="136"/>
      <c r="C69" s="136"/>
      <c r="D69" s="136"/>
      <c r="E69" s="136"/>
      <c r="F69" s="136"/>
      <c r="G69" s="136"/>
      <c r="H69" s="136"/>
      <c r="I69" s="136"/>
      <c r="J69" s="136"/>
      <c r="K69" s="136"/>
      <c r="L69" s="136"/>
      <c r="M69" s="136"/>
    </row>
    <row r="70" spans="1:14">
      <c r="A70" s="136"/>
      <c r="B70" s="154" t="s">
        <v>232</v>
      </c>
      <c r="C70" s="136"/>
      <c r="D70" s="136"/>
      <c r="E70" s="136"/>
      <c r="F70" s="136"/>
      <c r="G70" s="136"/>
      <c r="H70" s="136"/>
      <c r="I70" s="136"/>
      <c r="J70" s="136"/>
      <c r="K70" s="136"/>
      <c r="L70" s="136"/>
      <c r="M70" s="136"/>
    </row>
    <row r="71" spans="1:14">
      <c r="A71" s="136"/>
      <c r="B71" s="136" t="s">
        <v>233</v>
      </c>
      <c r="C71" s="164">
        <f>C55+(D63*C66)</f>
        <v>2.2056085918854418</v>
      </c>
      <c r="D71" s="136" t="s">
        <v>210</v>
      </c>
      <c r="E71" s="136"/>
      <c r="F71" s="136"/>
      <c r="G71" s="136"/>
      <c r="H71" s="165" t="s">
        <v>234</v>
      </c>
      <c r="I71" s="166">
        <f>SUM(R21:R41)/C71</f>
        <v>0.11479824703781853</v>
      </c>
      <c r="J71" s="136"/>
      <c r="K71" s="136"/>
      <c r="L71" s="136"/>
      <c r="M71" s="136"/>
    </row>
    <row r="72" spans="1:14">
      <c r="A72" s="136"/>
      <c r="B72" s="136"/>
      <c r="C72" s="136"/>
      <c r="D72" s="136"/>
      <c r="E72" s="136"/>
      <c r="F72" s="136"/>
      <c r="G72" s="136"/>
      <c r="H72" s="136"/>
      <c r="I72" s="136"/>
      <c r="J72" s="136"/>
      <c r="K72" s="136"/>
      <c r="L72" s="136"/>
      <c r="M72" s="136"/>
    </row>
    <row r="73" spans="1:14">
      <c r="A73" s="136"/>
      <c r="B73" s="136" t="s">
        <v>235</v>
      </c>
      <c r="C73" s="155">
        <f>C58+(D63*C66)</f>
        <v>1.4506085918854419</v>
      </c>
      <c r="D73" s="136" t="s">
        <v>210</v>
      </c>
      <c r="E73" s="165" t="s">
        <v>236</v>
      </c>
      <c r="F73" s="167">
        <f>I61</f>
        <v>0.05</v>
      </c>
      <c r="G73" s="136" t="s">
        <v>237</v>
      </c>
      <c r="H73" s="165" t="s">
        <v>234</v>
      </c>
      <c r="I73" s="166">
        <f>SUM(R21:R41)/C73</f>
        <v>0.17454742886287541</v>
      </c>
      <c r="J73" s="136"/>
      <c r="K73" s="136"/>
      <c r="L73" s="136"/>
      <c r="M73" s="136"/>
    </row>
    <row r="74" spans="1:14">
      <c r="A74" s="136"/>
      <c r="B74" s="136"/>
      <c r="C74" s="136"/>
      <c r="D74" s="136"/>
      <c r="E74" s="136"/>
      <c r="F74" s="136"/>
      <c r="G74" s="136"/>
      <c r="H74" s="136"/>
      <c r="I74" s="166">
        <f>R42/C73</f>
        <v>5.7906729954508417E-3</v>
      </c>
      <c r="J74" s="136"/>
      <c r="K74" s="136"/>
      <c r="L74" s="136"/>
      <c r="M74" s="136"/>
    </row>
    <row r="75" spans="1:14">
      <c r="A75" s="136"/>
      <c r="B75" s="161" t="s">
        <v>238</v>
      </c>
      <c r="C75" s="164">
        <f>C73*((21-F73)/(21-F75))</f>
        <v>1.6883472222222224</v>
      </c>
      <c r="D75" s="168" t="s">
        <v>210</v>
      </c>
      <c r="E75" s="165" t="s">
        <v>236</v>
      </c>
      <c r="F75" s="169">
        <v>3</v>
      </c>
      <c r="G75" s="136" t="s">
        <v>239</v>
      </c>
      <c r="H75" s="136"/>
      <c r="I75" s="136"/>
      <c r="J75" s="136"/>
      <c r="K75" s="136"/>
      <c r="L75" s="136"/>
      <c r="M75" s="136"/>
    </row>
    <row r="76" spans="1:14">
      <c r="A76" s="136"/>
      <c r="B76" s="136"/>
      <c r="C76" s="136"/>
      <c r="D76" s="136"/>
      <c r="E76" s="136"/>
      <c r="F76" s="136" t="s">
        <v>240</v>
      </c>
      <c r="G76" s="136"/>
      <c r="H76" s="136"/>
      <c r="I76" s="136"/>
      <c r="J76" s="136"/>
      <c r="K76" s="136"/>
      <c r="L76" s="136"/>
      <c r="M76" s="136"/>
    </row>
    <row r="77" spans="1:14">
      <c r="A77" s="136"/>
      <c r="B77" s="136"/>
      <c r="C77" s="136"/>
      <c r="D77" s="136"/>
      <c r="E77" s="136"/>
      <c r="F77" s="136"/>
      <c r="G77" s="136"/>
      <c r="H77" s="136"/>
      <c r="I77" s="136"/>
      <c r="J77" s="136"/>
      <c r="K77" s="136"/>
      <c r="L77" s="136"/>
      <c r="M77" s="136"/>
    </row>
    <row r="78" spans="1:14">
      <c r="B78" s="154" t="s">
        <v>241</v>
      </c>
      <c r="C78" s="136"/>
      <c r="D78" s="136"/>
      <c r="E78" s="136"/>
      <c r="F78" s="136"/>
      <c r="G78" s="136"/>
      <c r="H78" s="136"/>
      <c r="I78" s="136"/>
      <c r="J78" s="136"/>
      <c r="K78" s="136"/>
      <c r="L78" s="136"/>
      <c r="M78" s="136"/>
      <c r="N78" s="136"/>
    </row>
    <row r="79" spans="1:14">
      <c r="A79" s="136"/>
      <c r="B79" s="136" t="s">
        <v>242</v>
      </c>
      <c r="C79" s="170">
        <f>C50*C17*24</f>
        <v>64937.18845670134</v>
      </c>
      <c r="D79" s="154" t="s">
        <v>243</v>
      </c>
      <c r="E79" s="171">
        <f>1524.6/59%/1000*3600*24/4</f>
        <v>55815.864406779656</v>
      </c>
      <c r="F79" s="136"/>
      <c r="G79" s="136"/>
      <c r="H79" s="136"/>
      <c r="I79" s="136"/>
      <c r="J79" s="136"/>
      <c r="K79" s="136"/>
      <c r="L79" s="136"/>
      <c r="M79" s="136"/>
    </row>
    <row r="80" spans="1:14">
      <c r="A80" s="136"/>
      <c r="B80" s="136"/>
      <c r="C80" s="155">
        <f>C79/24</f>
        <v>2705.7161856958892</v>
      </c>
      <c r="D80" s="136" t="s">
        <v>244</v>
      </c>
      <c r="E80" s="136"/>
      <c r="F80" s="136"/>
      <c r="G80" s="136"/>
      <c r="H80" s="136"/>
      <c r="I80" s="136"/>
      <c r="J80" s="136"/>
      <c r="K80" s="136"/>
      <c r="L80" s="136"/>
      <c r="M80" s="136"/>
    </row>
    <row r="81" spans="1:14">
      <c r="A81" s="136"/>
      <c r="B81" s="136" t="s">
        <v>245</v>
      </c>
      <c r="C81" s="172">
        <f>$E$50/1000</f>
        <v>7.725034392328912E-3</v>
      </c>
      <c r="D81" s="154" t="s">
        <v>246</v>
      </c>
      <c r="E81" s="136"/>
      <c r="F81" s="136"/>
      <c r="G81" s="136"/>
      <c r="H81" s="136"/>
      <c r="I81" s="136"/>
      <c r="J81" s="136"/>
      <c r="K81" s="136"/>
      <c r="L81" s="136"/>
      <c r="M81" s="136"/>
    </row>
    <row r="82" spans="1:14">
      <c r="A82" s="136"/>
      <c r="B82" s="136"/>
      <c r="C82" s="173">
        <f>C80/C81</f>
        <v>350252.96306547325</v>
      </c>
      <c r="D82" s="136" t="s">
        <v>247</v>
      </c>
      <c r="E82" s="136" t="s">
        <v>248</v>
      </c>
      <c r="F82" s="136">
        <f>F47</f>
        <v>15</v>
      </c>
      <c r="G82" s="136" t="str">
        <f>G47</f>
        <v>C</v>
      </c>
      <c r="H82" s="136"/>
      <c r="I82" s="136"/>
      <c r="J82" s="136"/>
      <c r="K82" s="136"/>
      <c r="L82" s="136"/>
      <c r="M82" s="136"/>
    </row>
    <row r="83" spans="1:14">
      <c r="A83" s="136"/>
      <c r="B83" s="136" t="s">
        <v>249</v>
      </c>
      <c r="C83" s="173">
        <f>C82/(273.15+F82)*(273.15+F83)</f>
        <v>332020.1175128718</v>
      </c>
      <c r="D83" s="154" t="s">
        <v>250</v>
      </c>
      <c r="E83" s="136" t="s">
        <v>248</v>
      </c>
      <c r="F83" s="136">
        <v>0</v>
      </c>
      <c r="G83" s="136" t="s">
        <v>114</v>
      </c>
      <c r="H83" s="136" t="s">
        <v>251</v>
      </c>
      <c r="I83" s="136">
        <f>C83*C68</f>
        <v>607715.87476849894</v>
      </c>
      <c r="J83" s="136" t="s">
        <v>252</v>
      </c>
      <c r="K83" s="136"/>
      <c r="L83" s="136"/>
      <c r="M83" s="136"/>
    </row>
    <row r="84" spans="1:14">
      <c r="A84" s="136"/>
      <c r="B84" s="136"/>
      <c r="C84" s="136"/>
      <c r="D84" s="136"/>
      <c r="E84" s="136"/>
      <c r="F84" s="136"/>
      <c r="G84" s="136"/>
      <c r="H84" s="136"/>
      <c r="I84" s="136"/>
      <c r="J84" s="136"/>
      <c r="K84" s="136"/>
      <c r="L84" s="136"/>
      <c r="M84" s="136"/>
    </row>
    <row r="85" spans="1:14">
      <c r="A85" s="136"/>
      <c r="B85" s="154" t="s">
        <v>253</v>
      </c>
      <c r="C85" s="174" t="s">
        <v>254</v>
      </c>
      <c r="D85" s="136"/>
      <c r="E85" s="136"/>
      <c r="F85" s="136"/>
      <c r="G85" s="136"/>
      <c r="H85" s="136"/>
      <c r="I85" s="136"/>
      <c r="J85" s="136"/>
      <c r="K85" s="136"/>
      <c r="L85" s="136"/>
      <c r="M85" s="136"/>
    </row>
    <row r="86" spans="1:14" ht="15" thickBot="1">
      <c r="A86" s="136"/>
      <c r="B86" s="136"/>
      <c r="C86" s="155">
        <f>C75</f>
        <v>1.6883472222222224</v>
      </c>
      <c r="D86" s="136" t="s">
        <v>210</v>
      </c>
      <c r="E86" s="136"/>
      <c r="F86" s="136"/>
      <c r="G86" s="136"/>
      <c r="H86" s="136"/>
      <c r="I86" s="136"/>
      <c r="J86" s="136"/>
      <c r="K86" s="136"/>
      <c r="L86" s="136"/>
      <c r="M86" s="136"/>
    </row>
    <row r="87" spans="1:14">
      <c r="A87" s="136"/>
      <c r="B87" s="136"/>
      <c r="C87" s="147">
        <f>C83*C86</f>
        <v>560565.243124753</v>
      </c>
      <c r="D87" s="154" t="s">
        <v>255</v>
      </c>
      <c r="E87" s="175">
        <v>51</v>
      </c>
      <c r="F87" s="176" t="s">
        <v>256</v>
      </c>
      <c r="G87" s="177">
        <f>E87/1000*C88</f>
        <v>7.9413409442673331</v>
      </c>
      <c r="H87" s="178" t="s">
        <v>257</v>
      </c>
      <c r="I87" s="136"/>
      <c r="J87" s="136"/>
      <c r="K87" s="136"/>
      <c r="L87" s="136"/>
      <c r="M87" s="136"/>
    </row>
    <row r="88" spans="1:14" ht="15" thickBot="1">
      <c r="A88" s="136"/>
      <c r="B88" s="136"/>
      <c r="C88" s="147">
        <f>C87/3600</f>
        <v>155.7125675346536</v>
      </c>
      <c r="D88" s="154" t="s">
        <v>97</v>
      </c>
      <c r="E88" s="179">
        <v>100</v>
      </c>
      <c r="F88" s="180" t="s">
        <v>258</v>
      </c>
      <c r="G88" s="181">
        <f>E88/1000*C88</f>
        <v>15.571256753465361</v>
      </c>
      <c r="H88" s="182" t="s">
        <v>259</v>
      </c>
      <c r="I88" s="136"/>
      <c r="J88" s="136"/>
      <c r="K88" s="136"/>
      <c r="L88" s="136"/>
      <c r="M88" s="136"/>
    </row>
    <row r="89" spans="1:14">
      <c r="A89" s="136"/>
      <c r="B89" s="136"/>
      <c r="C89" s="136"/>
      <c r="D89" s="136"/>
      <c r="E89" s="136"/>
      <c r="F89" s="136"/>
      <c r="G89" s="136"/>
      <c r="H89" s="136"/>
      <c r="I89" s="136"/>
      <c r="J89" s="136"/>
      <c r="K89" s="136"/>
      <c r="L89" s="136"/>
      <c r="M89" s="136"/>
    </row>
    <row r="90" spans="1:14">
      <c r="A90" s="136"/>
      <c r="B90" s="136"/>
      <c r="C90" s="154" t="s">
        <v>260</v>
      </c>
      <c r="D90" s="136" t="s">
        <v>261</v>
      </c>
      <c r="E90" s="136"/>
      <c r="F90" s="136"/>
      <c r="G90" s="136"/>
      <c r="H90" s="136"/>
      <c r="I90" s="136"/>
      <c r="J90" s="136"/>
      <c r="K90" s="136"/>
      <c r="L90" s="136"/>
      <c r="M90" s="136"/>
    </row>
    <row r="91" spans="1:14">
      <c r="A91" s="136"/>
      <c r="B91" s="136"/>
      <c r="C91" s="155">
        <f>C71</f>
        <v>2.2056085918854418</v>
      </c>
      <c r="D91" s="136" t="s">
        <v>210</v>
      </c>
      <c r="E91" s="136"/>
      <c r="F91" s="136"/>
      <c r="G91" s="136"/>
      <c r="H91" s="136"/>
      <c r="I91" s="136"/>
      <c r="J91" s="136"/>
      <c r="K91" s="136"/>
      <c r="L91" s="136"/>
      <c r="M91" s="136"/>
      <c r="N91" s="136"/>
    </row>
    <row r="92" spans="1:14">
      <c r="A92" s="136"/>
      <c r="B92" s="174" t="s">
        <v>262</v>
      </c>
      <c r="C92" s="183">
        <f>G92+273.15</f>
        <v>1273.1500000000001</v>
      </c>
      <c r="D92" s="154" t="s">
        <v>115</v>
      </c>
      <c r="E92" s="136"/>
      <c r="F92" s="136" t="s">
        <v>263</v>
      </c>
      <c r="G92" s="136">
        <v>1000</v>
      </c>
      <c r="H92" s="136" t="s">
        <v>264</v>
      </c>
      <c r="I92" s="136"/>
      <c r="J92" s="136"/>
      <c r="K92" s="136"/>
      <c r="L92" s="136"/>
      <c r="M92" s="136"/>
      <c r="N92" s="136"/>
    </row>
    <row r="93" spans="1:14">
      <c r="A93" s="136"/>
      <c r="B93" s="136"/>
      <c r="C93" s="147">
        <f>C83*C91*C92/273.15</f>
        <v>3413274.4775544014</v>
      </c>
      <c r="D93" s="154" t="s">
        <v>265</v>
      </c>
      <c r="E93" s="136"/>
      <c r="F93" s="136" t="s">
        <v>266</v>
      </c>
      <c r="G93" s="184">
        <f>SUM(S21:S41)*100/C71</f>
        <v>34.230914894768162</v>
      </c>
      <c r="H93" s="136" t="s">
        <v>267</v>
      </c>
      <c r="I93" s="185" t="s">
        <v>268</v>
      </c>
      <c r="J93" s="136"/>
      <c r="K93" s="136"/>
      <c r="L93" s="136"/>
      <c r="M93" s="136"/>
      <c r="N93" s="136"/>
    </row>
    <row r="94" spans="1:14">
      <c r="A94" s="136"/>
      <c r="B94" s="136"/>
      <c r="C94" s="147">
        <f>C93/3600</f>
        <v>948.13179932066703</v>
      </c>
      <c r="D94" s="154" t="s">
        <v>48</v>
      </c>
      <c r="E94" s="136"/>
      <c r="F94" s="136" t="s">
        <v>269</v>
      </c>
      <c r="G94" s="136">
        <f>I61</f>
        <v>0.05</v>
      </c>
      <c r="H94" s="136" t="s">
        <v>270</v>
      </c>
      <c r="I94" s="136"/>
      <c r="J94" s="136"/>
      <c r="K94" s="136"/>
      <c r="L94" s="136"/>
      <c r="M94" s="136"/>
      <c r="N94" s="136"/>
    </row>
    <row r="95" spans="1:14">
      <c r="A95" s="136"/>
      <c r="B95" s="136"/>
      <c r="C95" s="136"/>
      <c r="D95" s="136"/>
      <c r="E95" s="136"/>
      <c r="F95" s="136"/>
      <c r="G95" s="136"/>
      <c r="H95" s="136"/>
      <c r="I95" s="136"/>
      <c r="J95" s="136"/>
      <c r="K95" s="136"/>
      <c r="L95" s="136"/>
      <c r="M95" s="136"/>
      <c r="N95" s="136"/>
    </row>
    <row r="96" spans="1:14">
      <c r="A96" s="136"/>
      <c r="B96" s="136" t="s">
        <v>271</v>
      </c>
      <c r="C96" s="136"/>
      <c r="D96" s="136"/>
      <c r="E96" s="136"/>
      <c r="F96" s="136"/>
      <c r="G96" s="136"/>
      <c r="H96" s="136"/>
      <c r="I96" s="136"/>
      <c r="J96" s="136"/>
      <c r="K96" s="136"/>
      <c r="L96" s="136"/>
      <c r="M96" s="136"/>
      <c r="N96" s="136"/>
    </row>
    <row r="97" spans="1:14">
      <c r="A97" s="136"/>
      <c r="B97" s="136"/>
      <c r="C97" s="186">
        <f>C80/3600</f>
        <v>0.75158782935996926</v>
      </c>
      <c r="D97" s="136" t="s">
        <v>272</v>
      </c>
      <c r="E97" s="187">
        <f>E79</f>
        <v>55815.864406779656</v>
      </c>
      <c r="F97" s="136" t="s">
        <v>273</v>
      </c>
      <c r="G97" s="136"/>
      <c r="H97" s="136"/>
      <c r="I97" s="136"/>
      <c r="J97" s="136"/>
      <c r="K97" s="136"/>
      <c r="L97" s="136"/>
      <c r="M97" s="136"/>
      <c r="N97" s="136"/>
    </row>
    <row r="98" spans="1:14">
      <c r="A98" s="136"/>
      <c r="B98" s="136"/>
      <c r="C98" s="136">
        <f>C97*60</f>
        <v>45.095269761598153</v>
      </c>
      <c r="D98" s="136" t="s">
        <v>274</v>
      </c>
      <c r="E98" s="136"/>
      <c r="F98" s="136"/>
      <c r="G98" s="136"/>
      <c r="H98" s="136"/>
      <c r="I98" s="136"/>
      <c r="J98" s="136"/>
      <c r="K98" s="136"/>
      <c r="L98" s="136"/>
      <c r="M98" s="136"/>
      <c r="N98" s="136"/>
    </row>
    <row r="99" spans="1:14">
      <c r="A99" s="136"/>
      <c r="B99" s="136"/>
      <c r="C99" s="136">
        <f>C98*60</f>
        <v>2705.7161856958892</v>
      </c>
      <c r="D99" s="136" t="s">
        <v>275</v>
      </c>
      <c r="E99" s="187">
        <f>E97</f>
        <v>55815.864406779656</v>
      </c>
      <c r="F99" s="136" t="s">
        <v>276</v>
      </c>
      <c r="G99" s="136"/>
      <c r="H99" s="136"/>
      <c r="I99" s="136"/>
      <c r="J99" s="136"/>
      <c r="K99" s="136"/>
      <c r="L99" s="136"/>
      <c r="M99" s="136"/>
      <c r="N99" s="136"/>
    </row>
    <row r="100" spans="1:14">
      <c r="A100" s="136"/>
      <c r="B100" s="136"/>
      <c r="C100" s="188">
        <f>C99*24</f>
        <v>64937.18845670134</v>
      </c>
      <c r="D100" s="136" t="s">
        <v>277</v>
      </c>
      <c r="E100" s="136">
        <f>E99*24</f>
        <v>1339580.7457627119</v>
      </c>
      <c r="F100" s="136" t="s">
        <v>278</v>
      </c>
      <c r="G100" s="136"/>
      <c r="H100" s="136"/>
      <c r="I100" s="136"/>
      <c r="J100" s="136"/>
      <c r="K100" s="136"/>
      <c r="L100" s="136"/>
      <c r="M100" s="136"/>
      <c r="N100" s="136"/>
    </row>
    <row r="101" spans="1:14">
      <c r="A101" s="136"/>
      <c r="B101" s="136"/>
      <c r="C101" s="145">
        <f>C100*365</f>
        <v>23702073.786695991</v>
      </c>
      <c r="D101" s="136" t="s">
        <v>279</v>
      </c>
      <c r="E101" s="145">
        <f>E100*365</f>
        <v>488946972.20338982</v>
      </c>
      <c r="F101" s="136" t="s">
        <v>280</v>
      </c>
      <c r="G101" s="136"/>
      <c r="H101" s="136"/>
      <c r="I101" s="136"/>
      <c r="J101" s="136"/>
      <c r="K101" s="136"/>
      <c r="L101" s="136"/>
      <c r="M101" s="136"/>
      <c r="N101" s="136"/>
    </row>
    <row r="102" spans="1:14" ht="15" thickBot="1"/>
    <row r="103" spans="1:14" ht="18.75" customHeight="1">
      <c r="A103" s="97" t="s">
        <v>290</v>
      </c>
      <c r="B103" s="389" t="s">
        <v>291</v>
      </c>
      <c r="C103" s="391"/>
      <c r="D103" s="391"/>
      <c r="E103" s="390"/>
      <c r="F103" s="189"/>
      <c r="G103" s="404" t="s">
        <v>292</v>
      </c>
      <c r="H103" s="405"/>
      <c r="I103" s="405"/>
      <c r="J103" s="405"/>
      <c r="K103" s="406"/>
      <c r="L103" s="189"/>
    </row>
    <row r="104" spans="1:14" ht="41.45">
      <c r="A104" s="189"/>
      <c r="B104" s="190" t="s">
        <v>137</v>
      </c>
      <c r="C104" s="191" t="s">
        <v>138</v>
      </c>
      <c r="D104" s="191" t="s">
        <v>6</v>
      </c>
      <c r="E104" s="192" t="s">
        <v>139</v>
      </c>
      <c r="F104" s="189"/>
      <c r="G104" s="190" t="s">
        <v>293</v>
      </c>
      <c r="H104" s="191" t="s">
        <v>6</v>
      </c>
      <c r="I104" s="191" t="s">
        <v>294</v>
      </c>
      <c r="J104" s="191" t="s">
        <v>295</v>
      </c>
      <c r="K104" s="192" t="s">
        <v>6</v>
      </c>
      <c r="L104" s="189"/>
    </row>
    <row r="105" spans="1:14">
      <c r="A105" s="189"/>
      <c r="B105" s="193" t="s">
        <v>296</v>
      </c>
      <c r="C105" s="194">
        <f>C17</f>
        <v>186.45</v>
      </c>
      <c r="D105" s="195" t="s">
        <v>297</v>
      </c>
      <c r="E105" s="196" t="s">
        <v>298</v>
      </c>
      <c r="F105" s="189"/>
      <c r="G105" s="197">
        <v>0</v>
      </c>
      <c r="H105" s="198" t="s">
        <v>299</v>
      </c>
      <c r="I105" s="199">
        <f>((1/$J$111)*($C$48/1))/1000000</f>
        <v>5.3232723339221861E-4</v>
      </c>
      <c r="J105" s="200">
        <f>I105*G105</f>
        <v>0</v>
      </c>
      <c r="K105" s="201" t="s">
        <v>300</v>
      </c>
      <c r="L105" s="189"/>
    </row>
    <row r="106" spans="1:14">
      <c r="A106" s="189"/>
      <c r="B106" s="193" t="s">
        <v>296</v>
      </c>
      <c r="C106" s="202">
        <f>$C$105/3600*1000</f>
        <v>51.791666666666664</v>
      </c>
      <c r="D106" s="195" t="s">
        <v>94</v>
      </c>
      <c r="E106" s="196" t="s">
        <v>301</v>
      </c>
      <c r="F106" s="189"/>
      <c r="G106" s="197">
        <v>0</v>
      </c>
      <c r="H106" s="198" t="s">
        <v>302</v>
      </c>
      <c r="I106" s="203">
        <f>((1/$H$111)*($C$48/1))/1000000</f>
        <v>5.6155992056367498E-4</v>
      </c>
      <c r="J106" s="200">
        <f>I106*G106</f>
        <v>0</v>
      </c>
      <c r="K106" s="201" t="s">
        <v>300</v>
      </c>
      <c r="L106" s="189"/>
    </row>
    <row r="107" spans="1:14">
      <c r="A107" s="189"/>
      <c r="B107" s="193" t="s">
        <v>296</v>
      </c>
      <c r="C107" s="204">
        <f>C106/1000</f>
        <v>5.1791666666666666E-2</v>
      </c>
      <c r="D107" s="195" t="s">
        <v>303</v>
      </c>
      <c r="E107" s="196" t="s">
        <v>301</v>
      </c>
      <c r="F107" s="189"/>
      <c r="G107" s="197">
        <v>0</v>
      </c>
      <c r="H107" s="198" t="s">
        <v>304</v>
      </c>
      <c r="I107" s="199">
        <f>((1/$J$111)*($C$48/1)*(1/35.3147))/1000000</f>
        <v>1.5073814400015253E-5</v>
      </c>
      <c r="J107" s="200">
        <f>I107*G107</f>
        <v>0</v>
      </c>
      <c r="K107" s="201" t="s">
        <v>300</v>
      </c>
      <c r="L107" s="189"/>
    </row>
    <row r="108" spans="1:14">
      <c r="A108" s="189"/>
      <c r="B108" s="193" t="s">
        <v>305</v>
      </c>
      <c r="C108" s="205">
        <f>C105/I108*24</f>
        <v>296.85916790878571</v>
      </c>
      <c r="D108" s="198" t="s">
        <v>306</v>
      </c>
      <c r="E108" s="196" t="s">
        <v>307</v>
      </c>
      <c r="F108" s="189"/>
      <c r="G108" s="206">
        <f>C108</f>
        <v>296.85916790878571</v>
      </c>
      <c r="H108" s="198" t="s">
        <v>308</v>
      </c>
      <c r="I108" s="199">
        <f>((1/$J$111)*($C$48/1)*(1/35.3147))</f>
        <v>15.073814400015253</v>
      </c>
      <c r="J108" s="207">
        <f>I108*G108</f>
        <v>4474.8</v>
      </c>
      <c r="K108" s="201" t="s">
        <v>300</v>
      </c>
      <c r="L108" s="189"/>
    </row>
    <row r="109" spans="1:14">
      <c r="A109" s="189"/>
      <c r="B109" s="193" t="s">
        <v>309</v>
      </c>
      <c r="C109" s="208">
        <f>$C$105/$I$105</f>
        <v>350254.48315289116</v>
      </c>
      <c r="D109" s="195" t="s">
        <v>310</v>
      </c>
      <c r="E109" s="196" t="s">
        <v>301</v>
      </c>
      <c r="F109" s="189"/>
      <c r="G109" s="209"/>
      <c r="H109" s="189"/>
      <c r="I109" s="189"/>
      <c r="J109" s="189"/>
      <c r="K109" s="210"/>
      <c r="L109" s="189"/>
    </row>
    <row r="110" spans="1:14" ht="20.45">
      <c r="A110" s="189"/>
      <c r="B110" s="193" t="s">
        <v>309</v>
      </c>
      <c r="C110" s="202">
        <f>C109/3600</f>
        <v>97.292911986914206</v>
      </c>
      <c r="D110" s="195" t="s">
        <v>311</v>
      </c>
      <c r="E110" s="196" t="s">
        <v>301</v>
      </c>
      <c r="F110" s="189"/>
      <c r="G110" s="211" t="s">
        <v>312</v>
      </c>
      <c r="H110" s="212" t="s">
        <v>313</v>
      </c>
      <c r="I110" s="212" t="s">
        <v>314</v>
      </c>
      <c r="J110" s="213" t="s">
        <v>315</v>
      </c>
      <c r="K110" s="214" t="s">
        <v>6</v>
      </c>
      <c r="L110" s="189"/>
    </row>
    <row r="111" spans="1:14" ht="15" thickBot="1">
      <c r="A111" s="189"/>
      <c r="B111" s="215" t="s">
        <v>316</v>
      </c>
      <c r="C111" s="216">
        <f>C110*(273.15/(273.15+15))</f>
        <v>92.228210686189882</v>
      </c>
      <c r="D111" s="217" t="s">
        <v>97</v>
      </c>
      <c r="E111" s="218" t="s">
        <v>317</v>
      </c>
      <c r="F111" s="189"/>
      <c r="G111" s="219" t="s">
        <v>318</v>
      </c>
      <c r="H111" s="220">
        <f>((H113*H114*H115)/H112)</f>
        <v>2.2414097276091782E-2</v>
      </c>
      <c r="I111" s="220">
        <f>((I113*I114*I115)/I112)</f>
        <v>2.4465543118677522E-2</v>
      </c>
      <c r="J111" s="221">
        <f>((J113*J114*J115)/J112)</f>
        <v>2.3644964781643227E-2</v>
      </c>
      <c r="K111" s="222" t="s">
        <v>319</v>
      </c>
      <c r="L111" s="189"/>
    </row>
    <row r="112" spans="1:14" ht="18.75" customHeight="1" thickBot="1">
      <c r="A112" s="189"/>
      <c r="B112" s="189"/>
      <c r="C112" s="189"/>
      <c r="D112" s="189"/>
      <c r="E112" s="189"/>
      <c r="F112" s="189"/>
      <c r="G112" s="219" t="s">
        <v>320</v>
      </c>
      <c r="H112" s="223">
        <v>101325</v>
      </c>
      <c r="I112" s="223">
        <v>101325</v>
      </c>
      <c r="J112" s="224">
        <v>101325</v>
      </c>
      <c r="K112" s="222" t="s">
        <v>321</v>
      </c>
      <c r="L112" s="189"/>
    </row>
    <row r="113" spans="1:12" ht="18">
      <c r="A113" s="97" t="s">
        <v>322</v>
      </c>
      <c r="B113" s="392" t="s">
        <v>323</v>
      </c>
      <c r="C113" s="393"/>
      <c r="D113" s="393"/>
      <c r="E113" s="394"/>
      <c r="F113" s="189"/>
      <c r="G113" s="219" t="s">
        <v>324</v>
      </c>
      <c r="H113" s="223">
        <v>1</v>
      </c>
      <c r="I113" s="223">
        <v>1</v>
      </c>
      <c r="J113" s="224">
        <v>1</v>
      </c>
      <c r="K113" s="222" t="s">
        <v>325</v>
      </c>
      <c r="L113" s="189"/>
    </row>
    <row r="114" spans="1:12">
      <c r="A114" s="189"/>
      <c r="B114" s="190" t="s">
        <v>137</v>
      </c>
      <c r="C114" s="191" t="s">
        <v>138</v>
      </c>
      <c r="D114" s="191" t="s">
        <v>6</v>
      </c>
      <c r="E114" s="192" t="s">
        <v>139</v>
      </c>
      <c r="F114" s="189"/>
      <c r="G114" s="219" t="s">
        <v>326</v>
      </c>
      <c r="H114" s="223">
        <v>8.3145100000000003</v>
      </c>
      <c r="I114" s="223">
        <v>8.3145100000000003</v>
      </c>
      <c r="J114" s="224">
        <v>8.3145100000000003</v>
      </c>
      <c r="K114" s="222" t="s">
        <v>327</v>
      </c>
      <c r="L114" s="189"/>
    </row>
    <row r="115" spans="1:12" ht="15" thickBot="1">
      <c r="A115" s="189"/>
      <c r="B115" s="193" t="s">
        <v>328</v>
      </c>
      <c r="C115" s="205">
        <f>C110</f>
        <v>97.292911986914206</v>
      </c>
      <c r="D115" s="195" t="s">
        <v>311</v>
      </c>
      <c r="E115" s="196" t="s">
        <v>301</v>
      </c>
      <c r="F115" s="189"/>
      <c r="G115" s="225" t="s">
        <v>329</v>
      </c>
      <c r="H115" s="226">
        <v>273.14999999999998</v>
      </c>
      <c r="I115" s="226">
        <f>273.15+25</f>
        <v>298.14999999999998</v>
      </c>
      <c r="J115" s="227">
        <f>273.15+15</f>
        <v>288.14999999999998</v>
      </c>
      <c r="K115" s="228" t="s">
        <v>330</v>
      </c>
      <c r="L115" s="189"/>
    </row>
    <row r="116" spans="1:12">
      <c r="A116" s="189"/>
      <c r="B116" s="195" t="s">
        <v>331</v>
      </c>
      <c r="C116" s="202">
        <f>C16</f>
        <v>0.9</v>
      </c>
      <c r="D116" s="195" t="s">
        <v>28</v>
      </c>
      <c r="E116" s="196" t="s">
        <v>301</v>
      </c>
      <c r="F116" s="189"/>
      <c r="G116" s="189"/>
      <c r="H116" s="189"/>
      <c r="I116" s="189"/>
      <c r="J116" s="189"/>
      <c r="K116" s="189"/>
      <c r="L116" s="189"/>
    </row>
    <row r="117" spans="1:12">
      <c r="A117" s="189"/>
      <c r="B117" s="193" t="s">
        <v>332</v>
      </c>
      <c r="C117" s="229">
        <v>45</v>
      </c>
      <c r="D117" s="195" t="s">
        <v>333</v>
      </c>
      <c r="E117" s="196" t="s">
        <v>301</v>
      </c>
      <c r="F117" s="189"/>
    </row>
    <row r="118" spans="1:12">
      <c r="A118" s="189"/>
      <c r="B118" s="193" t="s">
        <v>334</v>
      </c>
      <c r="C118" s="202">
        <f>PI()*($C$116/2)*($C$116/2)</f>
        <v>0.63617251235193317</v>
      </c>
      <c r="D118" s="195" t="s">
        <v>118</v>
      </c>
      <c r="E118" s="196" t="s">
        <v>301</v>
      </c>
      <c r="F118" s="189"/>
    </row>
    <row r="119" spans="1:12">
      <c r="A119" s="189"/>
      <c r="B119" s="193" t="s">
        <v>335</v>
      </c>
      <c r="C119" s="205">
        <f>(C115/(273.15+15)*(273.15+C117))/C118</f>
        <v>168.8572085443019</v>
      </c>
      <c r="D119" s="195" t="s">
        <v>51</v>
      </c>
      <c r="E119" s="196" t="s">
        <v>336</v>
      </c>
      <c r="F119" s="189"/>
    </row>
    <row r="120" spans="1:12">
      <c r="A120" s="189"/>
      <c r="B120" s="193" t="s">
        <v>337</v>
      </c>
      <c r="C120" s="202">
        <f>273.15+C117</f>
        <v>318.14999999999998</v>
      </c>
      <c r="D120" s="195" t="s">
        <v>338</v>
      </c>
      <c r="E120" s="196" t="s">
        <v>301</v>
      </c>
      <c r="F120" s="189"/>
    </row>
    <row r="121" spans="1:12" ht="18.75" customHeight="1" thickBot="1">
      <c r="A121" s="189"/>
      <c r="B121" s="215" t="s">
        <v>339</v>
      </c>
      <c r="C121" s="230">
        <f>C115/(273.15+15)*C120</f>
        <v>107.42231458836285</v>
      </c>
      <c r="D121" s="217" t="s">
        <v>48</v>
      </c>
      <c r="E121" s="218" t="s">
        <v>301</v>
      </c>
      <c r="F121" s="189"/>
    </row>
    <row r="122" spans="1:12" ht="15" thickBot="1">
      <c r="A122" s="189"/>
      <c r="B122" s="189"/>
      <c r="C122" s="189"/>
      <c r="D122" s="189"/>
      <c r="E122" s="189"/>
      <c r="F122" s="189"/>
    </row>
    <row r="123" spans="1:12" ht="18">
      <c r="A123" s="97" t="s">
        <v>340</v>
      </c>
      <c r="B123" s="389" t="s">
        <v>341</v>
      </c>
      <c r="C123" s="391"/>
      <c r="D123" s="391"/>
      <c r="E123" s="390"/>
      <c r="F123" s="189"/>
    </row>
    <row r="124" spans="1:12">
      <c r="A124" s="189"/>
      <c r="B124" s="190" t="s">
        <v>137</v>
      </c>
      <c r="C124" s="191" t="s">
        <v>138</v>
      </c>
      <c r="D124" s="191" t="s">
        <v>6</v>
      </c>
      <c r="E124" s="192" t="s">
        <v>139</v>
      </c>
      <c r="F124" s="189"/>
    </row>
    <row r="125" spans="1:12">
      <c r="A125" s="189"/>
      <c r="B125" s="193" t="s">
        <v>205</v>
      </c>
      <c r="C125" s="231">
        <f>$C$50</f>
        <v>14.511752135671168</v>
      </c>
      <c r="D125" s="195" t="s">
        <v>203</v>
      </c>
      <c r="E125" s="196" t="s">
        <v>301</v>
      </c>
      <c r="F125" s="189"/>
    </row>
    <row r="126" spans="1:12">
      <c r="A126" s="189"/>
      <c r="B126" s="193" t="s">
        <v>342</v>
      </c>
      <c r="C126" s="208">
        <f>($C$125/1000)*1000000000</f>
        <v>14511752.135671169</v>
      </c>
      <c r="D126" s="195" t="s">
        <v>343</v>
      </c>
      <c r="E126" s="196" t="s">
        <v>301</v>
      </c>
      <c r="F126" s="189"/>
    </row>
    <row r="127" spans="1:12">
      <c r="A127" s="189"/>
      <c r="B127" s="193" t="s">
        <v>344</v>
      </c>
      <c r="C127" s="232">
        <f>$C$106*$C$126/1000000</f>
        <v>751.58782935996931</v>
      </c>
      <c r="D127" s="195" t="s">
        <v>273</v>
      </c>
      <c r="E127" s="196" t="s">
        <v>301</v>
      </c>
      <c r="F127" s="189"/>
    </row>
    <row r="128" spans="1:12">
      <c r="A128" s="189"/>
      <c r="B128" s="193" t="s">
        <v>345</v>
      </c>
      <c r="C128" s="233">
        <v>0.99</v>
      </c>
      <c r="D128" s="195"/>
      <c r="E128" s="196" t="s">
        <v>346</v>
      </c>
      <c r="F128" s="189"/>
    </row>
    <row r="129" spans="1:10">
      <c r="A129" s="189"/>
      <c r="B129" s="193" t="s">
        <v>347</v>
      </c>
      <c r="C129" s="208">
        <f>$C$106*$C$126*$C$128</f>
        <v>744071951.06636953</v>
      </c>
      <c r="D129" s="195" t="s">
        <v>348</v>
      </c>
      <c r="E129" s="92" t="s">
        <v>349</v>
      </c>
      <c r="F129" s="189"/>
    </row>
    <row r="130" spans="1:10">
      <c r="A130" s="189"/>
      <c r="B130" s="193" t="s">
        <v>350</v>
      </c>
      <c r="C130" s="234">
        <f>C129*0.23890295762</f>
        <v>177760989.7918396</v>
      </c>
      <c r="D130" s="195" t="s">
        <v>351</v>
      </c>
      <c r="E130" s="201" t="s">
        <v>352</v>
      </c>
      <c r="F130" s="189"/>
    </row>
    <row r="131" spans="1:10" ht="18.75" customHeight="1">
      <c r="A131" s="189"/>
      <c r="B131" s="193" t="s">
        <v>353</v>
      </c>
      <c r="C131" s="235">
        <f>IF(C48&gt;95,55%,IF(C48&gt;80,50%,IF(C48&gt;65,45%,IF(C48&gt;50,40%,IF(C48&gt;35,35%,IF(C48&gt;20,30%,25%))))))</f>
        <v>0.25</v>
      </c>
      <c r="D131" s="195" t="s">
        <v>354</v>
      </c>
      <c r="E131" s="236">
        <f>1-C131</f>
        <v>0.75</v>
      </c>
      <c r="F131" s="189"/>
    </row>
    <row r="132" spans="1:10">
      <c r="A132" s="189"/>
      <c r="B132" s="237" t="s">
        <v>355</v>
      </c>
      <c r="C132" s="238">
        <f>$E$131*$C$129</f>
        <v>558053963.29977715</v>
      </c>
      <c r="D132" s="195" t="s">
        <v>356</v>
      </c>
      <c r="E132" s="92" t="s">
        <v>357</v>
      </c>
      <c r="F132" s="189"/>
    </row>
    <row r="133" spans="1:10">
      <c r="A133" s="189"/>
      <c r="B133" s="193" t="s">
        <v>358</v>
      </c>
      <c r="C133" s="234">
        <f>C132*0.23890295762</f>
        <v>133320742.3438797</v>
      </c>
      <c r="D133" s="195" t="s">
        <v>351</v>
      </c>
      <c r="E133" s="201" t="s">
        <v>352</v>
      </c>
      <c r="F133" s="189"/>
    </row>
    <row r="134" spans="1:10">
      <c r="A134" s="189"/>
      <c r="B134" s="193" t="s">
        <v>359</v>
      </c>
      <c r="C134" s="239">
        <f>C132/1012/(C106*(1+C68/C48*29))</f>
        <v>2040.8179829568398</v>
      </c>
      <c r="D134" s="195" t="s">
        <v>115</v>
      </c>
      <c r="E134" s="201" t="s">
        <v>360</v>
      </c>
      <c r="F134" s="189"/>
    </row>
    <row r="135" spans="1:10">
      <c r="A135" s="189"/>
      <c r="B135" s="193" t="s">
        <v>361</v>
      </c>
      <c r="C135" s="240">
        <f>273.15+15</f>
        <v>288.14999999999998</v>
      </c>
      <c r="D135" s="195" t="s">
        <v>115</v>
      </c>
      <c r="E135" s="201" t="s">
        <v>362</v>
      </c>
      <c r="F135" s="189"/>
    </row>
    <row r="136" spans="1:10">
      <c r="A136" s="189"/>
      <c r="B136" s="193" t="s">
        <v>363</v>
      </c>
      <c r="C136" s="241">
        <f>C115*C71/(273.15+15)*(C135+C134)</f>
        <v>1734.421071850925</v>
      </c>
      <c r="D136" s="195" t="s">
        <v>48</v>
      </c>
      <c r="E136" s="201" t="s">
        <v>301</v>
      </c>
      <c r="F136" s="189"/>
    </row>
    <row r="137" spans="1:10">
      <c r="A137" s="189"/>
      <c r="B137" s="193" t="s">
        <v>364</v>
      </c>
      <c r="C137" s="231">
        <f>C136/C118</f>
        <v>2726.3376492624006</v>
      </c>
      <c r="D137" s="195" t="s">
        <v>51</v>
      </c>
      <c r="E137" s="196" t="s">
        <v>301</v>
      </c>
      <c r="F137" s="189"/>
    </row>
    <row r="138" spans="1:10" ht="27.6">
      <c r="A138" s="189"/>
      <c r="B138" s="237" t="s">
        <v>365</v>
      </c>
      <c r="C138" s="242">
        <f>$C$121*$C$119*(C135/$C$120)</f>
        <v>16428.609529256781</v>
      </c>
      <c r="D138" s="195" t="s">
        <v>366</v>
      </c>
      <c r="E138" s="243" t="s">
        <v>367</v>
      </c>
      <c r="F138" s="189"/>
    </row>
    <row r="139" spans="1:10" ht="28.15" thickBot="1">
      <c r="A139" s="189"/>
      <c r="B139" s="215" t="s">
        <v>365</v>
      </c>
      <c r="C139" s="244">
        <f>$C$136*$C$137*(C135/(C135+$C$134))</f>
        <v>585045.02137222479</v>
      </c>
      <c r="D139" s="217" t="s">
        <v>366</v>
      </c>
      <c r="E139" s="245" t="s">
        <v>368</v>
      </c>
      <c r="F139" s="189"/>
      <c r="G139" t="s">
        <v>369</v>
      </c>
    </row>
    <row r="140" spans="1:10" ht="15" thickBot="1">
      <c r="B140" s="189"/>
      <c r="C140" s="189"/>
      <c r="D140" s="189"/>
      <c r="E140" s="189"/>
      <c r="F140" s="189"/>
    </row>
    <row r="141" spans="1:10" ht="18">
      <c r="A141" s="97" t="s">
        <v>370</v>
      </c>
      <c r="B141" s="392" t="s">
        <v>371</v>
      </c>
      <c r="C141" s="393"/>
      <c r="D141" s="393"/>
      <c r="E141" s="394"/>
      <c r="F141" s="189"/>
    </row>
    <row r="142" spans="1:10" ht="18">
      <c r="A142" s="97"/>
      <c r="B142" s="190" t="s">
        <v>137</v>
      </c>
      <c r="C142" s="191" t="s">
        <v>138</v>
      </c>
      <c r="D142" s="191" t="s">
        <v>6</v>
      </c>
      <c r="E142" s="246" t="s">
        <v>372</v>
      </c>
      <c r="F142" s="189"/>
    </row>
    <row r="143" spans="1:10" ht="18">
      <c r="A143" s="97"/>
      <c r="B143" s="193" t="s">
        <v>331</v>
      </c>
      <c r="C143" s="247">
        <f>C16</f>
        <v>0.9</v>
      </c>
      <c r="D143" s="195" t="s">
        <v>28</v>
      </c>
      <c r="E143" s="201" t="s">
        <v>301</v>
      </c>
      <c r="F143" s="189"/>
      <c r="G143" s="248"/>
      <c r="J143" s="248"/>
    </row>
    <row r="144" spans="1:10" ht="18">
      <c r="A144" s="97"/>
      <c r="F144" s="189"/>
      <c r="G144" s="248"/>
      <c r="J144" s="248"/>
    </row>
    <row r="145" spans="1:17" ht="18">
      <c r="A145" s="97"/>
      <c r="B145" s="193" t="s">
        <v>373</v>
      </c>
      <c r="C145" s="249">
        <f>1000+273</f>
        <v>1273</v>
      </c>
      <c r="D145" s="195" t="s">
        <v>115</v>
      </c>
      <c r="E145" s="201" t="s">
        <v>374</v>
      </c>
      <c r="F145" s="189"/>
      <c r="G145" s="248"/>
      <c r="J145" s="248"/>
    </row>
    <row r="146" spans="1:17" ht="18">
      <c r="A146" s="97"/>
      <c r="B146" s="193" t="s">
        <v>375</v>
      </c>
      <c r="C146" s="234">
        <f>C111*(C145/273)</f>
        <v>430.06048426197702</v>
      </c>
      <c r="D146" s="195" t="s">
        <v>48</v>
      </c>
      <c r="E146" s="243" t="s">
        <v>376</v>
      </c>
      <c r="F146" s="189"/>
      <c r="G146" s="248"/>
      <c r="J146" s="248"/>
    </row>
    <row r="147" spans="1:17" ht="18">
      <c r="A147" s="97"/>
      <c r="B147" s="193" t="s">
        <v>377</v>
      </c>
      <c r="C147" s="250">
        <v>20</v>
      </c>
      <c r="D147" s="195" t="s">
        <v>51</v>
      </c>
      <c r="E147" s="201" t="s">
        <v>374</v>
      </c>
      <c r="F147" s="189"/>
      <c r="G147" s="248"/>
      <c r="J147" s="248"/>
    </row>
    <row r="148" spans="1:17" ht="18">
      <c r="A148" s="97"/>
      <c r="B148" s="193" t="s">
        <v>378</v>
      </c>
      <c r="C148" s="234">
        <f>C146/(PI()*((C143^2)/4))</f>
        <v>676.01236443247308</v>
      </c>
      <c r="D148" s="195" t="s">
        <v>51</v>
      </c>
      <c r="E148" s="201" t="s">
        <v>379</v>
      </c>
      <c r="F148" s="189"/>
      <c r="G148" s="248"/>
      <c r="J148" s="248"/>
    </row>
    <row r="149" spans="1:17" ht="27.6">
      <c r="A149" s="97"/>
      <c r="B149" s="193" t="s">
        <v>380</v>
      </c>
      <c r="C149" s="251">
        <f>(0.1066*(((C145/(C135*(C145-C135)))*(C132/C147))^0.5))*0.3048</f>
        <v>11.49516245211364</v>
      </c>
      <c r="D149" s="195" t="s">
        <v>28</v>
      </c>
      <c r="E149" s="243" t="s">
        <v>381</v>
      </c>
      <c r="F149" s="189"/>
      <c r="G149" s="248"/>
      <c r="J149" s="248"/>
    </row>
    <row r="150" spans="1:17" ht="18.600000000000001" thickBot="1">
      <c r="A150" s="97"/>
      <c r="B150" s="215" t="s">
        <v>382</v>
      </c>
      <c r="C150" s="252">
        <f>0.000988*(C130*(1-C131))^0.5</f>
        <v>11.407902643103336</v>
      </c>
      <c r="D150" s="217" t="s">
        <v>28</v>
      </c>
      <c r="E150" s="245" t="s">
        <v>383</v>
      </c>
      <c r="F150" s="189"/>
      <c r="G150" s="253"/>
    </row>
    <row r="151" spans="1:17" ht="18.600000000000001" thickBot="1">
      <c r="A151" s="97"/>
      <c r="B151" s="189"/>
      <c r="C151" s="317">
        <f>(((3.7*10^(-5))*C133*4)/(((C145-C135)/C145)*9.806*C147))^0.5</f>
        <v>11.40375646838924</v>
      </c>
      <c r="D151" s="189"/>
      <c r="E151" s="189"/>
      <c r="F151" s="189"/>
      <c r="G151" s="248"/>
      <c r="H151" s="407" t="s">
        <v>384</v>
      </c>
      <c r="I151" s="408"/>
      <c r="J151" s="254"/>
      <c r="K151" s="254"/>
      <c r="L151" s="254"/>
      <c r="M151" s="248"/>
    </row>
    <row r="152" spans="1:17" ht="18">
      <c r="A152" s="97"/>
      <c r="B152" s="392" t="s">
        <v>385</v>
      </c>
      <c r="C152" s="393"/>
      <c r="D152" s="393"/>
      <c r="E152" s="394"/>
      <c r="F152" s="189"/>
      <c r="G152" s="248"/>
      <c r="H152" s="255" t="s">
        <v>386</v>
      </c>
      <c r="I152" s="255">
        <v>0.45359240000000001</v>
      </c>
      <c r="J152" s="254"/>
      <c r="K152" s="254"/>
      <c r="L152" s="254"/>
      <c r="M152" s="248"/>
    </row>
    <row r="153" spans="1:17" ht="18">
      <c r="A153" s="97"/>
      <c r="B153" s="190" t="s">
        <v>137</v>
      </c>
      <c r="C153" s="191" t="s">
        <v>138</v>
      </c>
      <c r="D153" s="191" t="s">
        <v>6</v>
      </c>
      <c r="E153" s="246" t="s">
        <v>372</v>
      </c>
      <c r="F153" s="189"/>
      <c r="G153" s="248"/>
      <c r="H153" s="255" t="s">
        <v>387</v>
      </c>
      <c r="I153" s="255">
        <f>I152*1000</f>
        <v>453.5924</v>
      </c>
      <c r="J153" s="254"/>
      <c r="K153" s="254"/>
      <c r="L153" s="254"/>
      <c r="M153" s="248"/>
    </row>
    <row r="154" spans="1:17" ht="18">
      <c r="A154" s="97"/>
      <c r="B154" s="193" t="s">
        <v>388</v>
      </c>
      <c r="C154" s="240">
        <f>C15</f>
        <v>65</v>
      </c>
      <c r="D154" s="195" t="s">
        <v>28</v>
      </c>
      <c r="E154" s="201" t="s">
        <v>301</v>
      </c>
      <c r="F154" s="189"/>
      <c r="G154" s="248"/>
      <c r="H154" s="255" t="s">
        <v>389</v>
      </c>
      <c r="I154" s="255">
        <v>1.055056</v>
      </c>
      <c r="J154" s="254"/>
      <c r="K154" s="254"/>
      <c r="L154" s="254"/>
      <c r="M154" s="248"/>
    </row>
    <row r="155" spans="1:17" ht="18">
      <c r="A155" s="97"/>
      <c r="B155" s="193" t="s">
        <v>388</v>
      </c>
      <c r="C155" s="256">
        <f>C154*3.280839895</f>
        <v>213.25459317500002</v>
      </c>
      <c r="D155" s="195" t="s">
        <v>390</v>
      </c>
      <c r="E155" s="201" t="s">
        <v>391</v>
      </c>
      <c r="F155" s="189"/>
      <c r="G155" s="248"/>
      <c r="H155" s="255" t="s">
        <v>392</v>
      </c>
      <c r="I155" s="255">
        <f>I154*1000000</f>
        <v>1055056</v>
      </c>
      <c r="J155" s="254"/>
      <c r="K155" s="254"/>
      <c r="L155" s="254"/>
      <c r="M155" s="248"/>
    </row>
    <row r="156" spans="1:17" ht="18">
      <c r="A156" s="97"/>
      <c r="B156" s="193" t="s">
        <v>393</v>
      </c>
      <c r="C156" s="256">
        <f>(C155+((0.00754)*(C132^0.478)))/3.280839895</f>
        <v>99.857603906914875</v>
      </c>
      <c r="D156" s="195" t="s">
        <v>28</v>
      </c>
      <c r="E156" s="201" t="s">
        <v>394</v>
      </c>
      <c r="F156" s="257">
        <f>0.00456*(1/4.1868)^0.478*3.280839895</f>
        <v>7.5455374856402083E-3</v>
      </c>
      <c r="G156" s="248"/>
      <c r="H156" s="255" t="s">
        <v>395</v>
      </c>
      <c r="I156" s="255">
        <f>I155/1000000</f>
        <v>1.055056</v>
      </c>
      <c r="J156" s="254"/>
      <c r="K156" s="254"/>
      <c r="L156" s="254"/>
      <c r="M156" s="248"/>
    </row>
    <row r="157" spans="1:17" ht="18.600000000000001" thickBot="1">
      <c r="A157" s="97"/>
      <c r="B157" s="215" t="s">
        <v>396</v>
      </c>
      <c r="C157" s="258">
        <f>C154+((0.00456)*((C132/4.1868)^0.478))</f>
        <v>99.883203838093493</v>
      </c>
      <c r="D157" s="217" t="s">
        <v>28</v>
      </c>
      <c r="E157" s="259" t="s">
        <v>397</v>
      </c>
      <c r="F157" s="189"/>
      <c r="G157" s="248"/>
      <c r="H157" s="255" t="s">
        <v>384</v>
      </c>
      <c r="I157" s="255">
        <f>I153/I156</f>
        <v>429.92258230842725</v>
      </c>
      <c r="J157" s="254"/>
      <c r="K157" s="254"/>
      <c r="L157" s="254"/>
      <c r="M157" s="248"/>
    </row>
    <row r="158" spans="1:17" ht="18.600000000000001" thickBot="1">
      <c r="A158" s="97"/>
      <c r="B158" s="189"/>
      <c r="C158" s="189"/>
      <c r="D158" s="189"/>
      <c r="E158" s="189"/>
      <c r="F158" s="189"/>
      <c r="G158" s="248"/>
      <c r="H158" s="254"/>
      <c r="I158" s="254"/>
      <c r="J158" s="254"/>
      <c r="K158" s="254"/>
      <c r="L158" s="254"/>
      <c r="M158" s="248"/>
    </row>
    <row r="159" spans="1:17" ht="18.75" customHeight="1" thickBot="1">
      <c r="A159" s="97" t="s">
        <v>398</v>
      </c>
      <c r="B159" s="392" t="s">
        <v>399</v>
      </c>
      <c r="C159" s="393"/>
      <c r="D159" s="393"/>
      <c r="E159" s="394"/>
      <c r="F159" s="189"/>
      <c r="G159" s="395" t="s">
        <v>400</v>
      </c>
      <c r="H159" s="395"/>
      <c r="I159" s="395"/>
      <c r="J159" s="395"/>
      <c r="K159" s="395"/>
      <c r="L159" s="395"/>
      <c r="M159" s="395"/>
    </row>
    <row r="160" spans="1:17" ht="15" customHeight="1">
      <c r="A160" s="189"/>
      <c r="B160" s="190" t="s">
        <v>137</v>
      </c>
      <c r="C160" s="191" t="s">
        <v>138</v>
      </c>
      <c r="D160" s="191" t="s">
        <v>6</v>
      </c>
      <c r="E160" s="192" t="s">
        <v>139</v>
      </c>
      <c r="F160" s="189"/>
      <c r="G160" s="396" t="s">
        <v>401</v>
      </c>
      <c r="H160" s="397"/>
      <c r="I160" s="397"/>
      <c r="J160" s="397"/>
      <c r="K160" s="397"/>
      <c r="L160" s="397"/>
      <c r="M160" s="397"/>
      <c r="N160" s="398" t="s">
        <v>402</v>
      </c>
      <c r="O160" s="399"/>
      <c r="P160" s="399"/>
      <c r="Q160" s="400"/>
    </row>
    <row r="161" spans="1:17">
      <c r="A161" s="189"/>
      <c r="B161" s="193" t="s">
        <v>403</v>
      </c>
      <c r="C161" s="261">
        <f t="shared" ref="C161:C169" si="22">$C$107*E161*1000000</f>
        <v>21.972471469241608</v>
      </c>
      <c r="D161" s="195" t="s">
        <v>68</v>
      </c>
      <c r="E161" s="262">
        <f>L162</f>
        <v>4.2424723673515572E-4</v>
      </c>
      <c r="F161" s="189"/>
      <c r="G161" s="263" t="s">
        <v>150</v>
      </c>
      <c r="H161" s="263" t="s">
        <v>404</v>
      </c>
      <c r="I161" s="263" t="s">
        <v>405</v>
      </c>
      <c r="J161" s="260" t="s">
        <v>404</v>
      </c>
      <c r="K161" s="260" t="s">
        <v>405</v>
      </c>
      <c r="L161" s="263" t="s">
        <v>404</v>
      </c>
      <c r="M161" s="264" t="s">
        <v>405</v>
      </c>
      <c r="N161" s="265" t="s">
        <v>404</v>
      </c>
      <c r="O161" s="260" t="s">
        <v>405</v>
      </c>
      <c r="P161" s="260" t="s">
        <v>404</v>
      </c>
      <c r="Q161" s="266" t="s">
        <v>405</v>
      </c>
    </row>
    <row r="162" spans="1:17">
      <c r="A162" s="189"/>
      <c r="B162" s="193" t="s">
        <v>406</v>
      </c>
      <c r="C162" s="267">
        <f t="shared" si="22"/>
        <v>100.16861993330731</v>
      </c>
      <c r="D162" s="195" t="s">
        <v>68</v>
      </c>
      <c r="E162" s="262">
        <f>L164</f>
        <v>1.9340682851161507E-3</v>
      </c>
      <c r="F162" s="189"/>
      <c r="G162" s="268" t="s">
        <v>407</v>
      </c>
      <c r="H162" s="269">
        <f>J162*$I$157</f>
        <v>29.234735596973056</v>
      </c>
      <c r="I162" s="268" t="s">
        <v>408</v>
      </c>
      <c r="J162" s="270">
        <v>6.8000000000000005E-2</v>
      </c>
      <c r="K162" s="271" t="s">
        <v>409</v>
      </c>
      <c r="L162" s="272">
        <f>(H162*$C$50)/1000000</f>
        <v>4.2424723673515572E-4</v>
      </c>
      <c r="M162" s="273" t="s">
        <v>410</v>
      </c>
      <c r="N162" s="274">
        <f>P162/1020</f>
        <v>0.18627450980392157</v>
      </c>
      <c r="O162" s="271" t="s">
        <v>409</v>
      </c>
      <c r="P162" s="270">
        <v>190</v>
      </c>
      <c r="Q162" s="275" t="s">
        <v>411</v>
      </c>
    </row>
    <row r="163" spans="1:17">
      <c r="A163" s="189"/>
      <c r="B163" s="193" t="s">
        <v>412</v>
      </c>
      <c r="C163" s="276">
        <f t="shared" si="22"/>
        <v>65.850674580472983</v>
      </c>
      <c r="D163" s="195" t="s">
        <v>68</v>
      </c>
      <c r="E163" s="277">
        <f>(1-C128)*$G$43</f>
        <v>1.2714530892448525E-3</v>
      </c>
      <c r="F163" s="189"/>
      <c r="G163" s="268" t="s">
        <v>413</v>
      </c>
      <c r="H163" s="269">
        <f>J163*$I$157</f>
        <v>11.607909722327536</v>
      </c>
      <c r="I163" s="268" t="s">
        <v>408</v>
      </c>
      <c r="J163" s="270">
        <v>2.7E-2</v>
      </c>
      <c r="K163" s="271" t="s">
        <v>409</v>
      </c>
      <c r="L163" s="272">
        <f>(H163*$C$50)/1000000</f>
        <v>1.6845110870366474E-4</v>
      </c>
      <c r="M163" s="273" t="s">
        <v>410</v>
      </c>
      <c r="N163" s="278">
        <f>P163/4.2*177</f>
        <v>21.492857142857144</v>
      </c>
      <c r="O163" s="271" t="s">
        <v>414</v>
      </c>
      <c r="P163" s="270">
        <v>0.51</v>
      </c>
      <c r="Q163" s="275" t="s">
        <v>415</v>
      </c>
    </row>
    <row r="164" spans="1:17" ht="18.75" customHeight="1">
      <c r="A164" s="189"/>
      <c r="B164" s="193" t="s">
        <v>416</v>
      </c>
      <c r="C164" s="267">
        <f t="shared" si="22"/>
        <v>8.7243636716106359</v>
      </c>
      <c r="D164" s="195" t="s">
        <v>68</v>
      </c>
      <c r="E164" s="262">
        <f>L163</f>
        <v>1.6845110870366474E-4</v>
      </c>
      <c r="F164" s="189"/>
      <c r="G164" s="268" t="s">
        <v>66</v>
      </c>
      <c r="H164" s="269">
        <f>J164*$I$157</f>
        <v>133.27600051561245</v>
      </c>
      <c r="I164" s="268" t="s">
        <v>408</v>
      </c>
      <c r="J164" s="270">
        <v>0.31</v>
      </c>
      <c r="K164" s="271" t="s">
        <v>409</v>
      </c>
      <c r="L164" s="272">
        <f>(H164*$C$50)/1000000</f>
        <v>1.9340682851161507E-3</v>
      </c>
      <c r="M164" s="273" t="s">
        <v>410</v>
      </c>
      <c r="N164" s="274">
        <f>P164/1020</f>
        <v>8.2352941176470587E-2</v>
      </c>
      <c r="O164" s="271" t="s">
        <v>409</v>
      </c>
      <c r="P164" s="270">
        <v>84</v>
      </c>
      <c r="Q164" s="275" t="s">
        <v>411</v>
      </c>
    </row>
    <row r="165" spans="1:17" ht="15" thickBot="1">
      <c r="A165" s="189"/>
      <c r="B165" s="279" t="s">
        <v>417</v>
      </c>
      <c r="C165" s="267">
        <f t="shared" si="22"/>
        <v>0</v>
      </c>
      <c r="D165" s="280" t="s">
        <v>68</v>
      </c>
      <c r="E165" s="281">
        <f>E166+E167/64*34</f>
        <v>0</v>
      </c>
      <c r="F165" s="189"/>
      <c r="G165" s="401" t="s">
        <v>418</v>
      </c>
      <c r="H165" s="402"/>
      <c r="I165" s="402"/>
      <c r="J165" s="402"/>
      <c r="K165" s="402"/>
      <c r="L165" s="402"/>
      <c r="M165" s="403"/>
      <c r="N165" s="282"/>
      <c r="O165" s="283"/>
      <c r="P165" s="283"/>
      <c r="Q165" s="284"/>
    </row>
    <row r="166" spans="1:17">
      <c r="A166" s="189"/>
      <c r="B166" s="279" t="s">
        <v>419</v>
      </c>
      <c r="C166" s="285">
        <f t="shared" si="22"/>
        <v>0</v>
      </c>
      <c r="D166" s="280" t="s">
        <v>68</v>
      </c>
      <c r="E166" s="281">
        <f>(E167/64*34)/95%*5%</f>
        <v>0</v>
      </c>
      <c r="F166" s="189"/>
      <c r="N166" s="248"/>
    </row>
    <row r="167" spans="1:17">
      <c r="A167" s="189"/>
      <c r="B167" s="279" t="s">
        <v>420</v>
      </c>
      <c r="C167" s="267">
        <f t="shared" si="22"/>
        <v>0</v>
      </c>
      <c r="D167" s="280" t="s">
        <v>68</v>
      </c>
      <c r="E167" s="281">
        <f>L168</f>
        <v>0</v>
      </c>
      <c r="F167" s="189"/>
      <c r="G167" s="268" t="s">
        <v>421</v>
      </c>
      <c r="H167" s="269"/>
      <c r="I167" s="268"/>
      <c r="J167" s="270"/>
      <c r="K167" s="271"/>
      <c r="L167" s="272"/>
      <c r="M167" s="268" t="s">
        <v>410</v>
      </c>
    </row>
    <row r="168" spans="1:17">
      <c r="A168" s="189"/>
      <c r="B168" s="279" t="s">
        <v>422</v>
      </c>
      <c r="C168" s="285">
        <f t="shared" si="22"/>
        <v>0</v>
      </c>
      <c r="D168" s="280" t="s">
        <v>68</v>
      </c>
      <c r="E168" s="286"/>
      <c r="F168" s="189"/>
      <c r="G168" s="268" t="s">
        <v>423</v>
      </c>
      <c r="H168" s="269"/>
      <c r="I168" s="268"/>
      <c r="J168" s="270"/>
      <c r="K168" s="271"/>
      <c r="L168" s="272">
        <f>G24/D24*64</f>
        <v>0</v>
      </c>
      <c r="M168" s="268" t="s">
        <v>410</v>
      </c>
    </row>
    <row r="169" spans="1:17" ht="15" thickBot="1">
      <c r="A169" s="189"/>
      <c r="B169" s="215" t="s">
        <v>424</v>
      </c>
      <c r="C169" s="285">
        <f t="shared" si="22"/>
        <v>0</v>
      </c>
      <c r="D169" s="217" t="s">
        <v>68</v>
      </c>
      <c r="E169" s="287"/>
      <c r="F169" s="189"/>
      <c r="G169" s="189"/>
      <c r="H169" s="189"/>
      <c r="I169" s="189"/>
      <c r="J169" s="189"/>
      <c r="K169" s="189"/>
      <c r="L169" s="189"/>
      <c r="M169" s="189"/>
    </row>
    <row r="170" spans="1:17" ht="15" thickBot="1">
      <c r="A170" s="189"/>
      <c r="B170" s="189"/>
      <c r="C170" s="189"/>
      <c r="D170" s="189"/>
      <c r="E170" s="189"/>
      <c r="F170" s="189"/>
    </row>
    <row r="171" spans="1:17" ht="18.75" customHeight="1">
      <c r="A171" s="189"/>
      <c r="B171" s="389" t="s">
        <v>425</v>
      </c>
      <c r="C171" s="390"/>
      <c r="D171" s="288"/>
      <c r="E171" s="389" t="s">
        <v>425</v>
      </c>
      <c r="F171" s="391"/>
      <c r="G171" s="391"/>
      <c r="H171" s="391"/>
      <c r="I171" s="390"/>
    </row>
    <row r="172" spans="1:17">
      <c r="A172" s="189"/>
      <c r="B172" s="193" t="s">
        <v>128</v>
      </c>
      <c r="C172" s="201" t="str">
        <f>C2</f>
        <v>H2T</v>
      </c>
      <c r="D172" s="189"/>
      <c r="E172" s="193" t="s">
        <v>128</v>
      </c>
      <c r="F172" s="195"/>
      <c r="G172" s="195"/>
      <c r="H172" s="195"/>
      <c r="I172" s="201"/>
    </row>
    <row r="173" spans="1:17" ht="27.6">
      <c r="A173" s="189"/>
      <c r="B173" s="193" t="s">
        <v>130</v>
      </c>
      <c r="C173" s="289" t="str">
        <f>C3</f>
        <v>LP Flare Package BH001-PR-SPE-014-00009_B01.pdf</v>
      </c>
      <c r="D173" s="189"/>
      <c r="E173" s="193" t="s">
        <v>130</v>
      </c>
      <c r="F173" s="290"/>
      <c r="G173" s="290"/>
      <c r="H173" s="290"/>
      <c r="I173" s="289"/>
    </row>
    <row r="174" spans="1:17">
      <c r="A174" s="189"/>
      <c r="B174" s="193" t="s">
        <v>132</v>
      </c>
      <c r="C174" s="201" t="str">
        <f>C4</f>
        <v>Flare Case1</v>
      </c>
      <c r="D174" s="189"/>
      <c r="E174" s="193" t="s">
        <v>132</v>
      </c>
      <c r="F174" s="195"/>
      <c r="G174" s="195"/>
      <c r="H174" s="195"/>
      <c r="I174" s="201"/>
    </row>
    <row r="175" spans="1:17">
      <c r="A175" s="189"/>
      <c r="B175" s="291" t="s">
        <v>426</v>
      </c>
      <c r="C175" s="292">
        <f>C15</f>
        <v>65</v>
      </c>
      <c r="D175" s="189"/>
      <c r="E175" s="291" t="s">
        <v>426</v>
      </c>
      <c r="F175" s="293"/>
      <c r="G175" s="293"/>
      <c r="H175" s="293"/>
      <c r="I175" s="292"/>
    </row>
    <row r="176" spans="1:17">
      <c r="A176" s="189"/>
      <c r="B176" s="291" t="s">
        <v>427</v>
      </c>
      <c r="C176" s="294">
        <f>C116</f>
        <v>0.9</v>
      </c>
      <c r="D176" s="189"/>
      <c r="E176" s="291" t="s">
        <v>427</v>
      </c>
      <c r="F176" s="295"/>
      <c r="G176" s="295"/>
      <c r="H176" s="295"/>
      <c r="I176" s="294"/>
    </row>
    <row r="177" spans="1:9">
      <c r="A177" s="189"/>
      <c r="B177" s="291" t="s">
        <v>428</v>
      </c>
      <c r="C177" s="294">
        <f>C108</f>
        <v>296.85916790878571</v>
      </c>
      <c r="D177" s="189"/>
      <c r="E177" s="291" t="s">
        <v>428</v>
      </c>
      <c r="F177" s="296"/>
      <c r="G177" s="296"/>
      <c r="H177" s="297"/>
      <c r="I177" s="298"/>
    </row>
    <row r="178" spans="1:9">
      <c r="A178" s="189"/>
      <c r="B178" s="291" t="s">
        <v>429</v>
      </c>
      <c r="C178" s="299">
        <f>C105</f>
        <v>186.45</v>
      </c>
      <c r="D178" s="189"/>
      <c r="E178" s="291" t="s">
        <v>429</v>
      </c>
      <c r="F178" s="300"/>
      <c r="G178" s="300"/>
      <c r="H178" s="301"/>
      <c r="I178" s="302"/>
    </row>
    <row r="179" spans="1:9">
      <c r="A179" s="189"/>
      <c r="B179" s="291" t="s">
        <v>430</v>
      </c>
      <c r="C179" s="302">
        <f>C127</f>
        <v>751.58782935996931</v>
      </c>
      <c r="D179" s="189"/>
      <c r="E179" s="291" t="s">
        <v>430</v>
      </c>
      <c r="F179" s="303"/>
      <c r="G179" s="303"/>
      <c r="H179" s="303"/>
      <c r="I179" s="304"/>
    </row>
    <row r="180" spans="1:9">
      <c r="A180" s="189"/>
      <c r="B180" s="305" t="s">
        <v>431</v>
      </c>
      <c r="C180" s="306"/>
      <c r="D180" s="189"/>
      <c r="E180" s="307" t="s">
        <v>431</v>
      </c>
      <c r="F180" s="308"/>
      <c r="G180" s="308"/>
      <c r="H180" s="308"/>
      <c r="I180" s="309"/>
    </row>
    <row r="181" spans="1:9">
      <c r="A181" s="189"/>
      <c r="B181" s="310" t="s">
        <v>432</v>
      </c>
      <c r="C181" s="311">
        <f>C138</f>
        <v>16428.609529256781</v>
      </c>
      <c r="D181" s="189"/>
      <c r="E181" s="310" t="s">
        <v>432</v>
      </c>
      <c r="F181" s="312"/>
      <c r="G181" s="312"/>
      <c r="H181" s="312"/>
      <c r="I181" s="311"/>
    </row>
    <row r="182" spans="1:9">
      <c r="A182" s="189"/>
      <c r="B182" s="310" t="s">
        <v>433</v>
      </c>
      <c r="C182" s="311">
        <f>C132/1000000</f>
        <v>558.05396329977714</v>
      </c>
      <c r="D182" s="189"/>
      <c r="E182" s="310" t="s">
        <v>433</v>
      </c>
      <c r="F182" s="312"/>
      <c r="G182" s="312"/>
      <c r="H182" s="312"/>
      <c r="I182" s="311"/>
    </row>
    <row r="183" spans="1:9">
      <c r="A183" s="189"/>
      <c r="B183" s="291" t="s">
        <v>434</v>
      </c>
      <c r="C183" s="304">
        <f>C187</f>
        <v>2328.9679829568399</v>
      </c>
      <c r="D183" s="313"/>
      <c r="E183" s="291" t="s">
        <v>434</v>
      </c>
      <c r="F183" s="314"/>
      <c r="G183" s="314"/>
      <c r="H183" s="314"/>
      <c r="I183" s="315"/>
    </row>
    <row r="184" spans="1:9">
      <c r="A184" s="189"/>
      <c r="B184" s="291" t="s">
        <v>435</v>
      </c>
      <c r="C184" s="316">
        <f>C181/(C182*1000000/(1012*1.225*(C183-C135)))</f>
        <v>74.480997498757958</v>
      </c>
      <c r="D184" s="317"/>
      <c r="E184" s="318" t="s">
        <v>435</v>
      </c>
      <c r="F184" s="319"/>
      <c r="G184" s="319"/>
      <c r="H184" s="319"/>
      <c r="I184" s="316"/>
    </row>
    <row r="185" spans="1:9">
      <c r="A185" s="189"/>
      <c r="B185" s="291" t="s">
        <v>436</v>
      </c>
      <c r="C185" s="320">
        <f>2*SQRT((C183/C135)*C182/PI())/C184</f>
        <v>1.0174665034729684</v>
      </c>
      <c r="D185" s="189"/>
      <c r="E185" s="291" t="s">
        <v>436</v>
      </c>
      <c r="F185" s="319"/>
      <c r="G185" s="319"/>
      <c r="H185" s="319"/>
      <c r="I185" s="316"/>
    </row>
    <row r="186" spans="1:9" ht="18.75" customHeight="1">
      <c r="A186" s="189"/>
      <c r="B186" s="305" t="s">
        <v>437</v>
      </c>
      <c r="C186" s="306"/>
      <c r="D186" s="189"/>
      <c r="E186" s="307" t="s">
        <v>437</v>
      </c>
      <c r="F186" s="308"/>
      <c r="G186" s="308"/>
      <c r="H186" s="308"/>
      <c r="I186" s="309"/>
    </row>
    <row r="187" spans="1:9">
      <c r="A187" s="189"/>
      <c r="B187" s="291" t="s">
        <v>438</v>
      </c>
      <c r="C187" s="304">
        <f>C134+C135</f>
        <v>2328.9679829568399</v>
      </c>
      <c r="D187" s="189"/>
      <c r="E187" s="291" t="s">
        <v>438</v>
      </c>
      <c r="F187" s="303"/>
      <c r="G187" s="303"/>
      <c r="H187" s="303"/>
      <c r="I187" s="304"/>
    </row>
    <row r="188" spans="1:9">
      <c r="A188" s="189"/>
      <c r="B188" s="291" t="s">
        <v>439</v>
      </c>
      <c r="C188" s="321">
        <f>C143</f>
        <v>0.9</v>
      </c>
      <c r="D188" s="189"/>
      <c r="E188" s="291" t="s">
        <v>439</v>
      </c>
      <c r="F188" s="322"/>
      <c r="G188" s="322"/>
      <c r="H188" s="322"/>
      <c r="I188" s="321"/>
    </row>
    <row r="189" spans="1:9">
      <c r="A189" s="189"/>
      <c r="B189" s="291" t="s">
        <v>440</v>
      </c>
      <c r="C189" s="304">
        <f>C137</f>
        <v>2726.3376492624006</v>
      </c>
      <c r="D189" s="189"/>
      <c r="E189" s="291" t="s">
        <v>440</v>
      </c>
      <c r="F189" s="300"/>
      <c r="G189" s="300"/>
      <c r="H189" s="300"/>
      <c r="I189" s="302"/>
    </row>
    <row r="190" spans="1:9">
      <c r="A190" s="189"/>
      <c r="B190" s="305" t="s">
        <v>441</v>
      </c>
      <c r="C190" s="306"/>
      <c r="D190" s="189"/>
      <c r="E190" s="307" t="s">
        <v>441</v>
      </c>
      <c r="F190" s="308"/>
      <c r="G190" s="308"/>
      <c r="H190" s="308"/>
      <c r="I190" s="309"/>
    </row>
    <row r="191" spans="1:9" ht="18.75" customHeight="1">
      <c r="B191" s="291" t="s">
        <v>438</v>
      </c>
      <c r="C191" s="304">
        <f>C145</f>
        <v>1273</v>
      </c>
      <c r="D191" s="189"/>
      <c r="E191" s="291" t="s">
        <v>438</v>
      </c>
      <c r="F191" s="303"/>
      <c r="G191" s="303"/>
      <c r="H191" s="303"/>
      <c r="I191" s="304"/>
    </row>
    <row r="192" spans="1:9">
      <c r="B192" s="291" t="s">
        <v>439</v>
      </c>
      <c r="C192" s="321">
        <f>C150</f>
        <v>11.407902643103336</v>
      </c>
      <c r="D192" s="189"/>
      <c r="E192" s="291" t="s">
        <v>439</v>
      </c>
      <c r="F192" s="322"/>
      <c r="G192" s="322"/>
      <c r="H192" s="322"/>
      <c r="I192" s="321"/>
    </row>
    <row r="193" spans="2:9">
      <c r="B193" s="291" t="s">
        <v>440</v>
      </c>
      <c r="C193" s="302">
        <f>C147</f>
        <v>20</v>
      </c>
      <c r="D193" s="189"/>
      <c r="E193" s="291" t="s">
        <v>440</v>
      </c>
      <c r="F193" s="300"/>
      <c r="G193" s="300"/>
      <c r="H193" s="300"/>
      <c r="I193" s="302"/>
    </row>
    <row r="194" spans="2:9">
      <c r="B194" s="323" t="s">
        <v>442</v>
      </c>
      <c r="C194" s="324"/>
      <c r="D194" s="189"/>
      <c r="E194" s="325" t="s">
        <v>442</v>
      </c>
      <c r="F194" s="326"/>
      <c r="G194" s="326"/>
      <c r="H194" s="326"/>
      <c r="I194" s="327"/>
    </row>
    <row r="195" spans="2:9">
      <c r="B195" s="328" t="s">
        <v>443</v>
      </c>
      <c r="C195" s="329">
        <f>C161</f>
        <v>21.972471469241608</v>
      </c>
      <c r="D195" s="189"/>
      <c r="E195" s="330" t="s">
        <v>443</v>
      </c>
      <c r="F195" s="331">
        <f t="shared" ref="F195:F200" si="23">H195*1000000/3600</f>
        <v>4805.5555555555557</v>
      </c>
      <c r="G195" s="107" t="s">
        <v>23</v>
      </c>
      <c r="H195" s="107">
        <v>17.3</v>
      </c>
      <c r="I195" s="329"/>
    </row>
    <row r="196" spans="2:9">
      <c r="B196" s="328" t="s">
        <v>444</v>
      </c>
      <c r="C196" s="332">
        <f>C162</f>
        <v>100.16861993330731</v>
      </c>
      <c r="D196" s="189"/>
      <c r="E196" s="330" t="s">
        <v>444</v>
      </c>
      <c r="F196" s="331">
        <f t="shared" si="23"/>
        <v>2125</v>
      </c>
      <c r="G196" s="107" t="s">
        <v>23</v>
      </c>
      <c r="H196" s="107">
        <v>7.65</v>
      </c>
      <c r="I196" s="329"/>
    </row>
    <row r="197" spans="2:9">
      <c r="B197" s="328" t="s">
        <v>445</v>
      </c>
      <c r="C197" s="332">
        <f>C163</f>
        <v>65.850674580472983</v>
      </c>
      <c r="D197" s="189"/>
      <c r="E197" s="328" t="s">
        <v>445</v>
      </c>
      <c r="F197" s="333">
        <f t="shared" si="23"/>
        <v>0</v>
      </c>
      <c r="G197" s="107" t="s">
        <v>23</v>
      </c>
      <c r="H197" s="107"/>
      <c r="I197" s="329"/>
    </row>
    <row r="198" spans="2:9">
      <c r="B198" s="328" t="s">
        <v>446</v>
      </c>
      <c r="C198" s="334">
        <f>C164</f>
        <v>8.7243636716106359</v>
      </c>
      <c r="D198" s="189"/>
      <c r="E198" s="330" t="s">
        <v>446</v>
      </c>
      <c r="F198" s="335">
        <f t="shared" si="23"/>
        <v>0</v>
      </c>
      <c r="G198" s="107"/>
      <c r="H198" s="107"/>
      <c r="I198" s="329"/>
    </row>
    <row r="199" spans="2:9">
      <c r="B199" s="328" t="s">
        <v>447</v>
      </c>
      <c r="C199" s="336">
        <f>C166</f>
        <v>0</v>
      </c>
      <c r="D199" s="189"/>
      <c r="E199" s="330" t="s">
        <v>447</v>
      </c>
      <c r="F199" s="335">
        <f t="shared" si="23"/>
        <v>0</v>
      </c>
      <c r="G199" s="107"/>
      <c r="H199" s="107"/>
      <c r="I199" s="329"/>
    </row>
    <row r="200" spans="2:9" ht="15" thickBot="1">
      <c r="B200" s="337" t="s">
        <v>448</v>
      </c>
      <c r="C200" s="338">
        <f>C167</f>
        <v>0</v>
      </c>
      <c r="D200" s="189"/>
      <c r="E200" s="339" t="s">
        <v>448</v>
      </c>
      <c r="F200" s="340">
        <f t="shared" si="23"/>
        <v>3369.4444444444443</v>
      </c>
      <c r="G200" s="107" t="s">
        <v>23</v>
      </c>
      <c r="H200" s="107">
        <v>12.13</v>
      </c>
      <c r="I200" s="341"/>
    </row>
    <row r="202" spans="2:9">
      <c r="F202" s="120"/>
      <c r="G202" s="120"/>
      <c r="H202" s="120"/>
      <c r="I202" s="120"/>
    </row>
    <row r="203" spans="2:9">
      <c r="F203" s="253"/>
      <c r="G203" s="253"/>
      <c r="H203" s="253"/>
      <c r="I203" s="253"/>
    </row>
  </sheetData>
  <mergeCells count="20">
    <mergeCell ref="B52:F52"/>
    <mergeCell ref="B10:E10"/>
    <mergeCell ref="B19:E19"/>
    <mergeCell ref="F19:K19"/>
    <mergeCell ref="L19:S19"/>
    <mergeCell ref="B46:F46"/>
    <mergeCell ref="N160:Q160"/>
    <mergeCell ref="G165:M165"/>
    <mergeCell ref="B103:E103"/>
    <mergeCell ref="G103:K103"/>
    <mergeCell ref="B113:E113"/>
    <mergeCell ref="B123:E123"/>
    <mergeCell ref="B141:E141"/>
    <mergeCell ref="H151:I151"/>
    <mergeCell ref="B171:C171"/>
    <mergeCell ref="E171:I171"/>
    <mergeCell ref="B152:E152"/>
    <mergeCell ref="B159:E159"/>
    <mergeCell ref="G159:M159"/>
    <mergeCell ref="G160:M160"/>
  </mergeCells>
  <hyperlinks>
    <hyperlink ref="G165" r:id="rId1" xr:uid="{8BF3A2CE-AF35-4BFC-A9A2-CF7966916128}"/>
  </hyperlinks>
  <pageMargins left="0.7" right="0.7" top="0.75" bottom="0.75" header="0.3" footer="0.3"/>
  <pageSetup paperSize="9" orientation="portrait" r:id="rId2"/>
  <drawing r:id="rId3"/>
  <legacy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AC042-A92D-4674-A621-5028B4D071E1}">
  <dimension ref="A1:U203"/>
  <sheetViews>
    <sheetView topLeftCell="A7" workbookViewId="0">
      <selection activeCell="J163" sqref="J163"/>
    </sheetView>
  </sheetViews>
  <sheetFormatPr defaultRowHeight="14.45"/>
  <cols>
    <col min="2" max="2" width="26.140625" customWidth="1"/>
    <col min="3" max="3" width="25.140625" customWidth="1"/>
    <col min="4" max="4" width="14.5703125" customWidth="1"/>
    <col min="5" max="5" width="30.7109375" customWidth="1"/>
    <col min="6" max="6" width="15" customWidth="1"/>
    <col min="7" max="7" width="15.5703125" customWidth="1"/>
    <col min="8" max="8" width="16.28515625" customWidth="1"/>
    <col min="9" max="10" width="14.140625" customWidth="1"/>
    <col min="11" max="11" width="11.85546875" customWidth="1"/>
    <col min="12" max="13" width="11.140625" customWidth="1"/>
    <col min="14" max="14" width="13.140625" bestFit="1" customWidth="1"/>
    <col min="15" max="15" width="10.85546875" customWidth="1"/>
    <col min="16" max="16" width="13.140625" bestFit="1" customWidth="1"/>
    <col min="17" max="17" width="11.140625" bestFit="1" customWidth="1"/>
    <col min="18" max="18" width="11.5703125" customWidth="1"/>
    <col min="19" max="19" width="11.42578125" customWidth="1"/>
    <col min="21" max="21" width="14.28515625" customWidth="1"/>
  </cols>
  <sheetData>
    <row r="1" spans="2:9" ht="15" thickBot="1"/>
    <row r="2" spans="2:9">
      <c r="B2" s="75" t="s">
        <v>128</v>
      </c>
      <c r="C2" s="76" t="s">
        <v>129</v>
      </c>
    </row>
    <row r="3" spans="2:9" ht="27.6">
      <c r="B3" s="77" t="s">
        <v>130</v>
      </c>
      <c r="C3" s="78" t="s">
        <v>283</v>
      </c>
    </row>
    <row r="4" spans="2:9" ht="15" thickBot="1">
      <c r="B4" s="79" t="s">
        <v>132</v>
      </c>
      <c r="C4" s="80" t="s">
        <v>449</v>
      </c>
    </row>
    <row r="6" spans="2:9">
      <c r="C6" s="81" t="s">
        <v>134</v>
      </c>
    </row>
    <row r="7" spans="2:9">
      <c r="C7" s="82" t="s">
        <v>135</v>
      </c>
    </row>
    <row r="9" spans="2:9" ht="15" thickBot="1"/>
    <row r="10" spans="2:9" ht="18">
      <c r="B10" s="380" t="s">
        <v>136</v>
      </c>
      <c r="C10" s="381"/>
      <c r="D10" s="381"/>
      <c r="E10" s="382"/>
    </row>
    <row r="11" spans="2:9">
      <c r="B11" s="83" t="s">
        <v>137</v>
      </c>
      <c r="C11" s="84" t="s">
        <v>138</v>
      </c>
      <c r="D11" s="84" t="s">
        <v>6</v>
      </c>
      <c r="E11" s="85" t="s">
        <v>139</v>
      </c>
    </row>
    <row r="12" spans="2:9">
      <c r="B12" s="86" t="s">
        <v>140</v>
      </c>
      <c r="C12" s="87"/>
      <c r="D12" s="88"/>
      <c r="E12" s="89"/>
    </row>
    <row r="13" spans="2:9">
      <c r="B13" s="86" t="s">
        <v>141</v>
      </c>
      <c r="C13" s="90"/>
      <c r="D13" s="88"/>
      <c r="E13" s="89"/>
    </row>
    <row r="14" spans="2:9">
      <c r="B14" s="86" t="s">
        <v>142</v>
      </c>
      <c r="C14" s="90"/>
      <c r="D14" s="88"/>
      <c r="E14" s="89"/>
      <c r="I14" s="342"/>
    </row>
    <row r="15" spans="2:9">
      <c r="B15" s="86" t="s">
        <v>143</v>
      </c>
      <c r="C15" s="91">
        <v>65</v>
      </c>
      <c r="D15" s="60" t="s">
        <v>28</v>
      </c>
      <c r="E15" s="92"/>
    </row>
    <row r="16" spans="2:9">
      <c r="B16" s="86" t="s">
        <v>144</v>
      </c>
      <c r="C16" s="91">
        <v>0.9</v>
      </c>
      <c r="D16" s="60" t="s">
        <v>28</v>
      </c>
      <c r="E16" s="92"/>
    </row>
    <row r="17" spans="1:21" ht="42" thickBot="1">
      <c r="B17" s="93" t="s">
        <v>145</v>
      </c>
      <c r="C17" s="94">
        <f>20460/1000</f>
        <v>20.46</v>
      </c>
      <c r="D17" s="95" t="s">
        <v>146</v>
      </c>
      <c r="E17" s="96" t="s">
        <v>147</v>
      </c>
    </row>
    <row r="18" spans="1:21" ht="15" thickBot="1"/>
    <row r="19" spans="1:21" ht="18">
      <c r="A19" s="97" t="s">
        <v>148</v>
      </c>
      <c r="B19" s="383" t="s">
        <v>149</v>
      </c>
      <c r="C19" s="384"/>
      <c r="D19" s="384"/>
      <c r="E19" s="385"/>
      <c r="F19" s="383"/>
      <c r="G19" s="384"/>
      <c r="H19" s="384"/>
      <c r="I19" s="384"/>
      <c r="J19" s="384"/>
      <c r="K19" s="385"/>
      <c r="L19" s="383"/>
      <c r="M19" s="384"/>
      <c r="N19" s="384"/>
      <c r="O19" s="384"/>
      <c r="P19" s="384"/>
      <c r="Q19" s="384"/>
      <c r="R19" s="384"/>
      <c r="S19" s="385"/>
    </row>
    <row r="20" spans="1:21" ht="36">
      <c r="B20" s="98" t="s">
        <v>150</v>
      </c>
      <c r="C20" s="99" t="s">
        <v>151</v>
      </c>
      <c r="D20" s="99" t="s">
        <v>152</v>
      </c>
      <c r="E20" s="100" t="s">
        <v>153</v>
      </c>
      <c r="F20" s="98" t="s">
        <v>154</v>
      </c>
      <c r="G20" s="99" t="s">
        <v>155</v>
      </c>
      <c r="H20" s="99" t="s">
        <v>156</v>
      </c>
      <c r="I20" s="99" t="s">
        <v>157</v>
      </c>
      <c r="J20" s="99" t="s">
        <v>158</v>
      </c>
      <c r="K20" s="100" t="s">
        <v>159</v>
      </c>
      <c r="L20" s="98" t="s">
        <v>160</v>
      </c>
      <c r="M20" s="99" t="s">
        <v>161</v>
      </c>
      <c r="N20" s="101" t="s">
        <v>162</v>
      </c>
      <c r="O20" s="101" t="s">
        <v>163</v>
      </c>
      <c r="P20" s="101" t="s">
        <v>164</v>
      </c>
      <c r="Q20" s="101" t="s">
        <v>165</v>
      </c>
      <c r="R20" s="101" t="s">
        <v>166</v>
      </c>
      <c r="S20" s="102" t="s">
        <v>167</v>
      </c>
      <c r="U20" s="103" t="s">
        <v>168</v>
      </c>
    </row>
    <row r="21" spans="1:21">
      <c r="B21" s="104" t="s">
        <v>34</v>
      </c>
      <c r="C21" s="105" t="s">
        <v>101</v>
      </c>
      <c r="D21" s="106">
        <v>28</v>
      </c>
      <c r="E21" s="107">
        <v>0.22</v>
      </c>
      <c r="F21" s="108">
        <f t="shared" ref="F21:F41" si="0">(E21/100*D21)</f>
        <v>6.1600000000000002E-2</v>
      </c>
      <c r="G21" s="109">
        <f t="shared" ref="G21:G41" si="1">F21/F$42</f>
        <v>2.9778594218311902E-2</v>
      </c>
      <c r="H21" s="110" t="s">
        <v>169</v>
      </c>
      <c r="I21" s="110" t="s">
        <v>169</v>
      </c>
      <c r="J21" s="111" t="s">
        <v>169</v>
      </c>
      <c r="K21" s="112" t="s">
        <v>169</v>
      </c>
      <c r="L21" s="108" t="s">
        <v>169</v>
      </c>
      <c r="M21" s="111" t="s">
        <v>169</v>
      </c>
      <c r="N21" s="113" t="s">
        <v>169</v>
      </c>
      <c r="O21" s="113" t="s">
        <v>169</v>
      </c>
      <c r="P21" s="114" t="s">
        <v>169</v>
      </c>
      <c r="Q21" s="114" t="s">
        <v>169</v>
      </c>
      <c r="R21" s="115" t="s">
        <v>169</v>
      </c>
      <c r="S21" s="115" t="s">
        <v>169</v>
      </c>
      <c r="U21" t="e">
        <f>I21*1000*D21</f>
        <v>#VALUE!</v>
      </c>
    </row>
    <row r="22" spans="1:21">
      <c r="B22" s="104" t="s">
        <v>170</v>
      </c>
      <c r="C22" s="105" t="s">
        <v>102</v>
      </c>
      <c r="D22" s="106">
        <v>18</v>
      </c>
      <c r="E22" s="107">
        <v>0</v>
      </c>
      <c r="F22" s="108">
        <f t="shared" si="0"/>
        <v>0</v>
      </c>
      <c r="G22" s="109">
        <f t="shared" si="1"/>
        <v>0</v>
      </c>
      <c r="H22" s="110" t="s">
        <v>169</v>
      </c>
      <c r="I22" s="110" t="s">
        <v>169</v>
      </c>
      <c r="J22" s="111" t="s">
        <v>169</v>
      </c>
      <c r="K22" s="112" t="s">
        <v>169</v>
      </c>
      <c r="L22" s="108" t="s">
        <v>169</v>
      </c>
      <c r="M22" s="111" t="s">
        <v>169</v>
      </c>
      <c r="N22" s="113" t="s">
        <v>169</v>
      </c>
      <c r="O22" s="113" t="s">
        <v>169</v>
      </c>
      <c r="P22" s="114" t="s">
        <v>169</v>
      </c>
      <c r="Q22" s="114" t="s">
        <v>169</v>
      </c>
      <c r="R22" s="115" t="s">
        <v>169</v>
      </c>
      <c r="S22" s="116">
        <f>$E22/100</f>
        <v>0</v>
      </c>
      <c r="U22" t="e">
        <f t="shared" ref="U22:U31" si="2">I22*1000*D22</f>
        <v>#VALUE!</v>
      </c>
    </row>
    <row r="23" spans="1:21">
      <c r="B23" s="104" t="s">
        <v>32</v>
      </c>
      <c r="C23" s="105" t="s">
        <v>99</v>
      </c>
      <c r="D23" s="106">
        <v>44</v>
      </c>
      <c r="E23" s="107">
        <v>0</v>
      </c>
      <c r="F23" s="108">
        <f t="shared" si="0"/>
        <v>0</v>
      </c>
      <c r="G23" s="109">
        <f t="shared" si="1"/>
        <v>0</v>
      </c>
      <c r="H23" s="110" t="s">
        <v>169</v>
      </c>
      <c r="I23" s="110" t="s">
        <v>169</v>
      </c>
      <c r="J23" s="111" t="s">
        <v>169</v>
      </c>
      <c r="K23" s="112" t="s">
        <v>169</v>
      </c>
      <c r="L23" s="108" t="s">
        <v>169</v>
      </c>
      <c r="M23" s="111" t="s">
        <v>169</v>
      </c>
      <c r="N23" s="113" t="s">
        <v>169</v>
      </c>
      <c r="O23" s="113" t="s">
        <v>169</v>
      </c>
      <c r="P23" s="114" t="s">
        <v>169</v>
      </c>
      <c r="Q23" s="114" t="s">
        <v>169</v>
      </c>
      <c r="R23" s="116">
        <f>$E23/100</f>
        <v>0</v>
      </c>
      <c r="S23" s="115" t="s">
        <v>169</v>
      </c>
      <c r="U23" t="e">
        <f t="shared" si="2"/>
        <v>#VALUE!</v>
      </c>
    </row>
    <row r="24" spans="1:21">
      <c r="B24" s="104" t="s">
        <v>171</v>
      </c>
      <c r="C24" s="105" t="s">
        <v>172</v>
      </c>
      <c r="D24" s="106">
        <v>34</v>
      </c>
      <c r="E24" s="117">
        <v>0</v>
      </c>
      <c r="F24" s="108">
        <f t="shared" si="0"/>
        <v>0</v>
      </c>
      <c r="G24" s="118">
        <f t="shared" si="1"/>
        <v>0</v>
      </c>
      <c r="H24" s="110">
        <v>35.06</v>
      </c>
      <c r="I24" s="110">
        <v>31.56</v>
      </c>
      <c r="J24" s="106">
        <f t="shared" ref="J24:J41" si="3">H24*G24</f>
        <v>0</v>
      </c>
      <c r="K24" s="112">
        <f t="shared" ref="K24:K41" si="4">I24*G24</f>
        <v>0</v>
      </c>
      <c r="L24" s="119">
        <v>1</v>
      </c>
      <c r="M24" s="106">
        <v>2</v>
      </c>
      <c r="N24" s="113">
        <f t="shared" ref="N24:N41" si="5">L24*E24/100</f>
        <v>0</v>
      </c>
      <c r="O24" s="113">
        <f t="shared" ref="O24:O41" si="6">M24*E24/100</f>
        <v>0</v>
      </c>
      <c r="P24" s="114">
        <f>N24+O24/4</f>
        <v>0</v>
      </c>
      <c r="Q24" s="114">
        <f>P24/0.21</f>
        <v>0</v>
      </c>
      <c r="R24" s="116">
        <f>N24</f>
        <v>0</v>
      </c>
      <c r="S24" s="115">
        <f>O24/2</f>
        <v>0</v>
      </c>
      <c r="U24" s="120">
        <f t="shared" si="2"/>
        <v>1073040</v>
      </c>
    </row>
    <row r="25" spans="1:21">
      <c r="B25" s="104" t="s">
        <v>173</v>
      </c>
      <c r="C25" s="105" t="s">
        <v>174</v>
      </c>
      <c r="D25" s="106">
        <v>16</v>
      </c>
      <c r="E25" s="107">
        <v>0</v>
      </c>
      <c r="F25" s="108">
        <f>(E25/100*D25)</f>
        <v>0</v>
      </c>
      <c r="G25" s="109">
        <f t="shared" si="1"/>
        <v>0</v>
      </c>
      <c r="H25" s="110">
        <f>37.71/0.6785</f>
        <v>55.578481945467949</v>
      </c>
      <c r="I25" s="110">
        <f>33.95/0.6785</f>
        <v>50.036845983787771</v>
      </c>
      <c r="J25" s="111">
        <f t="shared" si="3"/>
        <v>0</v>
      </c>
      <c r="K25" s="112">
        <f>I25*G25</f>
        <v>0</v>
      </c>
      <c r="L25" s="119">
        <v>1</v>
      </c>
      <c r="M25" s="106">
        <v>4</v>
      </c>
      <c r="N25" s="113">
        <f t="shared" si="5"/>
        <v>0</v>
      </c>
      <c r="O25" s="113">
        <f>M25*E25/100</f>
        <v>0</v>
      </c>
      <c r="P25" s="114">
        <f t="shared" ref="P25:P41" si="7">N25+O25/4</f>
        <v>0</v>
      </c>
      <c r="Q25" s="114">
        <f t="shared" ref="Q25:Q41" si="8">P25/0.21</f>
        <v>0</v>
      </c>
      <c r="R25" s="116">
        <f t="shared" ref="R25:R42" si="9">N25</f>
        <v>0</v>
      </c>
      <c r="S25" s="115">
        <f>O25/2</f>
        <v>0</v>
      </c>
      <c r="U25" s="120">
        <f t="shared" si="2"/>
        <v>800589.53574060439</v>
      </c>
    </row>
    <row r="26" spans="1:21">
      <c r="B26" s="104" t="s">
        <v>175</v>
      </c>
      <c r="C26" s="105" t="s">
        <v>176</v>
      </c>
      <c r="D26" s="106">
        <v>30</v>
      </c>
      <c r="E26" s="107">
        <v>0</v>
      </c>
      <c r="F26" s="108">
        <f t="shared" si="0"/>
        <v>0</v>
      </c>
      <c r="G26" s="109">
        <f t="shared" si="1"/>
        <v>0</v>
      </c>
      <c r="H26" s="110">
        <f>66.07/1.272</f>
        <v>51.941823899371066</v>
      </c>
      <c r="I26" s="110">
        <f>60.43/1.272</f>
        <v>47.507861635220124</v>
      </c>
      <c r="J26" s="111">
        <f t="shared" si="3"/>
        <v>0</v>
      </c>
      <c r="K26" s="112">
        <f t="shared" si="4"/>
        <v>0</v>
      </c>
      <c r="L26" s="119">
        <v>2</v>
      </c>
      <c r="M26" s="106">
        <v>6</v>
      </c>
      <c r="N26" s="113">
        <f t="shared" si="5"/>
        <v>0</v>
      </c>
      <c r="O26" s="113">
        <f t="shared" si="6"/>
        <v>0</v>
      </c>
      <c r="P26" s="114">
        <f t="shared" si="7"/>
        <v>0</v>
      </c>
      <c r="Q26" s="114">
        <f t="shared" si="8"/>
        <v>0</v>
      </c>
      <c r="R26" s="116">
        <f t="shared" si="9"/>
        <v>0</v>
      </c>
      <c r="S26" s="115">
        <f t="shared" ref="S26:S42" si="10">O26/2</f>
        <v>0</v>
      </c>
      <c r="U26" s="120">
        <f t="shared" si="2"/>
        <v>1425235.8490566036</v>
      </c>
    </row>
    <row r="27" spans="1:21">
      <c r="B27" s="104" t="s">
        <v>177</v>
      </c>
      <c r="C27" s="105" t="s">
        <v>178</v>
      </c>
      <c r="D27" s="106">
        <v>44</v>
      </c>
      <c r="E27" s="107">
        <v>0</v>
      </c>
      <c r="F27" s="108">
        <f t="shared" si="0"/>
        <v>0</v>
      </c>
      <c r="G27" s="109">
        <f t="shared" si="1"/>
        <v>0</v>
      </c>
      <c r="H27" s="110">
        <f>93.94/1.865</f>
        <v>50.369973190348524</v>
      </c>
      <c r="I27" s="110">
        <f>86.42/1.865</f>
        <v>46.337801608579092</v>
      </c>
      <c r="J27" s="111">
        <f t="shared" si="3"/>
        <v>0</v>
      </c>
      <c r="K27" s="112">
        <f t="shared" si="4"/>
        <v>0</v>
      </c>
      <c r="L27" s="119">
        <v>3</v>
      </c>
      <c r="M27" s="106">
        <v>8</v>
      </c>
      <c r="N27" s="113">
        <f t="shared" si="5"/>
        <v>0</v>
      </c>
      <c r="O27" s="113">
        <f t="shared" si="6"/>
        <v>0</v>
      </c>
      <c r="P27" s="114">
        <f t="shared" si="7"/>
        <v>0</v>
      </c>
      <c r="Q27" s="114">
        <f t="shared" si="8"/>
        <v>0</v>
      </c>
      <c r="R27" s="116">
        <f t="shared" si="9"/>
        <v>0</v>
      </c>
      <c r="S27" s="115">
        <f t="shared" si="10"/>
        <v>0</v>
      </c>
      <c r="U27" s="120">
        <f t="shared" si="2"/>
        <v>2038863.2707774802</v>
      </c>
    </row>
    <row r="28" spans="1:21">
      <c r="B28" s="104" t="s">
        <v>179</v>
      </c>
      <c r="C28" s="105" t="s">
        <v>180</v>
      </c>
      <c r="D28" s="106">
        <v>58</v>
      </c>
      <c r="E28" s="107">
        <v>0</v>
      </c>
      <c r="F28" s="108">
        <f t="shared" si="0"/>
        <v>0</v>
      </c>
      <c r="G28" s="109">
        <f t="shared" si="1"/>
        <v>0</v>
      </c>
      <c r="H28" s="110">
        <f>121.6/2.458</f>
        <v>49.471114727420662</v>
      </c>
      <c r="I28" s="110">
        <f>112.2/2.458</f>
        <v>45.64686737184703</v>
      </c>
      <c r="J28" s="111">
        <f t="shared" si="3"/>
        <v>0</v>
      </c>
      <c r="K28" s="112">
        <f t="shared" si="4"/>
        <v>0</v>
      </c>
      <c r="L28" s="119">
        <v>4</v>
      </c>
      <c r="M28" s="106">
        <v>10</v>
      </c>
      <c r="N28" s="113">
        <f t="shared" si="5"/>
        <v>0</v>
      </c>
      <c r="O28" s="113">
        <f t="shared" si="6"/>
        <v>0</v>
      </c>
      <c r="P28" s="114">
        <f t="shared" si="7"/>
        <v>0</v>
      </c>
      <c r="Q28" s="114">
        <f t="shared" si="8"/>
        <v>0</v>
      </c>
      <c r="R28" s="116">
        <f t="shared" si="9"/>
        <v>0</v>
      </c>
      <c r="S28" s="115">
        <f t="shared" si="10"/>
        <v>0</v>
      </c>
      <c r="U28" s="120">
        <f t="shared" si="2"/>
        <v>2647518.307567128</v>
      </c>
    </row>
    <row r="29" spans="1:21">
      <c r="B29" s="104"/>
      <c r="C29" s="105" t="s">
        <v>181</v>
      </c>
      <c r="D29" s="106">
        <v>58</v>
      </c>
      <c r="E29" s="107">
        <v>0</v>
      </c>
      <c r="F29" s="108">
        <f t="shared" si="0"/>
        <v>0</v>
      </c>
      <c r="G29" s="109">
        <f t="shared" si="1"/>
        <v>0</v>
      </c>
      <c r="H29" s="121">
        <v>49.471114727420662</v>
      </c>
      <c r="I29" s="121">
        <v>45.64686737184703</v>
      </c>
      <c r="J29" s="111">
        <f t="shared" si="3"/>
        <v>0</v>
      </c>
      <c r="K29" s="112">
        <f t="shared" si="4"/>
        <v>0</v>
      </c>
      <c r="L29" s="119">
        <v>4</v>
      </c>
      <c r="M29" s="106">
        <v>10</v>
      </c>
      <c r="N29" s="113">
        <f t="shared" si="5"/>
        <v>0</v>
      </c>
      <c r="O29" s="113">
        <f t="shared" si="6"/>
        <v>0</v>
      </c>
      <c r="P29" s="114">
        <f t="shared" si="7"/>
        <v>0</v>
      </c>
      <c r="Q29" s="114">
        <f t="shared" si="8"/>
        <v>0</v>
      </c>
      <c r="R29" s="116">
        <f t="shared" si="9"/>
        <v>0</v>
      </c>
      <c r="S29" s="115">
        <f t="shared" si="10"/>
        <v>0</v>
      </c>
      <c r="U29" s="120">
        <f t="shared" si="2"/>
        <v>2647518.307567128</v>
      </c>
    </row>
    <row r="30" spans="1:21">
      <c r="B30" s="104" t="s">
        <v>182</v>
      </c>
      <c r="C30" s="105" t="s">
        <v>183</v>
      </c>
      <c r="D30" s="106">
        <v>72</v>
      </c>
      <c r="E30" s="107">
        <v>0</v>
      </c>
      <c r="F30" s="108">
        <f t="shared" si="0"/>
        <v>0</v>
      </c>
      <c r="G30" s="109">
        <f t="shared" si="1"/>
        <v>0</v>
      </c>
      <c r="H30" s="122">
        <f>149.3/3.051</f>
        <v>48.93477548344805</v>
      </c>
      <c r="I30" s="122">
        <f>138.1/3.051</f>
        <v>45.263847918715172</v>
      </c>
      <c r="J30" s="111">
        <f t="shared" si="3"/>
        <v>0</v>
      </c>
      <c r="K30" s="112">
        <f t="shared" si="4"/>
        <v>0</v>
      </c>
      <c r="L30" s="119">
        <v>5</v>
      </c>
      <c r="M30" s="106">
        <v>12</v>
      </c>
      <c r="N30" s="113">
        <f t="shared" si="5"/>
        <v>0</v>
      </c>
      <c r="O30" s="113">
        <f t="shared" si="6"/>
        <v>0</v>
      </c>
      <c r="P30" s="114">
        <f t="shared" si="7"/>
        <v>0</v>
      </c>
      <c r="Q30" s="114">
        <f t="shared" si="8"/>
        <v>0</v>
      </c>
      <c r="R30" s="116">
        <f t="shared" si="9"/>
        <v>0</v>
      </c>
      <c r="S30" s="115">
        <f t="shared" si="10"/>
        <v>0</v>
      </c>
      <c r="U30" s="120">
        <f t="shared" si="2"/>
        <v>3258997.0501474924</v>
      </c>
    </row>
    <row r="31" spans="1:21">
      <c r="B31" s="104"/>
      <c r="C31" s="105"/>
      <c r="D31" s="106">
        <v>72</v>
      </c>
      <c r="E31" s="107">
        <v>0</v>
      </c>
      <c r="F31" s="108">
        <f t="shared" si="0"/>
        <v>0</v>
      </c>
      <c r="G31" s="109">
        <f t="shared" si="1"/>
        <v>0</v>
      </c>
      <c r="H31" s="121">
        <v>48.93477548344805</v>
      </c>
      <c r="I31" s="121">
        <v>45.263847918715172</v>
      </c>
      <c r="J31" s="111">
        <f t="shared" si="3"/>
        <v>0</v>
      </c>
      <c r="K31" s="112">
        <f t="shared" si="4"/>
        <v>0</v>
      </c>
      <c r="L31" s="119">
        <v>5</v>
      </c>
      <c r="M31" s="106">
        <v>12</v>
      </c>
      <c r="N31" s="113">
        <f t="shared" si="5"/>
        <v>0</v>
      </c>
      <c r="O31" s="113">
        <f t="shared" si="6"/>
        <v>0</v>
      </c>
      <c r="P31" s="114">
        <f t="shared" si="7"/>
        <v>0</v>
      </c>
      <c r="Q31" s="114">
        <f t="shared" si="8"/>
        <v>0</v>
      </c>
      <c r="R31" s="116">
        <f t="shared" si="9"/>
        <v>0</v>
      </c>
      <c r="S31" s="115">
        <f t="shared" si="10"/>
        <v>0</v>
      </c>
      <c r="U31" s="120">
        <f t="shared" si="2"/>
        <v>3258997.0501474924</v>
      </c>
    </row>
    <row r="32" spans="1:21">
      <c r="B32" s="104" t="s">
        <v>184</v>
      </c>
      <c r="C32" s="105" t="s">
        <v>185</v>
      </c>
      <c r="D32" s="106">
        <v>86</v>
      </c>
      <c r="E32" s="107">
        <v>0</v>
      </c>
      <c r="F32" s="108">
        <f>(E32/100*D32)</f>
        <v>0</v>
      </c>
      <c r="G32" s="109">
        <f>F32/F$42</f>
        <v>0</v>
      </c>
      <c r="H32" s="122">
        <f>177.55/3.645</f>
        <v>48.710562414266121</v>
      </c>
      <c r="I32" s="122">
        <f>164.4/3.645</f>
        <v>45.102880658436213</v>
      </c>
      <c r="J32" s="111">
        <f>H32*G32</f>
        <v>0</v>
      </c>
      <c r="K32" s="112">
        <f>I32*G32</f>
        <v>0</v>
      </c>
      <c r="L32" s="119">
        <v>6</v>
      </c>
      <c r="M32" s="106">
        <v>14</v>
      </c>
      <c r="N32" s="113">
        <f>L32*E32/100</f>
        <v>0</v>
      </c>
      <c r="O32" s="113">
        <f>M32*E32/100</f>
        <v>0</v>
      </c>
      <c r="P32" s="114">
        <f>N32+O32/4</f>
        <v>0</v>
      </c>
      <c r="Q32" s="114">
        <f>P32/0.21</f>
        <v>0</v>
      </c>
      <c r="R32" s="116">
        <f>N32</f>
        <v>0</v>
      </c>
      <c r="S32" s="115">
        <f>O32/2</f>
        <v>0</v>
      </c>
      <c r="U32" s="120">
        <f>I32*1000*D32</f>
        <v>3878847.736625514</v>
      </c>
    </row>
    <row r="33" spans="2:21">
      <c r="B33" s="104" t="s">
        <v>186</v>
      </c>
      <c r="C33" s="105" t="s">
        <v>187</v>
      </c>
      <c r="D33" s="106">
        <v>78</v>
      </c>
      <c r="E33" s="107">
        <v>0</v>
      </c>
      <c r="F33" s="108">
        <f>(E33/100*D33)</f>
        <v>0</v>
      </c>
      <c r="G33" s="109">
        <f>F33/F$42</f>
        <v>0</v>
      </c>
      <c r="H33" s="122">
        <f>139.69/3.304</f>
        <v>42.279055690072639</v>
      </c>
      <c r="I33" s="122">
        <f>134.05/3.304</f>
        <v>40.572033898305094</v>
      </c>
      <c r="J33" s="111">
        <f>H33*G33</f>
        <v>0</v>
      </c>
      <c r="K33" s="112">
        <f>I33*G33</f>
        <v>0</v>
      </c>
      <c r="L33" s="119">
        <v>6</v>
      </c>
      <c r="M33" s="106">
        <v>6</v>
      </c>
      <c r="N33" s="113">
        <f>L33*E33/100</f>
        <v>0</v>
      </c>
      <c r="O33" s="113">
        <f>M33*E33/100</f>
        <v>0</v>
      </c>
      <c r="P33" s="114">
        <f>N33+O33/4</f>
        <v>0</v>
      </c>
      <c r="Q33" s="114">
        <f>P33/0.21</f>
        <v>0</v>
      </c>
      <c r="R33" s="116">
        <f>N33</f>
        <v>0</v>
      </c>
      <c r="S33" s="115">
        <f>O33/2</f>
        <v>0</v>
      </c>
      <c r="U33" s="120">
        <f t="shared" ref="U33:U40" si="11">I33*1000*D33</f>
        <v>3164618.6440677973</v>
      </c>
    </row>
    <row r="34" spans="2:21">
      <c r="B34" s="104" t="s">
        <v>188</v>
      </c>
      <c r="C34" s="105" t="s">
        <v>189</v>
      </c>
      <c r="D34" s="106">
        <v>100</v>
      </c>
      <c r="E34" s="107">
        <v>0</v>
      </c>
      <c r="F34" s="108">
        <f>(E34/100*D34)</f>
        <v>0</v>
      </c>
      <c r="G34" s="109">
        <f>F34/F$42</f>
        <v>0</v>
      </c>
      <c r="H34" s="122">
        <f>205.43/4.238</f>
        <v>48.473336479471449</v>
      </c>
      <c r="I34" s="122">
        <f>190.4/4.238</f>
        <v>44.926852288815475</v>
      </c>
      <c r="J34" s="111">
        <f>H34*G34</f>
        <v>0</v>
      </c>
      <c r="K34" s="112">
        <f>I34*G34</f>
        <v>0</v>
      </c>
      <c r="L34" s="119">
        <v>7</v>
      </c>
      <c r="M34" s="106">
        <v>16</v>
      </c>
      <c r="N34" s="113">
        <f>L34*E34/100</f>
        <v>0</v>
      </c>
      <c r="O34" s="113">
        <f>M34*E34/100</f>
        <v>0</v>
      </c>
      <c r="P34" s="114">
        <f>N34+O34/4</f>
        <v>0</v>
      </c>
      <c r="Q34" s="114">
        <f>P34/0.21</f>
        <v>0</v>
      </c>
      <c r="R34" s="116">
        <f>N34</f>
        <v>0</v>
      </c>
      <c r="S34" s="115">
        <f>O34/2</f>
        <v>0</v>
      </c>
      <c r="U34" s="120">
        <f t="shared" si="11"/>
        <v>4492685.2288815472</v>
      </c>
    </row>
    <row r="35" spans="2:21">
      <c r="B35" s="104" t="s">
        <v>190</v>
      </c>
      <c r="C35" s="105" t="s">
        <v>191</v>
      </c>
      <c r="D35" s="106">
        <v>92</v>
      </c>
      <c r="E35" s="107">
        <v>0</v>
      </c>
      <c r="F35" s="108">
        <f>(E35/100*D35)</f>
        <v>0</v>
      </c>
      <c r="G35" s="109">
        <f>F35/F$42</f>
        <v>0</v>
      </c>
      <c r="H35" s="122">
        <f>167.06/3.897</f>
        <v>42.868873492430076</v>
      </c>
      <c r="I35" s="122">
        <f>159.54/3.897</f>
        <v>40.939183987682831</v>
      </c>
      <c r="J35" s="111">
        <f>H35*G35</f>
        <v>0</v>
      </c>
      <c r="K35" s="112">
        <f>I35*G35</f>
        <v>0</v>
      </c>
      <c r="L35" s="119">
        <v>7</v>
      </c>
      <c r="M35" s="106">
        <v>8</v>
      </c>
      <c r="N35" s="113">
        <f>L35*E35/100</f>
        <v>0</v>
      </c>
      <c r="O35" s="113">
        <f>M35*E35/100</f>
        <v>0</v>
      </c>
      <c r="P35" s="114">
        <f>N35+O35/4</f>
        <v>0</v>
      </c>
      <c r="Q35" s="114">
        <f>P35/0.21</f>
        <v>0</v>
      </c>
      <c r="R35" s="116">
        <f>N35</f>
        <v>0</v>
      </c>
      <c r="S35" s="115">
        <f>O35/2</f>
        <v>0</v>
      </c>
      <c r="U35" s="120">
        <f t="shared" si="11"/>
        <v>3766404.9268668205</v>
      </c>
    </row>
    <row r="36" spans="2:21">
      <c r="B36" s="104" t="s">
        <v>192</v>
      </c>
      <c r="C36" s="105" t="s">
        <v>193</v>
      </c>
      <c r="D36" s="106">
        <v>114</v>
      </c>
      <c r="E36" s="107">
        <v>0</v>
      </c>
      <c r="F36" s="108">
        <f>(E36/100*D36)</f>
        <v>0</v>
      </c>
      <c r="G36" s="109">
        <f>F36/F$42</f>
        <v>0</v>
      </c>
      <c r="H36" s="122">
        <f>233.29/4.831</f>
        <v>48.290209066445861</v>
      </c>
      <c r="I36" s="122">
        <f>216.38/4.831</f>
        <v>44.789898571724279</v>
      </c>
      <c r="J36" s="111">
        <f>H36*G36</f>
        <v>0</v>
      </c>
      <c r="K36" s="112">
        <f>I36*G36</f>
        <v>0</v>
      </c>
      <c r="L36" s="119">
        <v>8</v>
      </c>
      <c r="M36" s="106">
        <v>18</v>
      </c>
      <c r="N36" s="113">
        <f>L36*E36/100</f>
        <v>0</v>
      </c>
      <c r="O36" s="113">
        <f>M36*E36/100</f>
        <v>0</v>
      </c>
      <c r="P36" s="114">
        <f>N36+O36/4</f>
        <v>0</v>
      </c>
      <c r="Q36" s="114">
        <f>P36/0.21</f>
        <v>0</v>
      </c>
      <c r="R36" s="116">
        <f>N36</f>
        <v>0</v>
      </c>
      <c r="S36" s="115">
        <f>O36/2</f>
        <v>0</v>
      </c>
      <c r="U36" s="120">
        <f t="shared" si="11"/>
        <v>5106048.4371765675</v>
      </c>
    </row>
    <row r="37" spans="2:21">
      <c r="B37" s="104" t="s">
        <v>285</v>
      </c>
      <c r="C37" s="105" t="s">
        <v>286</v>
      </c>
      <c r="D37" s="106">
        <v>2</v>
      </c>
      <c r="E37" s="107">
        <v>99.75</v>
      </c>
      <c r="F37" s="108">
        <f t="shared" ref="F37:F40" si="12">(E37/100*D37)</f>
        <v>1.9950000000000001</v>
      </c>
      <c r="G37" s="109">
        <f t="shared" ref="G37:G40" si="13">F37/F$42</f>
        <v>0.96442038093396509</v>
      </c>
      <c r="H37" s="122">
        <v>141.69999999999999</v>
      </c>
      <c r="I37" s="122">
        <v>120</v>
      </c>
      <c r="J37" s="111">
        <f t="shared" ref="J37:J40" si="14">H37*G37</f>
        <v>136.65836797834285</v>
      </c>
      <c r="K37" s="112">
        <f t="shared" ref="K37:K40" si="15">I37*G37</f>
        <v>115.73044571207581</v>
      </c>
      <c r="L37" s="119">
        <v>0</v>
      </c>
      <c r="M37" s="106">
        <v>2</v>
      </c>
      <c r="N37" s="113">
        <f t="shared" ref="N37:N40" si="16">L37*E37/100</f>
        <v>0</v>
      </c>
      <c r="O37" s="113">
        <f t="shared" ref="O37:O40" si="17">M37*E37/100</f>
        <v>1.9950000000000001</v>
      </c>
      <c r="P37" s="114">
        <f t="shared" ref="P37:P40" si="18">N37+O37/4</f>
        <v>0.49875000000000003</v>
      </c>
      <c r="Q37" s="114">
        <f t="shared" ref="Q37:Q40" si="19">P37/0.21</f>
        <v>2.375</v>
      </c>
      <c r="R37" s="116">
        <f t="shared" ref="R37:R40" si="20">N37</f>
        <v>0</v>
      </c>
      <c r="S37" s="115">
        <f t="shared" ref="S37:S40" si="21">O37/2</f>
        <v>0.99750000000000005</v>
      </c>
      <c r="U37" s="120">
        <f t="shared" si="11"/>
        <v>240000</v>
      </c>
    </row>
    <row r="38" spans="2:21">
      <c r="B38" s="104" t="s">
        <v>287</v>
      </c>
      <c r="C38" s="105" t="s">
        <v>66</v>
      </c>
      <c r="D38" s="106">
        <v>28</v>
      </c>
      <c r="E38" s="107">
        <v>0</v>
      </c>
      <c r="F38" s="108">
        <f t="shared" si="12"/>
        <v>0</v>
      </c>
      <c r="G38" s="109">
        <f t="shared" si="13"/>
        <v>0</v>
      </c>
      <c r="H38" s="122">
        <v>10.16</v>
      </c>
      <c r="I38" s="122">
        <v>10.16</v>
      </c>
      <c r="J38" s="111">
        <f t="shared" si="14"/>
        <v>0</v>
      </c>
      <c r="K38" s="112">
        <f t="shared" si="15"/>
        <v>0</v>
      </c>
      <c r="L38" s="119">
        <v>1</v>
      </c>
      <c r="M38" s="106">
        <v>0</v>
      </c>
      <c r="N38" s="113">
        <f t="shared" si="16"/>
        <v>0</v>
      </c>
      <c r="O38" s="113">
        <f t="shared" si="17"/>
        <v>0</v>
      </c>
      <c r="P38" s="114">
        <f t="shared" si="18"/>
        <v>0</v>
      </c>
      <c r="Q38" s="114">
        <f t="shared" si="19"/>
        <v>0</v>
      </c>
      <c r="R38" s="116">
        <f t="shared" si="20"/>
        <v>0</v>
      </c>
      <c r="S38" s="115">
        <f t="shared" si="21"/>
        <v>0</v>
      </c>
      <c r="U38" s="120">
        <f t="shared" si="11"/>
        <v>284480</v>
      </c>
    </row>
    <row r="39" spans="2:21">
      <c r="B39" s="104" t="s">
        <v>35</v>
      </c>
      <c r="C39" s="105" t="s">
        <v>100</v>
      </c>
      <c r="D39" s="106">
        <v>40</v>
      </c>
      <c r="E39" s="107">
        <v>0.03</v>
      </c>
      <c r="F39" s="108">
        <f t="shared" si="12"/>
        <v>1.1999999999999999E-2</v>
      </c>
      <c r="G39" s="109">
        <f t="shared" si="13"/>
        <v>5.8010248477230967E-3</v>
      </c>
      <c r="H39" s="122"/>
      <c r="I39" s="122"/>
      <c r="J39" s="111">
        <f t="shared" si="14"/>
        <v>0</v>
      </c>
      <c r="K39" s="112">
        <f t="shared" si="15"/>
        <v>0</v>
      </c>
      <c r="L39" s="119">
        <v>0</v>
      </c>
      <c r="M39" s="106">
        <v>0</v>
      </c>
      <c r="N39" s="113">
        <f t="shared" si="16"/>
        <v>0</v>
      </c>
      <c r="O39" s="113">
        <f t="shared" si="17"/>
        <v>0</v>
      </c>
      <c r="P39" s="114">
        <f t="shared" si="18"/>
        <v>0</v>
      </c>
      <c r="Q39" s="114">
        <f t="shared" si="19"/>
        <v>0</v>
      </c>
      <c r="R39" s="116">
        <f t="shared" si="20"/>
        <v>0</v>
      </c>
      <c r="S39" s="115">
        <f t="shared" si="21"/>
        <v>0</v>
      </c>
      <c r="U39" s="120">
        <f t="shared" si="11"/>
        <v>0</v>
      </c>
    </row>
    <row r="40" spans="2:21">
      <c r="B40" s="104" t="s">
        <v>288</v>
      </c>
      <c r="C40" s="105" t="s">
        <v>289</v>
      </c>
      <c r="D40" s="106">
        <v>32</v>
      </c>
      <c r="E40" s="107">
        <v>0</v>
      </c>
      <c r="F40" s="108">
        <f t="shared" si="12"/>
        <v>0</v>
      </c>
      <c r="G40" s="109">
        <f t="shared" si="13"/>
        <v>0</v>
      </c>
      <c r="H40" s="122">
        <v>23</v>
      </c>
      <c r="I40" s="122">
        <v>19.899999999999999</v>
      </c>
      <c r="J40" s="111">
        <f t="shared" si="14"/>
        <v>0</v>
      </c>
      <c r="K40" s="112">
        <f t="shared" si="15"/>
        <v>0</v>
      </c>
      <c r="L40" s="119">
        <v>1</v>
      </c>
      <c r="M40" s="106">
        <v>4</v>
      </c>
      <c r="N40" s="113">
        <f t="shared" si="16"/>
        <v>0</v>
      </c>
      <c r="O40" s="113">
        <f t="shared" si="17"/>
        <v>0</v>
      </c>
      <c r="P40" s="114">
        <f t="shared" si="18"/>
        <v>0</v>
      </c>
      <c r="Q40" s="114">
        <f t="shared" si="19"/>
        <v>0</v>
      </c>
      <c r="R40" s="116">
        <f t="shared" si="20"/>
        <v>0</v>
      </c>
      <c r="S40" s="115">
        <f t="shared" si="21"/>
        <v>0</v>
      </c>
      <c r="U40" s="120">
        <f t="shared" si="11"/>
        <v>636800</v>
      </c>
    </row>
    <row r="41" spans="2:21">
      <c r="B41" s="104" t="s">
        <v>194</v>
      </c>
      <c r="C41" s="105" t="s">
        <v>185</v>
      </c>
      <c r="D41" s="106">
        <v>86</v>
      </c>
      <c r="E41" s="107"/>
      <c r="F41" s="108">
        <f t="shared" si="0"/>
        <v>0</v>
      </c>
      <c r="G41" s="109">
        <f t="shared" si="1"/>
        <v>0</v>
      </c>
      <c r="H41" s="122"/>
      <c r="I41" s="122"/>
      <c r="J41" s="111">
        <f t="shared" si="3"/>
        <v>0</v>
      </c>
      <c r="K41" s="112">
        <f t="shared" si="4"/>
        <v>0</v>
      </c>
      <c r="L41" s="119">
        <v>6</v>
      </c>
      <c r="M41" s="106">
        <v>14</v>
      </c>
      <c r="N41" s="113">
        <f t="shared" si="5"/>
        <v>0</v>
      </c>
      <c r="O41" s="113">
        <f t="shared" si="6"/>
        <v>0</v>
      </c>
      <c r="P41" s="114">
        <f t="shared" si="7"/>
        <v>0</v>
      </c>
      <c r="Q41" s="114">
        <f t="shared" si="8"/>
        <v>0</v>
      </c>
      <c r="R41" s="116">
        <f t="shared" si="9"/>
        <v>0</v>
      </c>
      <c r="S41" s="115">
        <f t="shared" si="10"/>
        <v>0</v>
      </c>
      <c r="U41" s="120">
        <f>I41*1000*D41</f>
        <v>0</v>
      </c>
    </row>
    <row r="42" spans="2:21">
      <c r="B42" s="104" t="s">
        <v>195</v>
      </c>
      <c r="C42" s="106" t="s">
        <v>169</v>
      </c>
      <c r="D42" s="106" t="s">
        <v>169</v>
      </c>
      <c r="E42" s="112">
        <f>SUM(E21:E41)</f>
        <v>100</v>
      </c>
      <c r="F42" s="123">
        <f>SUM(F21:F41)</f>
        <v>2.0686</v>
      </c>
      <c r="G42" s="124">
        <f>SUM(G21:G41)</f>
        <v>1</v>
      </c>
      <c r="H42" s="111" t="s">
        <v>169</v>
      </c>
      <c r="I42" s="111" t="s">
        <v>169</v>
      </c>
      <c r="J42" s="125">
        <f>SUM(J24:J41)</f>
        <v>136.65836797834285</v>
      </c>
      <c r="K42" s="126">
        <f>SUM(K24:K41)</f>
        <v>115.73044571207581</v>
      </c>
      <c r="L42" s="119" t="s">
        <v>169</v>
      </c>
      <c r="M42" s="106" t="s">
        <v>169</v>
      </c>
      <c r="N42" s="127">
        <f>SUM(N24:N41)</f>
        <v>0</v>
      </c>
      <c r="O42" s="127">
        <f>SUM(O24:O41)</f>
        <v>1.9950000000000001</v>
      </c>
      <c r="P42" s="114">
        <f>N42+O42/4</f>
        <v>0.49875000000000003</v>
      </c>
      <c r="Q42" s="114">
        <f>P42/0.21</f>
        <v>2.375</v>
      </c>
      <c r="R42" s="116">
        <f t="shared" si="9"/>
        <v>0</v>
      </c>
      <c r="S42" s="115">
        <f t="shared" si="10"/>
        <v>0.99750000000000005</v>
      </c>
    </row>
    <row r="43" spans="2:21">
      <c r="B43" s="104" t="s">
        <v>196</v>
      </c>
      <c r="C43" s="106" t="s">
        <v>169</v>
      </c>
      <c r="D43" s="106" t="s">
        <v>169</v>
      </c>
      <c r="E43" s="112">
        <f>SUM(E26:E41)</f>
        <v>99.78</v>
      </c>
      <c r="F43" s="108" t="s">
        <v>169</v>
      </c>
      <c r="G43" s="124">
        <f>SUM(G26:G41)</f>
        <v>0.97022140578168814</v>
      </c>
      <c r="H43" s="111" t="s">
        <v>169</v>
      </c>
      <c r="I43" s="111" t="s">
        <v>169</v>
      </c>
      <c r="J43" s="111" t="s">
        <v>169</v>
      </c>
      <c r="K43" s="112" t="s">
        <v>169</v>
      </c>
      <c r="L43" s="119" t="s">
        <v>169</v>
      </c>
      <c r="M43" s="106" t="s">
        <v>169</v>
      </c>
      <c r="N43" s="128" t="s">
        <v>169</v>
      </c>
      <c r="O43" s="113" t="s">
        <v>169</v>
      </c>
      <c r="P43" s="113" t="s">
        <v>169</v>
      </c>
      <c r="Q43" s="113"/>
      <c r="R43" s="113"/>
      <c r="S43" s="129"/>
    </row>
    <row r="44" spans="2:21" ht="15" customHeight="1" thickBot="1">
      <c r="B44" s="130" t="s">
        <v>197</v>
      </c>
      <c r="C44" s="131"/>
      <c r="D44" s="131"/>
      <c r="E44" s="132"/>
      <c r="F44" s="133"/>
      <c r="G44" s="131"/>
      <c r="H44" s="131"/>
      <c r="I44" s="131"/>
      <c r="J44" s="131"/>
      <c r="K44" s="132"/>
      <c r="L44" s="133"/>
      <c r="M44" s="131"/>
      <c r="N44" s="134"/>
      <c r="O44" s="134"/>
      <c r="P44" s="134"/>
      <c r="Q44" s="134"/>
      <c r="R44" s="134"/>
      <c r="S44" s="135"/>
    </row>
    <row r="45" spans="2:21" ht="15" thickBot="1">
      <c r="B45" s="136"/>
      <c r="C45" s="136"/>
      <c r="D45" s="136"/>
      <c r="E45" s="136"/>
      <c r="F45" s="136"/>
      <c r="G45" s="136"/>
      <c r="H45" s="136"/>
      <c r="I45" s="136"/>
      <c r="J45" s="136"/>
      <c r="K45" s="136"/>
      <c r="L45" s="136"/>
      <c r="M45" s="136"/>
      <c r="N45" s="136"/>
      <c r="O45" s="136"/>
      <c r="P45" s="136"/>
      <c r="Q45" s="136"/>
      <c r="R45" s="136"/>
      <c r="S45" s="136"/>
    </row>
    <row r="46" spans="2:21" ht="15" customHeight="1">
      <c r="B46" s="386" t="s">
        <v>198</v>
      </c>
      <c r="C46" s="387"/>
      <c r="D46" s="387"/>
      <c r="E46" s="387"/>
      <c r="F46" s="388"/>
      <c r="G46" s="136"/>
      <c r="H46" s="136"/>
      <c r="I46" s="136"/>
      <c r="J46" s="136"/>
      <c r="K46" s="136"/>
      <c r="L46" s="136"/>
      <c r="M46" s="136"/>
      <c r="N46" s="136"/>
      <c r="O46" s="136"/>
      <c r="P46" s="136"/>
      <c r="Q46" s="136"/>
      <c r="R46" s="136"/>
    </row>
    <row r="47" spans="2:21">
      <c r="B47" s="137" t="s">
        <v>137</v>
      </c>
      <c r="C47" s="138" t="s">
        <v>138</v>
      </c>
      <c r="D47" s="138" t="s">
        <v>6</v>
      </c>
      <c r="E47" s="138" t="s">
        <v>139</v>
      </c>
      <c r="F47" s="139">
        <v>15</v>
      </c>
      <c r="G47" s="136" t="s">
        <v>114</v>
      </c>
      <c r="H47" s="136"/>
      <c r="I47" s="136"/>
      <c r="J47" s="136"/>
      <c r="K47" s="136"/>
      <c r="L47" s="136"/>
      <c r="M47" s="136"/>
      <c r="N47" s="136"/>
      <c r="O47" s="136"/>
      <c r="P47" s="136"/>
      <c r="Q47" s="136"/>
      <c r="R47" s="136"/>
    </row>
    <row r="48" spans="2:21">
      <c r="B48" s="140" t="s">
        <v>199</v>
      </c>
      <c r="C48" s="141">
        <f>F42/E42*100</f>
        <v>2.0686</v>
      </c>
      <c r="D48" s="142" t="s">
        <v>200</v>
      </c>
      <c r="E48" s="143">
        <f>(C48/1000)/(22.414/1000/273.15*(273.15+F47))</f>
        <v>8.7486236362182904E-2</v>
      </c>
      <c r="F48" s="144" t="s">
        <v>201</v>
      </c>
      <c r="H48" s="145">
        <f>C50*1000*C48*C128*E131</f>
        <v>177754.5</v>
      </c>
      <c r="I48" s="136"/>
      <c r="J48" s="136"/>
      <c r="K48" s="136"/>
      <c r="L48" s="136"/>
      <c r="M48" s="136"/>
      <c r="N48" s="136"/>
      <c r="O48" s="136"/>
      <c r="P48" s="146">
        <f>(28*(Q42-P42)+44*SUM(R21:R41)+18*SUM(S21:S41)+29*Q42*I62/100)/((Q42-P42)+SUM(R21:R41)+SUM(S21:S41)+Q42*I62/100)</f>
        <v>24.535881681042969</v>
      </c>
      <c r="Q48" s="136"/>
      <c r="R48" s="136"/>
    </row>
    <row r="49" spans="1:18">
      <c r="B49" s="140" t="s">
        <v>202</v>
      </c>
      <c r="C49" s="147">
        <f>J42</f>
        <v>136.65836797834285</v>
      </c>
      <c r="D49" s="142" t="s">
        <v>203</v>
      </c>
      <c r="E49" s="148">
        <f>C49*1000/1000*E48</f>
        <v>11.955726281823468</v>
      </c>
      <c r="F49" s="144" t="s">
        <v>204</v>
      </c>
      <c r="G49" s="136"/>
      <c r="H49" s="136"/>
      <c r="I49" s="136"/>
      <c r="J49" s="136"/>
      <c r="K49" s="136"/>
      <c r="L49" s="136"/>
      <c r="M49" s="136"/>
      <c r="N49" s="136"/>
      <c r="O49" s="136"/>
      <c r="P49" s="136"/>
      <c r="Q49" s="136"/>
      <c r="R49" s="136"/>
    </row>
    <row r="50" spans="1:18" ht="15" thickBot="1">
      <c r="B50" s="149" t="s">
        <v>205</v>
      </c>
      <c r="C50" s="150">
        <f>K42</f>
        <v>115.73044571207581</v>
      </c>
      <c r="D50" s="151" t="s">
        <v>203</v>
      </c>
      <c r="E50" s="152">
        <f>C50*1000/1000*E48</f>
        <v>10.12482112786744</v>
      </c>
      <c r="F50" s="153" t="s">
        <v>204</v>
      </c>
      <c r="G50" s="136"/>
      <c r="H50" s="136"/>
      <c r="I50" s="136"/>
      <c r="J50" s="136"/>
      <c r="K50" s="136"/>
      <c r="L50" s="136"/>
      <c r="M50" s="136"/>
      <c r="N50" s="136"/>
      <c r="O50" s="136"/>
      <c r="P50" s="136"/>
      <c r="Q50" s="136"/>
      <c r="R50" s="136"/>
    </row>
    <row r="51" spans="1:18" ht="15" thickBot="1"/>
    <row r="52" spans="1:18" ht="18">
      <c r="A52" s="97" t="s">
        <v>206</v>
      </c>
      <c r="B52" s="386" t="s">
        <v>198</v>
      </c>
      <c r="C52" s="387"/>
      <c r="D52" s="387"/>
      <c r="E52" s="387"/>
      <c r="F52" s="388"/>
      <c r="G52" s="136"/>
      <c r="H52" s="136"/>
      <c r="I52" s="136"/>
      <c r="J52" s="136"/>
      <c r="K52" s="136"/>
      <c r="L52" s="136"/>
      <c r="M52" s="136"/>
    </row>
    <row r="53" spans="1:18">
      <c r="B53" s="154" t="s">
        <v>207</v>
      </c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</row>
    <row r="54" spans="1:18">
      <c r="A54" s="136"/>
      <c r="B54" s="136" t="s">
        <v>208</v>
      </c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</row>
    <row r="55" spans="1:18">
      <c r="A55" s="136"/>
      <c r="B55" s="136" t="s">
        <v>209</v>
      </c>
      <c r="C55" s="155">
        <f>Q42-P42+R42+S42</f>
        <v>2.8737500000000002</v>
      </c>
      <c r="D55" s="136" t="s">
        <v>210</v>
      </c>
      <c r="E55" s="136"/>
      <c r="F55" s="136"/>
      <c r="G55" s="136"/>
      <c r="H55" s="136"/>
      <c r="I55" s="136"/>
      <c r="J55" s="136"/>
      <c r="K55" s="136"/>
      <c r="L55" s="136"/>
      <c r="M55" s="136"/>
    </row>
    <row r="56" spans="1:18">
      <c r="A56" s="136"/>
      <c r="B56" s="136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</row>
    <row r="57" spans="1:18">
      <c r="A57" s="136"/>
      <c r="B57" s="136" t="s">
        <v>211</v>
      </c>
      <c r="C57" s="136"/>
      <c r="D57" s="136"/>
      <c r="E57" s="136"/>
      <c r="F57" s="136"/>
      <c r="G57" s="136"/>
      <c r="H57" s="136"/>
      <c r="I57" s="136"/>
      <c r="J57" s="136"/>
      <c r="K57" s="136"/>
      <c r="L57" s="136"/>
      <c r="M57" s="136"/>
    </row>
    <row r="58" spans="1:18">
      <c r="A58" s="136"/>
      <c r="B58" s="136" t="s">
        <v>212</v>
      </c>
      <c r="C58" s="155">
        <f>C55-SUM(S21:S41)</f>
        <v>1.8762500000000002</v>
      </c>
      <c r="D58" s="136" t="s">
        <v>210</v>
      </c>
      <c r="E58" s="136"/>
      <c r="F58" s="136"/>
      <c r="G58" s="136"/>
      <c r="H58" s="136"/>
      <c r="I58" s="136"/>
      <c r="J58" s="136"/>
      <c r="K58" s="136"/>
      <c r="L58" s="136"/>
      <c r="M58" s="136"/>
    </row>
    <row r="59" spans="1:18">
      <c r="A59" s="136"/>
      <c r="B59" s="136"/>
      <c r="C59" s="136"/>
      <c r="D59" s="136"/>
      <c r="E59" s="136"/>
      <c r="F59" s="136"/>
      <c r="G59" s="136"/>
      <c r="H59" s="136"/>
      <c r="I59" s="136"/>
      <c r="J59" s="136"/>
      <c r="K59" s="136"/>
      <c r="L59" s="136"/>
      <c r="M59" s="136"/>
    </row>
    <row r="60" spans="1:18">
      <c r="B60" s="154" t="s">
        <v>213</v>
      </c>
      <c r="C60" s="136"/>
      <c r="D60" s="136"/>
      <c r="E60" s="136"/>
      <c r="F60" s="156" t="s">
        <v>214</v>
      </c>
      <c r="H60" s="156"/>
      <c r="I60" s="156"/>
      <c r="J60" s="156"/>
      <c r="K60" s="136"/>
      <c r="L60" s="136"/>
      <c r="M60" s="136"/>
      <c r="N60" s="136"/>
    </row>
    <row r="61" spans="1:18">
      <c r="A61" s="136"/>
      <c r="B61" s="136"/>
      <c r="C61" s="136"/>
      <c r="D61" s="136"/>
      <c r="E61" s="136"/>
      <c r="F61" s="156" t="s">
        <v>215</v>
      </c>
      <c r="G61" s="156"/>
      <c r="H61" s="156" t="s">
        <v>216</v>
      </c>
      <c r="I61" s="157">
        <v>0.05</v>
      </c>
      <c r="J61" s="136" t="s">
        <v>121</v>
      </c>
      <c r="K61" s="136" t="s">
        <v>217</v>
      </c>
      <c r="L61" s="158"/>
      <c r="M61" s="136"/>
    </row>
    <row r="62" spans="1:18">
      <c r="A62" s="136"/>
      <c r="B62" s="154" t="s">
        <v>218</v>
      </c>
      <c r="C62" s="136"/>
      <c r="D62" s="159">
        <f>I62</f>
        <v>0.1885441527446301</v>
      </c>
      <c r="E62" s="154" t="s">
        <v>121</v>
      </c>
      <c r="F62" s="156"/>
      <c r="G62" s="156"/>
      <c r="H62" s="156" t="s">
        <v>219</v>
      </c>
      <c r="I62" s="160">
        <f>I61/(21-I61)*(C58/C66)*100</f>
        <v>0.1885441527446301</v>
      </c>
      <c r="J62" s="136" t="s">
        <v>121</v>
      </c>
      <c r="K62" s="136" t="s">
        <v>220</v>
      </c>
      <c r="L62" s="136"/>
      <c r="M62" s="136"/>
    </row>
    <row r="63" spans="1:18">
      <c r="A63" s="136"/>
      <c r="B63" s="161" t="s">
        <v>221</v>
      </c>
      <c r="C63" s="162" t="s">
        <v>222</v>
      </c>
      <c r="D63" s="163">
        <f>D62/100</f>
        <v>1.8854415274463009E-3</v>
      </c>
      <c r="E63" s="136"/>
      <c r="F63" s="136"/>
      <c r="G63" s="136"/>
      <c r="H63" s="136"/>
      <c r="I63" s="136"/>
      <c r="J63" s="136"/>
      <c r="K63" s="136" t="s">
        <v>223</v>
      </c>
      <c r="L63" s="136"/>
      <c r="M63" s="136"/>
    </row>
    <row r="64" spans="1:18">
      <c r="A64" s="136"/>
      <c r="B64" s="136"/>
      <c r="C64" s="136" t="s">
        <v>224</v>
      </c>
      <c r="D64" s="136"/>
      <c r="E64" s="136"/>
      <c r="F64" s="136"/>
      <c r="G64" s="136"/>
      <c r="H64" s="136"/>
      <c r="I64" s="136"/>
      <c r="J64" s="145"/>
      <c r="K64" s="136" t="s">
        <v>225</v>
      </c>
      <c r="L64" s="136"/>
      <c r="M64" s="136"/>
    </row>
    <row r="65" spans="1:14">
      <c r="A65" s="136"/>
      <c r="B65" s="136" t="s">
        <v>226</v>
      </c>
      <c r="C65" s="136"/>
      <c r="D65" s="136"/>
      <c r="E65" s="136"/>
      <c r="F65" s="136"/>
      <c r="G65" s="136"/>
      <c r="H65" s="136"/>
      <c r="I65" s="136"/>
      <c r="J65" s="136"/>
      <c r="K65" s="136" t="s">
        <v>227</v>
      </c>
      <c r="L65" s="136"/>
      <c r="M65" s="136"/>
    </row>
    <row r="66" spans="1:14">
      <c r="A66" s="136"/>
      <c r="B66" s="136" t="s">
        <v>228</v>
      </c>
      <c r="C66" s="155">
        <f>Q42</f>
        <v>2.375</v>
      </c>
      <c r="D66" s="136" t="s">
        <v>210</v>
      </c>
      <c r="E66" s="136"/>
      <c r="F66" s="136"/>
      <c r="G66" s="136"/>
      <c r="H66" s="136"/>
      <c r="I66" s="136"/>
      <c r="J66" s="136"/>
      <c r="K66" s="136" t="s">
        <v>229</v>
      </c>
      <c r="L66" s="136"/>
      <c r="M66" s="136"/>
    </row>
    <row r="67" spans="1:14">
      <c r="A67" s="136"/>
      <c r="B67" s="154" t="s">
        <v>230</v>
      </c>
      <c r="C67" s="136"/>
      <c r="D67" s="136"/>
      <c r="E67" s="136"/>
      <c r="F67" s="136"/>
      <c r="G67" s="136"/>
      <c r="H67" s="136"/>
      <c r="I67" s="136"/>
      <c r="J67" s="136"/>
      <c r="K67" s="136"/>
      <c r="L67" s="136"/>
      <c r="M67" s="136"/>
    </row>
    <row r="68" spans="1:14">
      <c r="A68" s="136"/>
      <c r="B68" s="136" t="s">
        <v>231</v>
      </c>
      <c r="C68" s="155">
        <f>C66*(1+D63)</f>
        <v>2.3794779236276851</v>
      </c>
      <c r="D68" s="136" t="s">
        <v>210</v>
      </c>
      <c r="E68" s="136"/>
      <c r="F68" s="136"/>
      <c r="G68" s="136"/>
      <c r="H68" s="136"/>
      <c r="I68" s="136"/>
      <c r="J68" s="136"/>
      <c r="K68" s="136"/>
      <c r="L68" s="136"/>
      <c r="M68" s="136"/>
    </row>
    <row r="69" spans="1:14">
      <c r="A69" s="136"/>
      <c r="B69" s="136"/>
      <c r="C69" s="136"/>
      <c r="D69" s="136"/>
      <c r="E69" s="136"/>
      <c r="F69" s="136"/>
      <c r="G69" s="136"/>
      <c r="H69" s="136"/>
      <c r="I69" s="136"/>
      <c r="J69" s="136"/>
      <c r="K69" s="136"/>
      <c r="L69" s="136"/>
      <c r="M69" s="136"/>
    </row>
    <row r="70" spans="1:14">
      <c r="A70" s="136"/>
      <c r="B70" s="154" t="s">
        <v>232</v>
      </c>
      <c r="C70" s="136"/>
      <c r="D70" s="136"/>
      <c r="E70" s="136"/>
      <c r="F70" s="136"/>
      <c r="G70" s="136"/>
      <c r="H70" s="136"/>
      <c r="I70" s="136"/>
      <c r="J70" s="136"/>
      <c r="K70" s="136"/>
      <c r="L70" s="136"/>
      <c r="M70" s="136"/>
    </row>
    <row r="71" spans="1:14">
      <c r="A71" s="136"/>
      <c r="B71" s="136" t="s">
        <v>233</v>
      </c>
      <c r="C71" s="164">
        <f>C55+(D63*C66)</f>
        <v>2.8782279236276853</v>
      </c>
      <c r="D71" s="136" t="s">
        <v>210</v>
      </c>
      <c r="E71" s="136"/>
      <c r="F71" s="136"/>
      <c r="G71" s="136"/>
      <c r="H71" s="165" t="s">
        <v>234</v>
      </c>
      <c r="I71" s="166">
        <f>SUM(R21:R41)/C71</f>
        <v>0</v>
      </c>
      <c r="J71" s="136"/>
      <c r="K71" s="136"/>
      <c r="L71" s="136"/>
      <c r="M71" s="136"/>
    </row>
    <row r="72" spans="1:14">
      <c r="A72" s="136"/>
      <c r="B72" s="136"/>
      <c r="C72" s="136"/>
      <c r="D72" s="136"/>
      <c r="E72" s="136"/>
      <c r="F72" s="136"/>
      <c r="G72" s="136"/>
      <c r="H72" s="136"/>
      <c r="I72" s="136"/>
      <c r="J72" s="136"/>
      <c r="K72" s="136"/>
      <c r="L72" s="136"/>
      <c r="M72" s="136"/>
    </row>
    <row r="73" spans="1:14">
      <c r="A73" s="136"/>
      <c r="B73" s="136" t="s">
        <v>235</v>
      </c>
      <c r="C73" s="155">
        <f>C58+(D63*C66)</f>
        <v>1.8807279236276853</v>
      </c>
      <c r="D73" s="136" t="s">
        <v>210</v>
      </c>
      <c r="E73" s="165" t="s">
        <v>236</v>
      </c>
      <c r="F73" s="167">
        <f>I61</f>
        <v>0.05</v>
      </c>
      <c r="G73" s="136" t="s">
        <v>237</v>
      </c>
      <c r="H73" s="165" t="s">
        <v>234</v>
      </c>
      <c r="I73" s="166">
        <f>SUM(R21:R41)/C73</f>
        <v>0</v>
      </c>
      <c r="J73" s="136"/>
      <c r="K73" s="136"/>
      <c r="L73" s="136"/>
      <c r="M73" s="136"/>
    </row>
    <row r="74" spans="1:14">
      <c r="A74" s="136"/>
      <c r="B74" s="136"/>
      <c r="C74" s="136"/>
      <c r="D74" s="136"/>
      <c r="E74" s="136"/>
      <c r="F74" s="136"/>
      <c r="G74" s="136"/>
      <c r="H74" s="136"/>
      <c r="I74" s="166">
        <f>R42/C73</f>
        <v>0</v>
      </c>
      <c r="J74" s="136"/>
      <c r="K74" s="136"/>
      <c r="L74" s="136"/>
      <c r="M74" s="136"/>
    </row>
    <row r="75" spans="1:14">
      <c r="A75" s="136"/>
      <c r="B75" s="161" t="s">
        <v>238</v>
      </c>
      <c r="C75" s="164">
        <f>C73*((21-F73)/(21-F75))</f>
        <v>2.1889583333333333</v>
      </c>
      <c r="D75" s="168" t="s">
        <v>210</v>
      </c>
      <c r="E75" s="165" t="s">
        <v>236</v>
      </c>
      <c r="F75" s="169">
        <v>3</v>
      </c>
      <c r="G75" s="136" t="s">
        <v>239</v>
      </c>
      <c r="H75" s="136"/>
      <c r="I75" s="136"/>
      <c r="J75" s="136"/>
      <c r="K75" s="136"/>
      <c r="L75" s="136"/>
      <c r="M75" s="136"/>
    </row>
    <row r="76" spans="1:14">
      <c r="A76" s="136"/>
      <c r="B76" s="136"/>
      <c r="C76" s="136"/>
      <c r="D76" s="136"/>
      <c r="E76" s="136"/>
      <c r="F76" s="136" t="s">
        <v>240</v>
      </c>
      <c r="G76" s="136"/>
      <c r="H76" s="136"/>
      <c r="I76" s="136"/>
      <c r="J76" s="136"/>
      <c r="K76" s="136"/>
      <c r="L76" s="136"/>
      <c r="M76" s="136"/>
    </row>
    <row r="77" spans="1:14">
      <c r="A77" s="136"/>
      <c r="B77" s="136"/>
      <c r="C77" s="136"/>
      <c r="D77" s="136"/>
      <c r="E77" s="136"/>
      <c r="F77" s="136"/>
      <c r="G77" s="136"/>
      <c r="H77" s="136"/>
      <c r="I77" s="136"/>
      <c r="J77" s="136"/>
      <c r="K77" s="136"/>
      <c r="L77" s="136"/>
      <c r="M77" s="136"/>
    </row>
    <row r="78" spans="1:14">
      <c r="B78" s="154" t="s">
        <v>241</v>
      </c>
      <c r="C78" s="136"/>
      <c r="D78" s="136"/>
      <c r="E78" s="136"/>
      <c r="F78" s="136"/>
      <c r="G78" s="136"/>
      <c r="H78" s="136"/>
      <c r="I78" s="136"/>
      <c r="J78" s="136"/>
      <c r="K78" s="136"/>
      <c r="L78" s="136"/>
      <c r="M78" s="136"/>
      <c r="N78" s="136"/>
    </row>
    <row r="79" spans="1:14">
      <c r="A79" s="136"/>
      <c r="B79" s="136" t="s">
        <v>242</v>
      </c>
      <c r="C79" s="170">
        <f>C50*C17*24</f>
        <v>56828.278062457699</v>
      </c>
      <c r="D79" s="154" t="s">
        <v>243</v>
      </c>
      <c r="E79" s="171">
        <f>1524.6/59%/1000*3600*24/4</f>
        <v>55815.864406779656</v>
      </c>
      <c r="F79" s="136"/>
      <c r="G79" s="136"/>
      <c r="H79" s="136"/>
      <c r="I79" s="136"/>
      <c r="J79" s="136"/>
      <c r="K79" s="136"/>
      <c r="L79" s="136"/>
      <c r="M79" s="136"/>
    </row>
    <row r="80" spans="1:14">
      <c r="A80" s="136"/>
      <c r="B80" s="136"/>
      <c r="C80" s="155">
        <f>C79/24</f>
        <v>2367.8449192690709</v>
      </c>
      <c r="D80" s="136" t="s">
        <v>244</v>
      </c>
      <c r="E80" s="136"/>
      <c r="F80" s="136"/>
      <c r="G80" s="136"/>
      <c r="H80" s="136"/>
      <c r="I80" s="136"/>
      <c r="J80" s="136"/>
      <c r="K80" s="136"/>
      <c r="L80" s="136"/>
      <c r="M80" s="136"/>
    </row>
    <row r="81" spans="1:14">
      <c r="A81" s="136"/>
      <c r="B81" s="136" t="s">
        <v>245</v>
      </c>
      <c r="C81" s="172">
        <f>$E$50/1000</f>
        <v>1.012482112786744E-2</v>
      </c>
      <c r="D81" s="154" t="s">
        <v>246</v>
      </c>
      <c r="E81" s="136"/>
      <c r="F81" s="136"/>
      <c r="G81" s="136"/>
      <c r="H81" s="136"/>
      <c r="I81" s="136"/>
      <c r="J81" s="136"/>
      <c r="K81" s="136"/>
      <c r="L81" s="136"/>
      <c r="M81" s="136"/>
    </row>
    <row r="82" spans="1:14">
      <c r="A82" s="136"/>
      <c r="B82" s="136"/>
      <c r="C82" s="173">
        <f>C80/C81</f>
        <v>233865.35814957187</v>
      </c>
      <c r="D82" s="136" t="s">
        <v>247</v>
      </c>
      <c r="E82" s="136" t="s">
        <v>248</v>
      </c>
      <c r="F82" s="136">
        <f>F47</f>
        <v>15</v>
      </c>
      <c r="G82" s="136" t="str">
        <f>G47</f>
        <v>C</v>
      </c>
      <c r="H82" s="136"/>
      <c r="I82" s="136"/>
      <c r="J82" s="136"/>
      <c r="K82" s="136"/>
      <c r="L82" s="136"/>
      <c r="M82" s="136"/>
    </row>
    <row r="83" spans="1:14">
      <c r="A83" s="136"/>
      <c r="B83" s="136" t="s">
        <v>249</v>
      </c>
      <c r="C83" s="173">
        <f>C82/(273.15+F82)*(273.15+F83)</f>
        <v>221691.21144735572</v>
      </c>
      <c r="D83" s="154" t="s">
        <v>250</v>
      </c>
      <c r="E83" s="136" t="s">
        <v>248</v>
      </c>
      <c r="F83" s="136">
        <v>0</v>
      </c>
      <c r="G83" s="136" t="s">
        <v>114</v>
      </c>
      <c r="H83" s="136" t="s">
        <v>251</v>
      </c>
      <c r="I83" s="136">
        <f>C83*C68</f>
        <v>527509.34350126004</v>
      </c>
      <c r="J83" s="136" t="s">
        <v>252</v>
      </c>
      <c r="K83" s="136"/>
      <c r="L83" s="136"/>
      <c r="M83" s="136"/>
    </row>
    <row r="84" spans="1:14">
      <c r="A84" s="136"/>
      <c r="B84" s="136"/>
      <c r="C84" s="136"/>
      <c r="D84" s="136"/>
      <c r="E84" s="136"/>
      <c r="F84" s="136"/>
      <c r="G84" s="136"/>
      <c r="H84" s="136"/>
      <c r="I84" s="136"/>
      <c r="J84" s="136"/>
      <c r="K84" s="136"/>
      <c r="L84" s="136"/>
      <c r="M84" s="136"/>
    </row>
    <row r="85" spans="1:14">
      <c r="A85" s="136"/>
      <c r="B85" s="154" t="s">
        <v>253</v>
      </c>
      <c r="C85" s="174" t="s">
        <v>254</v>
      </c>
      <c r="D85" s="136"/>
      <c r="E85" s="136"/>
      <c r="F85" s="136"/>
      <c r="G85" s="136"/>
      <c r="H85" s="136"/>
      <c r="I85" s="136"/>
      <c r="J85" s="136"/>
      <c r="K85" s="136"/>
      <c r="L85" s="136"/>
      <c r="M85" s="136"/>
    </row>
    <row r="86" spans="1:14" ht="15" thickBot="1">
      <c r="A86" s="136"/>
      <c r="B86" s="136"/>
      <c r="C86" s="155">
        <f>C75</f>
        <v>2.1889583333333333</v>
      </c>
      <c r="D86" s="136" t="s">
        <v>210</v>
      </c>
      <c r="E86" s="136"/>
      <c r="F86" s="136"/>
      <c r="G86" s="136"/>
      <c r="H86" s="136"/>
      <c r="I86" s="136"/>
      <c r="J86" s="136"/>
      <c r="K86" s="136"/>
      <c r="L86" s="136"/>
      <c r="M86" s="136"/>
    </row>
    <row r="87" spans="1:14">
      <c r="A87" s="136"/>
      <c r="B87" s="136"/>
      <c r="C87" s="147">
        <f>C83*C86</f>
        <v>485272.82472445135</v>
      </c>
      <c r="D87" s="154" t="s">
        <v>255</v>
      </c>
      <c r="E87" s="175">
        <v>51</v>
      </c>
      <c r="F87" s="176" t="s">
        <v>256</v>
      </c>
      <c r="G87" s="177">
        <f>E87/1000*C88</f>
        <v>6.8746983502630608</v>
      </c>
      <c r="H87" s="178" t="s">
        <v>257</v>
      </c>
      <c r="I87" s="136"/>
      <c r="J87" s="136"/>
      <c r="K87" s="136"/>
      <c r="L87" s="136"/>
      <c r="M87" s="136"/>
    </row>
    <row r="88" spans="1:14" ht="15" thickBot="1">
      <c r="A88" s="136"/>
      <c r="B88" s="136"/>
      <c r="C88" s="147">
        <f>C87/3600</f>
        <v>134.79800686790315</v>
      </c>
      <c r="D88" s="154" t="s">
        <v>97</v>
      </c>
      <c r="E88" s="179">
        <v>100</v>
      </c>
      <c r="F88" s="180" t="s">
        <v>258</v>
      </c>
      <c r="G88" s="181">
        <f>E88/1000*C88</f>
        <v>13.479800686790316</v>
      </c>
      <c r="H88" s="182" t="s">
        <v>259</v>
      </c>
      <c r="I88" s="136"/>
      <c r="J88" s="136"/>
      <c r="K88" s="136"/>
      <c r="L88" s="136"/>
      <c r="M88" s="136"/>
    </row>
    <row r="89" spans="1:14">
      <c r="A89" s="136"/>
      <c r="B89" s="136"/>
      <c r="C89" s="136"/>
      <c r="D89" s="136"/>
      <c r="E89" s="136"/>
      <c r="F89" s="136"/>
      <c r="G89" s="136"/>
      <c r="H89" s="136"/>
      <c r="I89" s="136"/>
      <c r="J89" s="136"/>
      <c r="K89" s="136"/>
      <c r="L89" s="136"/>
      <c r="M89" s="136"/>
    </row>
    <row r="90" spans="1:14">
      <c r="A90" s="136"/>
      <c r="B90" s="136"/>
      <c r="C90" s="154" t="s">
        <v>260</v>
      </c>
      <c r="D90" s="136" t="s">
        <v>261</v>
      </c>
      <c r="E90" s="136"/>
      <c r="F90" s="136"/>
      <c r="G90" s="136"/>
      <c r="H90" s="136"/>
      <c r="I90" s="136"/>
      <c r="J90" s="136"/>
      <c r="K90" s="136"/>
      <c r="L90" s="136"/>
      <c r="M90" s="136"/>
    </row>
    <row r="91" spans="1:14">
      <c r="A91" s="136"/>
      <c r="B91" s="136"/>
      <c r="C91" s="155">
        <f>C71</f>
        <v>2.8782279236276853</v>
      </c>
      <c r="D91" s="136" t="s">
        <v>210</v>
      </c>
      <c r="E91" s="136"/>
      <c r="F91" s="136"/>
      <c r="G91" s="136"/>
      <c r="H91" s="136"/>
      <c r="I91" s="136"/>
      <c r="J91" s="136"/>
      <c r="K91" s="136"/>
      <c r="L91" s="136"/>
      <c r="M91" s="136"/>
      <c r="N91" s="136"/>
    </row>
    <row r="92" spans="1:14">
      <c r="A92" s="136"/>
      <c r="B92" s="174" t="s">
        <v>262</v>
      </c>
      <c r="C92" s="183">
        <f>G92+273.15</f>
        <v>1273.1500000000001</v>
      </c>
      <c r="D92" s="154" t="s">
        <v>115</v>
      </c>
      <c r="E92" s="136"/>
      <c r="F92" s="136" t="s">
        <v>263</v>
      </c>
      <c r="G92" s="136">
        <v>1000</v>
      </c>
      <c r="H92" s="136" t="s">
        <v>264</v>
      </c>
      <c r="I92" s="136"/>
      <c r="J92" s="136"/>
      <c r="K92" s="136"/>
      <c r="L92" s="136"/>
      <c r="M92" s="136"/>
      <c r="N92" s="136"/>
    </row>
    <row r="93" spans="1:14">
      <c r="A93" s="136"/>
      <c r="B93" s="136"/>
      <c r="C93" s="147">
        <f>C83*C91*C92/273.15</f>
        <v>2974075.7675211867</v>
      </c>
      <c r="D93" s="154" t="s">
        <v>265</v>
      </c>
      <c r="E93" s="136"/>
      <c r="F93" s="136" t="s">
        <v>266</v>
      </c>
      <c r="G93" s="184">
        <f>SUM(S21:S41)*100/C71</f>
        <v>34.656741108354005</v>
      </c>
      <c r="H93" s="136" t="s">
        <v>267</v>
      </c>
      <c r="I93" s="185" t="s">
        <v>268</v>
      </c>
      <c r="J93" s="136"/>
      <c r="K93" s="136"/>
      <c r="L93" s="136"/>
      <c r="M93" s="136"/>
      <c r="N93" s="136"/>
    </row>
    <row r="94" spans="1:14">
      <c r="A94" s="136"/>
      <c r="B94" s="136"/>
      <c r="C94" s="147">
        <f>C93/3600</f>
        <v>826.13215764477411</v>
      </c>
      <c r="D94" s="154" t="s">
        <v>48</v>
      </c>
      <c r="E94" s="136"/>
      <c r="F94" s="136" t="s">
        <v>269</v>
      </c>
      <c r="G94" s="136">
        <f>I61</f>
        <v>0.05</v>
      </c>
      <c r="H94" s="136" t="s">
        <v>270</v>
      </c>
      <c r="I94" s="136"/>
      <c r="J94" s="136"/>
      <c r="K94" s="136"/>
      <c r="L94" s="136"/>
      <c r="M94" s="136"/>
      <c r="N94" s="136"/>
    </row>
    <row r="95" spans="1:14">
      <c r="A95" s="136"/>
      <c r="B95" s="136"/>
      <c r="C95" s="136"/>
      <c r="D95" s="136"/>
      <c r="E95" s="136"/>
      <c r="F95" s="136"/>
      <c r="G95" s="136"/>
      <c r="H95" s="136"/>
      <c r="I95" s="136"/>
      <c r="J95" s="136"/>
      <c r="K95" s="136"/>
      <c r="L95" s="136"/>
      <c r="M95" s="136"/>
      <c r="N95" s="136"/>
    </row>
    <row r="96" spans="1:14">
      <c r="A96" s="136"/>
      <c r="B96" s="136" t="s">
        <v>271</v>
      </c>
      <c r="C96" s="136"/>
      <c r="D96" s="136"/>
      <c r="E96" s="136"/>
      <c r="F96" s="136"/>
      <c r="G96" s="136"/>
      <c r="H96" s="136"/>
      <c r="I96" s="136"/>
      <c r="J96" s="136"/>
      <c r="K96" s="136"/>
      <c r="L96" s="136"/>
      <c r="M96" s="136"/>
      <c r="N96" s="136"/>
    </row>
    <row r="97" spans="1:14">
      <c r="A97" s="136"/>
      <c r="B97" s="136"/>
      <c r="C97" s="186">
        <f>C80/3600</f>
        <v>0.6577346997969642</v>
      </c>
      <c r="D97" s="136" t="s">
        <v>272</v>
      </c>
      <c r="E97" s="187">
        <f>E79</f>
        <v>55815.864406779656</v>
      </c>
      <c r="F97" s="136" t="s">
        <v>273</v>
      </c>
      <c r="G97" s="136"/>
      <c r="H97" s="136"/>
      <c r="I97" s="136"/>
      <c r="J97" s="136"/>
      <c r="K97" s="136"/>
      <c r="L97" s="136"/>
      <c r="M97" s="136"/>
      <c r="N97" s="136"/>
    </row>
    <row r="98" spans="1:14">
      <c r="A98" s="136"/>
      <c r="B98" s="136"/>
      <c r="C98" s="136">
        <f>C97*60</f>
        <v>39.464081987817849</v>
      </c>
      <c r="D98" s="136" t="s">
        <v>274</v>
      </c>
      <c r="E98" s="136"/>
      <c r="F98" s="136"/>
      <c r="G98" s="136"/>
      <c r="H98" s="136"/>
      <c r="I98" s="136"/>
      <c r="J98" s="136"/>
      <c r="K98" s="136"/>
      <c r="L98" s="136"/>
      <c r="M98" s="136"/>
      <c r="N98" s="136"/>
    </row>
    <row r="99" spans="1:14">
      <c r="A99" s="136"/>
      <c r="B99" s="136"/>
      <c r="C99" s="136">
        <f>C98*60</f>
        <v>2367.8449192690709</v>
      </c>
      <c r="D99" s="136" t="s">
        <v>275</v>
      </c>
      <c r="E99" s="187">
        <f>E97</f>
        <v>55815.864406779656</v>
      </c>
      <c r="F99" s="136" t="s">
        <v>276</v>
      </c>
      <c r="G99" s="136"/>
      <c r="H99" s="136"/>
      <c r="I99" s="136"/>
      <c r="J99" s="136"/>
      <c r="K99" s="136"/>
      <c r="L99" s="136"/>
      <c r="M99" s="136"/>
      <c r="N99" s="136"/>
    </row>
    <row r="100" spans="1:14">
      <c r="A100" s="136"/>
      <c r="B100" s="136"/>
      <c r="C100" s="188">
        <f>C99*24</f>
        <v>56828.278062457699</v>
      </c>
      <c r="D100" s="136" t="s">
        <v>277</v>
      </c>
      <c r="E100" s="136">
        <f>E99*24</f>
        <v>1339580.7457627119</v>
      </c>
      <c r="F100" s="136" t="s">
        <v>278</v>
      </c>
      <c r="G100" s="136"/>
      <c r="H100" s="136"/>
      <c r="I100" s="136"/>
      <c r="J100" s="136"/>
      <c r="K100" s="136"/>
      <c r="L100" s="136"/>
      <c r="M100" s="136"/>
      <c r="N100" s="136"/>
    </row>
    <row r="101" spans="1:14">
      <c r="A101" s="136"/>
      <c r="B101" s="136"/>
      <c r="C101" s="145">
        <f>C100*365</f>
        <v>20742321.492797062</v>
      </c>
      <c r="D101" s="136" t="s">
        <v>279</v>
      </c>
      <c r="E101" s="145">
        <f>E100*365</f>
        <v>488946972.20338982</v>
      </c>
      <c r="F101" s="136" t="s">
        <v>280</v>
      </c>
      <c r="G101" s="136"/>
      <c r="H101" s="136"/>
      <c r="I101" s="136"/>
      <c r="J101" s="136"/>
      <c r="K101" s="136"/>
      <c r="L101" s="136"/>
      <c r="M101" s="136"/>
      <c r="N101" s="136"/>
    </row>
    <row r="102" spans="1:14" ht="15" thickBot="1"/>
    <row r="103" spans="1:14" ht="18.75" customHeight="1">
      <c r="A103" s="97" t="s">
        <v>290</v>
      </c>
      <c r="B103" s="389" t="s">
        <v>291</v>
      </c>
      <c r="C103" s="391"/>
      <c r="D103" s="391"/>
      <c r="E103" s="390"/>
      <c r="F103" s="189"/>
      <c r="G103" s="404" t="s">
        <v>292</v>
      </c>
      <c r="H103" s="405"/>
      <c r="I103" s="405"/>
      <c r="J103" s="405"/>
      <c r="K103" s="406"/>
      <c r="L103" s="189"/>
    </row>
    <row r="104" spans="1:14" ht="41.45">
      <c r="A104" s="189"/>
      <c r="B104" s="190" t="s">
        <v>137</v>
      </c>
      <c r="C104" s="191" t="s">
        <v>138</v>
      </c>
      <c r="D104" s="191" t="s">
        <v>6</v>
      </c>
      <c r="E104" s="192" t="s">
        <v>139</v>
      </c>
      <c r="F104" s="189"/>
      <c r="G104" s="190" t="s">
        <v>293</v>
      </c>
      <c r="H104" s="191" t="s">
        <v>6</v>
      </c>
      <c r="I104" s="191" t="s">
        <v>294</v>
      </c>
      <c r="J104" s="191" t="s">
        <v>295</v>
      </c>
      <c r="K104" s="192" t="s">
        <v>6</v>
      </c>
      <c r="L104" s="189"/>
    </row>
    <row r="105" spans="1:14">
      <c r="A105" s="189"/>
      <c r="B105" s="193" t="s">
        <v>296</v>
      </c>
      <c r="C105" s="194">
        <f>C17</f>
        <v>20.46</v>
      </c>
      <c r="D105" s="195" t="s">
        <v>297</v>
      </c>
      <c r="E105" s="196" t="s">
        <v>298</v>
      </c>
      <c r="F105" s="189"/>
      <c r="G105" s="197">
        <v>0</v>
      </c>
      <c r="H105" s="198" t="s">
        <v>299</v>
      </c>
      <c r="I105" s="199">
        <f>((1/$J$111)*($C$48/1))/1000000</f>
        <v>8.7485856676173108E-5</v>
      </c>
      <c r="J105" s="200">
        <f>I105*G105</f>
        <v>0</v>
      </c>
      <c r="K105" s="201" t="s">
        <v>300</v>
      </c>
      <c r="L105" s="189"/>
    </row>
    <row r="106" spans="1:14">
      <c r="A106" s="189"/>
      <c r="B106" s="193" t="s">
        <v>296</v>
      </c>
      <c r="C106" s="202">
        <f>$C$105/3600*1000</f>
        <v>5.6833333333333336</v>
      </c>
      <c r="D106" s="195" t="s">
        <v>94</v>
      </c>
      <c r="E106" s="196" t="s">
        <v>301</v>
      </c>
      <c r="F106" s="189"/>
      <c r="G106" s="197">
        <v>0</v>
      </c>
      <c r="H106" s="198" t="s">
        <v>302</v>
      </c>
      <c r="I106" s="203">
        <f>((1/$H$111)*($C$48/1))/1000000</f>
        <v>9.2290132166352853E-5</v>
      </c>
      <c r="J106" s="200">
        <f>I106*G106</f>
        <v>0</v>
      </c>
      <c r="K106" s="201" t="s">
        <v>300</v>
      </c>
      <c r="L106" s="189"/>
    </row>
    <row r="107" spans="1:14">
      <c r="A107" s="189"/>
      <c r="B107" s="193" t="s">
        <v>296</v>
      </c>
      <c r="C107" s="204">
        <f>C106/1000</f>
        <v>5.6833333333333336E-3</v>
      </c>
      <c r="D107" s="195" t="s">
        <v>303</v>
      </c>
      <c r="E107" s="196" t="s">
        <v>301</v>
      </c>
      <c r="F107" s="189"/>
      <c r="G107" s="197">
        <v>0</v>
      </c>
      <c r="H107" s="198" t="s">
        <v>304</v>
      </c>
      <c r="I107" s="199">
        <f>((1/$J$111)*($C$48/1)*(1/35.3147))/1000000</f>
        <v>2.477321247983789E-6</v>
      </c>
      <c r="J107" s="200">
        <f>I107*G107</f>
        <v>0</v>
      </c>
      <c r="K107" s="201" t="s">
        <v>300</v>
      </c>
      <c r="L107" s="189"/>
    </row>
    <row r="108" spans="1:14">
      <c r="A108" s="189"/>
      <c r="B108" s="193" t="s">
        <v>305</v>
      </c>
      <c r="C108" s="205">
        <f>C105/I108*24</f>
        <v>198.21409936222096</v>
      </c>
      <c r="D108" s="198" t="s">
        <v>306</v>
      </c>
      <c r="E108" s="196" t="s">
        <v>307</v>
      </c>
      <c r="F108" s="189"/>
      <c r="G108" s="206">
        <f>C108</f>
        <v>198.21409936222096</v>
      </c>
      <c r="H108" s="198" t="s">
        <v>308</v>
      </c>
      <c r="I108" s="199">
        <f>((1/$J$111)*($C$48/1)*(1/35.3147))</f>
        <v>2.4773212479837889</v>
      </c>
      <c r="J108" s="207">
        <f>I108*G108</f>
        <v>491.03999999999996</v>
      </c>
      <c r="K108" s="201" t="s">
        <v>300</v>
      </c>
      <c r="L108" s="189"/>
    </row>
    <row r="109" spans="1:14">
      <c r="A109" s="189"/>
      <c r="B109" s="193" t="s">
        <v>309</v>
      </c>
      <c r="C109" s="208">
        <f>$C$105/$I$105</f>
        <v>233866.37311825409</v>
      </c>
      <c r="D109" s="195" t="s">
        <v>310</v>
      </c>
      <c r="E109" s="196" t="s">
        <v>301</v>
      </c>
      <c r="F109" s="189"/>
      <c r="G109" s="209"/>
      <c r="H109" s="189"/>
      <c r="I109" s="189"/>
      <c r="J109" s="189"/>
      <c r="K109" s="210"/>
      <c r="L109" s="189"/>
    </row>
    <row r="110" spans="1:14" ht="20.45">
      <c r="A110" s="189"/>
      <c r="B110" s="193" t="s">
        <v>309</v>
      </c>
      <c r="C110" s="202">
        <f>C109/3600</f>
        <v>64.962881421737251</v>
      </c>
      <c r="D110" s="195" t="s">
        <v>311</v>
      </c>
      <c r="E110" s="196" t="s">
        <v>301</v>
      </c>
      <c r="F110" s="189"/>
      <c r="G110" s="211" t="s">
        <v>312</v>
      </c>
      <c r="H110" s="212" t="s">
        <v>313</v>
      </c>
      <c r="I110" s="212" t="s">
        <v>314</v>
      </c>
      <c r="J110" s="213" t="s">
        <v>315</v>
      </c>
      <c r="K110" s="214" t="s">
        <v>6</v>
      </c>
      <c r="L110" s="189"/>
    </row>
    <row r="111" spans="1:14" ht="15" thickBot="1">
      <c r="A111" s="189"/>
      <c r="B111" s="215" t="s">
        <v>316</v>
      </c>
      <c r="C111" s="216">
        <f>C110*(273.15/(273.15+15))</f>
        <v>61.581159327945613</v>
      </c>
      <c r="D111" s="217" t="s">
        <v>97</v>
      </c>
      <c r="E111" s="218" t="s">
        <v>317</v>
      </c>
      <c r="F111" s="189"/>
      <c r="G111" s="219" t="s">
        <v>318</v>
      </c>
      <c r="H111" s="220">
        <f>((H113*H114*H115)/H112)</f>
        <v>2.2414097276091782E-2</v>
      </c>
      <c r="I111" s="220">
        <f>((I113*I114*I115)/I112)</f>
        <v>2.4465543118677522E-2</v>
      </c>
      <c r="J111" s="221">
        <f>((J113*J114*J115)/J112)</f>
        <v>2.3644964781643227E-2</v>
      </c>
      <c r="K111" s="222" t="s">
        <v>319</v>
      </c>
      <c r="L111" s="189"/>
    </row>
    <row r="112" spans="1:14" ht="18.75" customHeight="1" thickBot="1">
      <c r="A112" s="189"/>
      <c r="B112" s="189"/>
      <c r="C112" s="189"/>
      <c r="D112" s="189"/>
      <c r="E112" s="189"/>
      <c r="F112" s="189"/>
      <c r="G112" s="219" t="s">
        <v>320</v>
      </c>
      <c r="H112" s="223">
        <v>101325</v>
      </c>
      <c r="I112" s="223">
        <v>101325</v>
      </c>
      <c r="J112" s="224">
        <v>101325</v>
      </c>
      <c r="K112" s="222" t="s">
        <v>321</v>
      </c>
      <c r="L112" s="189"/>
    </row>
    <row r="113" spans="1:12" ht="18">
      <c r="A113" s="97" t="s">
        <v>322</v>
      </c>
      <c r="B113" s="392" t="s">
        <v>323</v>
      </c>
      <c r="C113" s="393"/>
      <c r="D113" s="393"/>
      <c r="E113" s="394"/>
      <c r="F113" s="189"/>
      <c r="G113" s="219" t="s">
        <v>324</v>
      </c>
      <c r="H113" s="223">
        <v>1</v>
      </c>
      <c r="I113" s="223">
        <v>1</v>
      </c>
      <c r="J113" s="224">
        <v>1</v>
      </c>
      <c r="K113" s="222" t="s">
        <v>325</v>
      </c>
      <c r="L113" s="189"/>
    </row>
    <row r="114" spans="1:12">
      <c r="A114" s="189"/>
      <c r="B114" s="190" t="s">
        <v>137</v>
      </c>
      <c r="C114" s="191" t="s">
        <v>138</v>
      </c>
      <c r="D114" s="191" t="s">
        <v>6</v>
      </c>
      <c r="E114" s="192" t="s">
        <v>139</v>
      </c>
      <c r="F114" s="189"/>
      <c r="G114" s="219" t="s">
        <v>326</v>
      </c>
      <c r="H114" s="223">
        <v>8.3145100000000003</v>
      </c>
      <c r="I114" s="223">
        <v>8.3145100000000003</v>
      </c>
      <c r="J114" s="224">
        <v>8.3145100000000003</v>
      </c>
      <c r="K114" s="222" t="s">
        <v>327</v>
      </c>
      <c r="L114" s="189"/>
    </row>
    <row r="115" spans="1:12" ht="15" thickBot="1">
      <c r="A115" s="189"/>
      <c r="B115" s="193" t="s">
        <v>328</v>
      </c>
      <c r="C115" s="205">
        <f>C110</f>
        <v>64.962881421737251</v>
      </c>
      <c r="D115" s="195" t="s">
        <v>311</v>
      </c>
      <c r="E115" s="196" t="s">
        <v>301</v>
      </c>
      <c r="F115" s="189"/>
      <c r="G115" s="225" t="s">
        <v>329</v>
      </c>
      <c r="H115" s="226">
        <v>273.14999999999998</v>
      </c>
      <c r="I115" s="226">
        <f>273.15+25</f>
        <v>298.14999999999998</v>
      </c>
      <c r="J115" s="227">
        <f>273.15+15</f>
        <v>288.14999999999998</v>
      </c>
      <c r="K115" s="228" t="s">
        <v>330</v>
      </c>
      <c r="L115" s="189"/>
    </row>
    <row r="116" spans="1:12">
      <c r="A116" s="189"/>
      <c r="B116" s="195" t="s">
        <v>331</v>
      </c>
      <c r="C116" s="202">
        <f>C16</f>
        <v>0.9</v>
      </c>
      <c r="D116" s="195" t="s">
        <v>28</v>
      </c>
      <c r="E116" s="196" t="s">
        <v>301</v>
      </c>
      <c r="F116" s="189"/>
      <c r="G116" s="189"/>
      <c r="H116" s="189"/>
      <c r="I116" s="189"/>
      <c r="J116" s="189"/>
      <c r="K116" s="189"/>
      <c r="L116" s="189"/>
    </row>
    <row r="117" spans="1:12">
      <c r="A117" s="189"/>
      <c r="B117" s="193" t="s">
        <v>332</v>
      </c>
      <c r="C117" s="229">
        <v>45</v>
      </c>
      <c r="D117" s="195" t="s">
        <v>333</v>
      </c>
      <c r="E117" s="196" t="s">
        <v>301</v>
      </c>
      <c r="F117" s="189"/>
    </row>
    <row r="118" spans="1:12">
      <c r="A118" s="189"/>
      <c r="B118" s="193" t="s">
        <v>334</v>
      </c>
      <c r="C118" s="202">
        <f>PI()*($C$116/2)*($C$116/2)</f>
        <v>0.63617251235193317</v>
      </c>
      <c r="D118" s="195" t="s">
        <v>118</v>
      </c>
      <c r="E118" s="196" t="s">
        <v>301</v>
      </c>
      <c r="F118" s="189"/>
    </row>
    <row r="119" spans="1:12">
      <c r="A119" s="189"/>
      <c r="B119" s="193" t="s">
        <v>335</v>
      </c>
      <c r="C119" s="205">
        <f>(C115/(273.15+15)*(273.15+C117))/C118</f>
        <v>112.74665946214479</v>
      </c>
      <c r="D119" s="195" t="s">
        <v>51</v>
      </c>
      <c r="E119" s="196" t="s">
        <v>336</v>
      </c>
      <c r="F119" s="189"/>
    </row>
    <row r="120" spans="1:12">
      <c r="A120" s="189"/>
      <c r="B120" s="193" t="s">
        <v>337</v>
      </c>
      <c r="C120" s="202">
        <f>273.15+C117</f>
        <v>318.14999999999998</v>
      </c>
      <c r="D120" s="195" t="s">
        <v>338</v>
      </c>
      <c r="E120" s="196" t="s">
        <v>301</v>
      </c>
      <c r="F120" s="189"/>
    </row>
    <row r="121" spans="1:12" ht="18.75" customHeight="1" thickBot="1">
      <c r="A121" s="189"/>
      <c r="B121" s="215" t="s">
        <v>339</v>
      </c>
      <c r="C121" s="230">
        <f>C115/(273.15+15)*C120</f>
        <v>71.726325609320511</v>
      </c>
      <c r="D121" s="217" t="s">
        <v>48</v>
      </c>
      <c r="E121" s="218" t="s">
        <v>301</v>
      </c>
      <c r="F121" s="189"/>
    </row>
    <row r="122" spans="1:12" ht="15" thickBot="1">
      <c r="A122" s="189"/>
      <c r="B122" s="189"/>
      <c r="C122" s="189"/>
      <c r="D122" s="189"/>
      <c r="E122" s="189"/>
      <c r="F122" s="189"/>
    </row>
    <row r="123" spans="1:12" ht="18">
      <c r="A123" s="97" t="s">
        <v>340</v>
      </c>
      <c r="B123" s="389" t="s">
        <v>341</v>
      </c>
      <c r="C123" s="391"/>
      <c r="D123" s="391"/>
      <c r="E123" s="390"/>
      <c r="F123" s="189"/>
    </row>
    <row r="124" spans="1:12">
      <c r="A124" s="189"/>
      <c r="B124" s="190" t="s">
        <v>137</v>
      </c>
      <c r="C124" s="191" t="s">
        <v>138</v>
      </c>
      <c r="D124" s="191" t="s">
        <v>6</v>
      </c>
      <c r="E124" s="192" t="s">
        <v>139</v>
      </c>
      <c r="F124" s="189"/>
    </row>
    <row r="125" spans="1:12">
      <c r="A125" s="189"/>
      <c r="B125" s="193" t="s">
        <v>205</v>
      </c>
      <c r="C125" s="231">
        <f>$C$50</f>
        <v>115.73044571207581</v>
      </c>
      <c r="D125" s="195" t="s">
        <v>203</v>
      </c>
      <c r="E125" s="196" t="s">
        <v>301</v>
      </c>
      <c r="F125" s="189"/>
    </row>
    <row r="126" spans="1:12">
      <c r="A126" s="189"/>
      <c r="B126" s="193" t="s">
        <v>342</v>
      </c>
      <c r="C126" s="208">
        <f>($C$125/1000)*1000000000</f>
        <v>115730445.7120758</v>
      </c>
      <c r="D126" s="195" t="s">
        <v>343</v>
      </c>
      <c r="E126" s="196" t="s">
        <v>301</v>
      </c>
      <c r="F126" s="189"/>
    </row>
    <row r="127" spans="1:12">
      <c r="A127" s="189"/>
      <c r="B127" s="193" t="s">
        <v>344</v>
      </c>
      <c r="C127" s="232">
        <f>$C$106*$C$126/1000000</f>
        <v>657.73469979696415</v>
      </c>
      <c r="D127" s="195" t="s">
        <v>273</v>
      </c>
      <c r="E127" s="196" t="s">
        <v>301</v>
      </c>
      <c r="F127" s="189"/>
    </row>
    <row r="128" spans="1:12">
      <c r="A128" s="189"/>
      <c r="B128" s="193" t="s">
        <v>345</v>
      </c>
      <c r="C128" s="233">
        <v>0.99</v>
      </c>
      <c r="D128" s="195"/>
      <c r="E128" s="196"/>
      <c r="F128" s="189"/>
    </row>
    <row r="129" spans="1:10">
      <c r="A129" s="189"/>
      <c r="B129" s="193" t="s">
        <v>347</v>
      </c>
      <c r="C129" s="208">
        <f>$C$106*$C$126*$C$128</f>
        <v>651157352.79899454</v>
      </c>
      <c r="D129" s="195" t="s">
        <v>348</v>
      </c>
      <c r="E129" s="92" t="s">
        <v>349</v>
      </c>
      <c r="F129" s="189"/>
    </row>
    <row r="130" spans="1:10">
      <c r="A130" s="189"/>
      <c r="B130" s="193" t="s">
        <v>350</v>
      </c>
      <c r="C130" s="234">
        <f>C129*0.23890295762</f>
        <v>155563417.45968959</v>
      </c>
      <c r="D130" s="195" t="s">
        <v>351</v>
      </c>
      <c r="E130" s="201" t="s">
        <v>352</v>
      </c>
      <c r="F130" s="189"/>
    </row>
    <row r="131" spans="1:10" ht="18.75" customHeight="1">
      <c r="A131" s="189"/>
      <c r="B131" s="193" t="s">
        <v>353</v>
      </c>
      <c r="C131" s="235">
        <f>IF(C48&gt;95,55%,IF(C48&gt;80,50%,IF(C48&gt;65,45%,IF(C48&gt;50,40%,IF(C48&gt;35,35%,IF(C48&gt;20,30%,25%))))))</f>
        <v>0.25</v>
      </c>
      <c r="D131" s="195" t="s">
        <v>354</v>
      </c>
      <c r="E131" s="236">
        <f>1-C131</f>
        <v>0.75</v>
      </c>
      <c r="F131" s="189"/>
    </row>
    <row r="132" spans="1:10">
      <c r="A132" s="189"/>
      <c r="B132" s="237" t="s">
        <v>355</v>
      </c>
      <c r="C132" s="238">
        <f>$E$131*$C$129</f>
        <v>488368014.59924591</v>
      </c>
      <c r="D132" s="195" t="s">
        <v>356</v>
      </c>
      <c r="E132" s="92" t="s">
        <v>357</v>
      </c>
      <c r="F132" s="189"/>
    </row>
    <row r="133" spans="1:10">
      <c r="A133" s="189"/>
      <c r="B133" s="193" t="s">
        <v>358</v>
      </c>
      <c r="C133" s="234">
        <f>C132*0.23890295762</f>
        <v>116672563.09476718</v>
      </c>
      <c r="D133" s="195" t="s">
        <v>351</v>
      </c>
      <c r="E133" s="201" t="s">
        <v>352</v>
      </c>
      <c r="F133" s="189"/>
    </row>
    <row r="134" spans="1:10">
      <c r="A134" s="189"/>
      <c r="B134" s="193" t="s">
        <v>359</v>
      </c>
      <c r="C134" s="239">
        <f>C132/1012/(C106*(1+C68/C48*29))</f>
        <v>2471.3407741971714</v>
      </c>
      <c r="D134" s="195" t="s">
        <v>115</v>
      </c>
      <c r="E134" s="201" t="s">
        <v>360</v>
      </c>
      <c r="F134" s="189"/>
    </row>
    <row r="135" spans="1:10">
      <c r="A135" s="189"/>
      <c r="B135" s="193" t="s">
        <v>361</v>
      </c>
      <c r="C135" s="240">
        <f>273.15+15</f>
        <v>288.14999999999998</v>
      </c>
      <c r="D135" s="195" t="s">
        <v>115</v>
      </c>
      <c r="E135" s="201" t="s">
        <v>362</v>
      </c>
      <c r="F135" s="189"/>
    </row>
    <row r="136" spans="1:10">
      <c r="A136" s="189"/>
      <c r="B136" s="193" t="s">
        <v>363</v>
      </c>
      <c r="C136" s="241">
        <f>C115*C71/(273.15+15)*(C135+C134)</f>
        <v>1790.6090885881831</v>
      </c>
      <c r="D136" s="195" t="s">
        <v>48</v>
      </c>
      <c r="E136" s="201" t="s">
        <v>301</v>
      </c>
      <c r="F136" s="189"/>
    </row>
    <row r="137" spans="1:10">
      <c r="A137" s="189"/>
      <c r="B137" s="193" t="s">
        <v>364</v>
      </c>
      <c r="C137" s="231">
        <f>C136/C118</f>
        <v>2814.6596305588428</v>
      </c>
      <c r="D137" s="195" t="s">
        <v>51</v>
      </c>
      <c r="E137" s="196" t="s">
        <v>301</v>
      </c>
      <c r="F137" s="189"/>
    </row>
    <row r="138" spans="1:10" ht="27.6">
      <c r="A138" s="189"/>
      <c r="B138" s="237" t="s">
        <v>365</v>
      </c>
      <c r="C138" s="242">
        <f>$C$121*$C$119*(C135/$C$120)</f>
        <v>7324.3478693363013</v>
      </c>
      <c r="D138" s="195" t="s">
        <v>366</v>
      </c>
      <c r="E138" s="243" t="s">
        <v>367</v>
      </c>
      <c r="F138" s="189"/>
    </row>
    <row r="139" spans="1:10" ht="28.15" thickBot="1">
      <c r="A139" s="189"/>
      <c r="B139" s="215" t="s">
        <v>365</v>
      </c>
      <c r="C139" s="244">
        <f>$C$136*$C$137*(C135/(C135+$C$134))</f>
        <v>526279.37015988806</v>
      </c>
      <c r="D139" s="217" t="s">
        <v>366</v>
      </c>
      <c r="E139" s="245" t="s">
        <v>368</v>
      </c>
      <c r="F139" s="189"/>
      <c r="G139" t="s">
        <v>369</v>
      </c>
    </row>
    <row r="140" spans="1:10" ht="15" thickBot="1">
      <c r="B140" s="189"/>
      <c r="C140" s="189"/>
      <c r="D140" s="189"/>
      <c r="E140" s="189"/>
      <c r="F140" s="189"/>
    </row>
    <row r="141" spans="1:10" ht="18">
      <c r="A141" s="97" t="s">
        <v>370</v>
      </c>
      <c r="B141" s="392" t="s">
        <v>371</v>
      </c>
      <c r="C141" s="393"/>
      <c r="D141" s="393"/>
      <c r="E141" s="394"/>
      <c r="F141" s="189"/>
    </row>
    <row r="142" spans="1:10" ht="18">
      <c r="A142" s="97"/>
      <c r="B142" s="190" t="s">
        <v>137</v>
      </c>
      <c r="C142" s="191" t="s">
        <v>138</v>
      </c>
      <c r="D142" s="191" t="s">
        <v>6</v>
      </c>
      <c r="E142" s="246" t="s">
        <v>372</v>
      </c>
      <c r="F142" s="189"/>
    </row>
    <row r="143" spans="1:10" ht="18">
      <c r="A143" s="97"/>
      <c r="B143" s="193" t="s">
        <v>331</v>
      </c>
      <c r="C143" s="247">
        <f>C16</f>
        <v>0.9</v>
      </c>
      <c r="D143" s="195" t="s">
        <v>28</v>
      </c>
      <c r="E143" s="201" t="s">
        <v>301</v>
      </c>
      <c r="F143" s="189"/>
      <c r="G143" s="248"/>
      <c r="J143" s="248"/>
    </row>
    <row r="144" spans="1:10" ht="18">
      <c r="A144" s="97"/>
      <c r="F144" s="189"/>
      <c r="G144" s="248"/>
      <c r="J144" s="248"/>
    </row>
    <row r="145" spans="1:17" ht="18">
      <c r="A145" s="97"/>
      <c r="B145" s="193" t="s">
        <v>373</v>
      </c>
      <c r="C145" s="249">
        <f>1000+273</f>
        <v>1273</v>
      </c>
      <c r="D145" s="195" t="s">
        <v>115</v>
      </c>
      <c r="E145" s="201" t="s">
        <v>374</v>
      </c>
      <c r="F145" s="189"/>
      <c r="G145" s="248"/>
      <c r="J145" s="248"/>
    </row>
    <row r="146" spans="1:17" ht="27.6">
      <c r="A146" s="97"/>
      <c r="B146" s="193" t="s">
        <v>375</v>
      </c>
      <c r="C146" s="234">
        <f>C111*(C145/273)</f>
        <v>287.15317151822262</v>
      </c>
      <c r="D146" s="195" t="s">
        <v>48</v>
      </c>
      <c r="E146" s="243" t="s">
        <v>376</v>
      </c>
      <c r="F146" s="189"/>
      <c r="G146" s="248"/>
      <c r="J146" s="248"/>
    </row>
    <row r="147" spans="1:17" ht="18">
      <c r="A147" s="97"/>
      <c r="B147" s="193" t="s">
        <v>377</v>
      </c>
      <c r="C147" s="250">
        <v>20</v>
      </c>
      <c r="D147" s="195" t="s">
        <v>51</v>
      </c>
      <c r="E147" s="201" t="s">
        <v>374</v>
      </c>
      <c r="F147" s="189"/>
      <c r="G147" s="248"/>
      <c r="J147" s="248"/>
    </row>
    <row r="148" spans="1:17" ht="18">
      <c r="A148" s="97"/>
      <c r="B148" s="193" t="s">
        <v>378</v>
      </c>
      <c r="C148" s="234">
        <f>C146/(PI()*((C143^2)/4))</f>
        <v>451.37626342360471</v>
      </c>
      <c r="D148" s="195" t="s">
        <v>51</v>
      </c>
      <c r="E148" s="201" t="s">
        <v>379</v>
      </c>
      <c r="F148" s="189"/>
      <c r="G148" s="248"/>
      <c r="J148" s="248"/>
    </row>
    <row r="149" spans="1:17" ht="27.6">
      <c r="A149" s="97"/>
      <c r="B149" s="193" t="s">
        <v>380</v>
      </c>
      <c r="C149" s="251">
        <f>(0.1066*(((C145/(C135*(C145-C135)))*(C132/C147))^0.5))*0.3048</f>
        <v>10.75351935037005</v>
      </c>
      <c r="D149" s="195" t="s">
        <v>28</v>
      </c>
      <c r="E149" s="243" t="s">
        <v>381</v>
      </c>
      <c r="F149" s="189"/>
      <c r="G149" s="248"/>
      <c r="J149" s="248"/>
    </row>
    <row r="150" spans="1:17" ht="28.15" thickBot="1">
      <c r="A150" s="97"/>
      <c r="B150" s="215" t="s">
        <v>382</v>
      </c>
      <c r="C150" s="252">
        <f>0.000988*(C130*(1-C131))^0.5</f>
        <v>10.671889356134573</v>
      </c>
      <c r="D150" s="217" t="s">
        <v>28</v>
      </c>
      <c r="E150" s="245" t="s">
        <v>383</v>
      </c>
      <c r="F150" s="189"/>
      <c r="G150" s="253"/>
    </row>
    <row r="151" spans="1:17" ht="18.600000000000001" thickBot="1">
      <c r="A151" s="97"/>
      <c r="B151" s="189"/>
      <c r="C151" s="189"/>
      <c r="D151" s="189"/>
      <c r="E151" s="189"/>
      <c r="F151" s="189"/>
      <c r="G151" s="248"/>
      <c r="H151" s="407" t="s">
        <v>384</v>
      </c>
      <c r="I151" s="408"/>
      <c r="J151" s="254"/>
      <c r="K151" s="254"/>
      <c r="L151" s="254"/>
      <c r="M151" s="248"/>
    </row>
    <row r="152" spans="1:17" ht="18">
      <c r="A152" s="97"/>
      <c r="B152" s="392" t="s">
        <v>385</v>
      </c>
      <c r="C152" s="393"/>
      <c r="D152" s="393"/>
      <c r="E152" s="394"/>
      <c r="F152" s="189"/>
      <c r="G152" s="248"/>
      <c r="H152" s="255" t="s">
        <v>386</v>
      </c>
      <c r="I152" s="255">
        <v>0.45359240000000001</v>
      </c>
      <c r="J152" s="254"/>
      <c r="K152" s="254"/>
      <c r="L152" s="254"/>
      <c r="M152" s="248"/>
    </row>
    <row r="153" spans="1:17" ht="18">
      <c r="A153" s="97"/>
      <c r="B153" s="190" t="s">
        <v>137</v>
      </c>
      <c r="C153" s="191" t="s">
        <v>138</v>
      </c>
      <c r="D153" s="191" t="s">
        <v>6</v>
      </c>
      <c r="E153" s="246" t="s">
        <v>372</v>
      </c>
      <c r="F153" s="189"/>
      <c r="G153" s="248"/>
      <c r="H153" s="255" t="s">
        <v>387</v>
      </c>
      <c r="I153" s="255">
        <f>I152*1000</f>
        <v>453.5924</v>
      </c>
      <c r="J153" s="254"/>
      <c r="K153" s="254"/>
      <c r="L153" s="254"/>
      <c r="M153" s="248"/>
    </row>
    <row r="154" spans="1:17" ht="18">
      <c r="A154" s="97"/>
      <c r="B154" s="193" t="s">
        <v>388</v>
      </c>
      <c r="C154" s="240">
        <f>C15</f>
        <v>65</v>
      </c>
      <c r="D154" s="195" t="s">
        <v>28</v>
      </c>
      <c r="E154" s="201" t="s">
        <v>301</v>
      </c>
      <c r="F154" s="189"/>
      <c r="G154" s="248"/>
      <c r="H154" s="255" t="s">
        <v>389</v>
      </c>
      <c r="I154" s="255">
        <v>1.055056</v>
      </c>
      <c r="J154" s="254"/>
      <c r="K154" s="254"/>
      <c r="L154" s="254"/>
      <c r="M154" s="248"/>
    </row>
    <row r="155" spans="1:17" ht="18">
      <c r="A155" s="97"/>
      <c r="B155" s="193" t="s">
        <v>388</v>
      </c>
      <c r="C155" s="256">
        <f>C154*3.280839895</f>
        <v>213.25459317500002</v>
      </c>
      <c r="D155" s="195" t="s">
        <v>390</v>
      </c>
      <c r="E155" s="201" t="s">
        <v>391</v>
      </c>
      <c r="F155" s="189"/>
      <c r="G155" s="248"/>
      <c r="H155" s="255" t="s">
        <v>392</v>
      </c>
      <c r="I155" s="255">
        <f>I154*1000000</f>
        <v>1055056</v>
      </c>
      <c r="J155" s="254"/>
      <c r="K155" s="254"/>
      <c r="L155" s="254"/>
      <c r="M155" s="248"/>
    </row>
    <row r="156" spans="1:17" ht="18">
      <c r="A156" s="97"/>
      <c r="B156" s="193" t="s">
        <v>393</v>
      </c>
      <c r="C156" s="256">
        <f>(C155+((0.00754)*(C132^0.478)))/3.280839895</f>
        <v>97.704497152286649</v>
      </c>
      <c r="D156" s="195" t="s">
        <v>28</v>
      </c>
      <c r="E156" s="201" t="s">
        <v>394</v>
      </c>
      <c r="F156" s="257">
        <f>0.00456*(1/4.1868)^0.478*3.280839895</f>
        <v>7.5455374856402083E-3</v>
      </c>
      <c r="G156" s="248"/>
      <c r="H156" s="255" t="s">
        <v>395</v>
      </c>
      <c r="I156" s="255">
        <f>I155/1000000</f>
        <v>1.055056</v>
      </c>
      <c r="J156" s="254"/>
      <c r="K156" s="254"/>
      <c r="L156" s="254"/>
      <c r="M156" s="248"/>
    </row>
    <row r="157" spans="1:17" ht="18.600000000000001" thickBot="1">
      <c r="A157" s="97"/>
      <c r="B157" s="215" t="s">
        <v>396</v>
      </c>
      <c r="C157" s="258">
        <f>C154+((0.00456)*((C132/4.1868)^0.478))</f>
        <v>97.728515810556019</v>
      </c>
      <c r="D157" s="217" t="s">
        <v>28</v>
      </c>
      <c r="E157" s="259" t="s">
        <v>397</v>
      </c>
      <c r="F157" s="189"/>
      <c r="G157" s="248"/>
      <c r="H157" s="255" t="s">
        <v>384</v>
      </c>
      <c r="I157" s="255">
        <f>I153/I156</f>
        <v>429.92258230842725</v>
      </c>
      <c r="J157" s="254"/>
      <c r="K157" s="254"/>
      <c r="L157" s="254"/>
      <c r="M157" s="248"/>
    </row>
    <row r="158" spans="1:17" ht="18.600000000000001" thickBot="1">
      <c r="A158" s="97"/>
      <c r="B158" s="189"/>
      <c r="C158" s="189"/>
      <c r="D158" s="189"/>
      <c r="E158" s="189"/>
      <c r="F158" s="189"/>
      <c r="G158" s="248"/>
      <c r="H158" s="254"/>
      <c r="I158" s="254"/>
      <c r="J158" s="254"/>
      <c r="K158" s="254"/>
      <c r="L158" s="254"/>
      <c r="M158" s="248"/>
    </row>
    <row r="159" spans="1:17" ht="18.75" customHeight="1" thickBot="1">
      <c r="A159" s="97" t="s">
        <v>398</v>
      </c>
      <c r="B159" s="392" t="s">
        <v>399</v>
      </c>
      <c r="C159" s="393"/>
      <c r="D159" s="393"/>
      <c r="E159" s="394"/>
      <c r="F159" s="189"/>
      <c r="G159" s="395" t="s">
        <v>400</v>
      </c>
      <c r="H159" s="395"/>
      <c r="I159" s="395"/>
      <c r="J159" s="395"/>
      <c r="K159" s="395"/>
      <c r="L159" s="395"/>
      <c r="M159" s="395"/>
    </row>
    <row r="160" spans="1:17" ht="15" customHeight="1">
      <c r="A160" s="189"/>
      <c r="B160" s="190" t="s">
        <v>137</v>
      </c>
      <c r="C160" s="191" t="s">
        <v>138</v>
      </c>
      <c r="D160" s="191" t="s">
        <v>6</v>
      </c>
      <c r="E160" s="192" t="s">
        <v>139</v>
      </c>
      <c r="F160" s="189"/>
      <c r="G160" s="396" t="s">
        <v>401</v>
      </c>
      <c r="H160" s="397"/>
      <c r="I160" s="397"/>
      <c r="J160" s="397"/>
      <c r="K160" s="397"/>
      <c r="L160" s="397"/>
      <c r="M160" s="397"/>
      <c r="N160" s="398" t="s">
        <v>402</v>
      </c>
      <c r="O160" s="399"/>
      <c r="P160" s="399"/>
      <c r="Q160" s="400"/>
    </row>
    <row r="161" spans="1:17">
      <c r="A161" s="189"/>
      <c r="B161" s="193" t="s">
        <v>403</v>
      </c>
      <c r="C161" s="261">
        <f t="shared" ref="C161:C169" si="22">$C$107*E161*1000000</f>
        <v>19.228700041518696</v>
      </c>
      <c r="D161" s="195" t="s">
        <v>68</v>
      </c>
      <c r="E161" s="262">
        <f>L162</f>
        <v>3.3833489809123804E-3</v>
      </c>
      <c r="F161" s="189"/>
      <c r="G161" s="263" t="s">
        <v>150</v>
      </c>
      <c r="H161" s="263" t="s">
        <v>404</v>
      </c>
      <c r="I161" s="263" t="s">
        <v>405</v>
      </c>
      <c r="J161" s="260" t="s">
        <v>404</v>
      </c>
      <c r="K161" s="260" t="s">
        <v>405</v>
      </c>
      <c r="L161" s="263" t="s">
        <v>404</v>
      </c>
      <c r="M161" s="264" t="s">
        <v>405</v>
      </c>
      <c r="N161" s="265" t="s">
        <v>404</v>
      </c>
      <c r="O161" s="260" t="s">
        <v>405</v>
      </c>
      <c r="P161" s="260" t="s">
        <v>404</v>
      </c>
      <c r="Q161" s="266" t="s">
        <v>405</v>
      </c>
    </row>
    <row r="162" spans="1:17">
      <c r="A162" s="189"/>
      <c r="B162" s="193" t="s">
        <v>406</v>
      </c>
      <c r="C162" s="267">
        <f t="shared" si="22"/>
        <v>87.660250189276397</v>
      </c>
      <c r="D162" s="195" t="s">
        <v>68</v>
      </c>
      <c r="E162" s="262">
        <f>L164</f>
        <v>1.5424090942394674E-2</v>
      </c>
      <c r="F162" s="189"/>
      <c r="G162" s="268" t="s">
        <v>407</v>
      </c>
      <c r="H162" s="269">
        <f>J162*$I$157</f>
        <v>29.234735596973056</v>
      </c>
      <c r="I162" s="268" t="s">
        <v>408</v>
      </c>
      <c r="J162" s="270">
        <v>6.8000000000000005E-2</v>
      </c>
      <c r="K162" s="271" t="s">
        <v>409</v>
      </c>
      <c r="L162" s="272">
        <f>(H162*$C$50)/1000000</f>
        <v>3.3833489809123804E-3</v>
      </c>
      <c r="M162" s="273" t="s">
        <v>410</v>
      </c>
      <c r="N162" s="274">
        <f>P162/1020</f>
        <v>0.18627450980392157</v>
      </c>
      <c r="O162" s="271" t="s">
        <v>409</v>
      </c>
      <c r="P162" s="270">
        <v>190</v>
      </c>
      <c r="Q162" s="275" t="s">
        <v>411</v>
      </c>
    </row>
    <row r="163" spans="1:17">
      <c r="A163" s="189"/>
      <c r="B163" s="193" t="s">
        <v>412</v>
      </c>
      <c r="C163" s="276">
        <f t="shared" si="22"/>
        <v>55.140916561925998</v>
      </c>
      <c r="D163" s="195" t="s">
        <v>68</v>
      </c>
      <c r="E163" s="277">
        <f>(1-C128)*$G$43</f>
        <v>9.7022140578168908E-3</v>
      </c>
      <c r="F163" s="189"/>
      <c r="G163" s="268" t="s">
        <v>413</v>
      </c>
      <c r="H163" s="269">
        <f>J163*$I$157</f>
        <v>11.607909722327536</v>
      </c>
      <c r="I163" s="268" t="s">
        <v>408</v>
      </c>
      <c r="J163" s="270">
        <v>2.7E-2</v>
      </c>
      <c r="K163" s="271" t="s">
        <v>409</v>
      </c>
      <c r="L163" s="272">
        <f>(H163*$C$50)/1000000</f>
        <v>1.3433885659505037E-3</v>
      </c>
      <c r="M163" s="273" t="s">
        <v>410</v>
      </c>
      <c r="N163" s="278">
        <f>P163/4.2*177</f>
        <v>21.492857142857144</v>
      </c>
      <c r="O163" s="271" t="s">
        <v>414</v>
      </c>
      <c r="P163" s="270">
        <v>0.51</v>
      </c>
      <c r="Q163" s="275" t="s">
        <v>415</v>
      </c>
    </row>
    <row r="164" spans="1:17" ht="18.75" customHeight="1">
      <c r="A164" s="189"/>
      <c r="B164" s="193" t="s">
        <v>416</v>
      </c>
      <c r="C164" s="267">
        <f t="shared" si="22"/>
        <v>7.6349250164853641</v>
      </c>
      <c r="D164" s="195" t="s">
        <v>68</v>
      </c>
      <c r="E164" s="262">
        <f>L163</f>
        <v>1.3433885659505037E-3</v>
      </c>
      <c r="F164" s="189"/>
      <c r="G164" s="268" t="s">
        <v>66</v>
      </c>
      <c r="H164" s="269">
        <f>J164*$I$157</f>
        <v>133.27600051561245</v>
      </c>
      <c r="I164" s="268" t="s">
        <v>408</v>
      </c>
      <c r="J164" s="270">
        <v>0.31</v>
      </c>
      <c r="K164" s="271" t="s">
        <v>409</v>
      </c>
      <c r="L164" s="272">
        <f>(H164*$C$50)/1000000</f>
        <v>1.5424090942394674E-2</v>
      </c>
      <c r="M164" s="273" t="s">
        <v>410</v>
      </c>
      <c r="N164" s="274">
        <f>P164/1020</f>
        <v>8.2352941176470587E-2</v>
      </c>
      <c r="O164" s="271" t="s">
        <v>409</v>
      </c>
      <c r="P164" s="270">
        <v>84</v>
      </c>
      <c r="Q164" s="275" t="s">
        <v>411</v>
      </c>
    </row>
    <row r="165" spans="1:17" ht="15" thickBot="1">
      <c r="A165" s="189"/>
      <c r="B165" s="279" t="s">
        <v>417</v>
      </c>
      <c r="C165" s="267">
        <f t="shared" si="22"/>
        <v>0</v>
      </c>
      <c r="D165" s="280" t="s">
        <v>68</v>
      </c>
      <c r="E165" s="281">
        <f>E166+E167/64*34</f>
        <v>0</v>
      </c>
      <c r="F165" s="189"/>
      <c r="G165" s="401" t="s">
        <v>418</v>
      </c>
      <c r="H165" s="402"/>
      <c r="I165" s="402"/>
      <c r="J165" s="402"/>
      <c r="K165" s="402"/>
      <c r="L165" s="402"/>
      <c r="M165" s="403"/>
      <c r="N165" s="282"/>
      <c r="O165" s="283"/>
      <c r="P165" s="283"/>
      <c r="Q165" s="284"/>
    </row>
    <row r="166" spans="1:17">
      <c r="A166" s="189"/>
      <c r="B166" s="279" t="s">
        <v>419</v>
      </c>
      <c r="C166" s="285">
        <f t="shared" si="22"/>
        <v>0</v>
      </c>
      <c r="D166" s="280" t="s">
        <v>68</v>
      </c>
      <c r="E166" s="281">
        <f>(E167/64*34)/95%*5%</f>
        <v>0</v>
      </c>
      <c r="F166" s="189"/>
      <c r="N166" s="248"/>
    </row>
    <row r="167" spans="1:17">
      <c r="A167" s="189"/>
      <c r="B167" s="279" t="s">
        <v>420</v>
      </c>
      <c r="C167" s="267">
        <f t="shared" si="22"/>
        <v>0</v>
      </c>
      <c r="D167" s="280" t="s">
        <v>68</v>
      </c>
      <c r="E167" s="281">
        <f>L168</f>
        <v>0</v>
      </c>
      <c r="F167" s="189"/>
      <c r="G167" s="268" t="s">
        <v>421</v>
      </c>
      <c r="H167" s="269"/>
      <c r="I167" s="268"/>
      <c r="J167" s="270"/>
      <c r="K167" s="271"/>
      <c r="L167" s="272"/>
      <c r="M167" s="268" t="s">
        <v>410</v>
      </c>
    </row>
    <row r="168" spans="1:17">
      <c r="A168" s="189"/>
      <c r="B168" s="279" t="s">
        <v>422</v>
      </c>
      <c r="C168" s="285">
        <f t="shared" si="22"/>
        <v>0</v>
      </c>
      <c r="D168" s="280" t="s">
        <v>68</v>
      </c>
      <c r="E168" s="286"/>
      <c r="F168" s="189"/>
      <c r="G168" s="268" t="s">
        <v>423</v>
      </c>
      <c r="H168" s="269"/>
      <c r="I168" s="268"/>
      <c r="J168" s="270"/>
      <c r="K168" s="271"/>
      <c r="L168" s="272">
        <f>G24/D24*64</f>
        <v>0</v>
      </c>
      <c r="M168" s="268" t="s">
        <v>410</v>
      </c>
    </row>
    <row r="169" spans="1:17" ht="15" thickBot="1">
      <c r="A169" s="189"/>
      <c r="B169" s="215" t="s">
        <v>424</v>
      </c>
      <c r="C169" s="285">
        <f t="shared" si="22"/>
        <v>0</v>
      </c>
      <c r="D169" s="217" t="s">
        <v>68</v>
      </c>
      <c r="E169" s="287"/>
      <c r="F169" s="189"/>
      <c r="G169" s="189"/>
      <c r="H169" s="189"/>
      <c r="I169" s="189"/>
      <c r="J169" s="189"/>
      <c r="K169" s="189"/>
      <c r="L169" s="189"/>
      <c r="M169" s="189"/>
    </row>
    <row r="170" spans="1:17" ht="15" thickBot="1">
      <c r="A170" s="189"/>
      <c r="B170" s="189"/>
      <c r="C170" s="189"/>
      <c r="D170" s="189"/>
      <c r="E170" s="189"/>
      <c r="F170" s="189"/>
    </row>
    <row r="171" spans="1:17" ht="18.75" customHeight="1">
      <c r="A171" s="189"/>
      <c r="B171" s="389" t="s">
        <v>425</v>
      </c>
      <c r="C171" s="390"/>
      <c r="D171" s="288"/>
      <c r="E171" s="389" t="s">
        <v>425</v>
      </c>
      <c r="F171" s="391"/>
      <c r="G171" s="391"/>
      <c r="H171" s="391"/>
      <c r="I171" s="390"/>
    </row>
    <row r="172" spans="1:17">
      <c r="A172" s="189"/>
      <c r="B172" s="193" t="s">
        <v>128</v>
      </c>
      <c r="C172" s="201" t="str">
        <f>C2</f>
        <v>H2T</v>
      </c>
      <c r="D172" s="189"/>
      <c r="E172" s="193" t="s">
        <v>128</v>
      </c>
      <c r="F172" s="195"/>
      <c r="G172" s="195"/>
      <c r="H172" s="195"/>
      <c r="I172" s="201"/>
    </row>
    <row r="173" spans="1:17" ht="27.6">
      <c r="A173" s="189"/>
      <c r="B173" s="193" t="s">
        <v>130</v>
      </c>
      <c r="C173" s="289" t="str">
        <f>C3</f>
        <v>LP Flare Package BH001-PR-SPE-014-00009_B01.pdf</v>
      </c>
      <c r="D173" s="189"/>
      <c r="E173" s="193" t="s">
        <v>130</v>
      </c>
      <c r="F173" s="290"/>
      <c r="G173" s="290"/>
      <c r="H173" s="290"/>
      <c r="I173" s="289"/>
    </row>
    <row r="174" spans="1:17">
      <c r="A174" s="189"/>
      <c r="B174" s="193" t="s">
        <v>132</v>
      </c>
      <c r="C174" s="201" t="str">
        <f>C4</f>
        <v>Flare Case2</v>
      </c>
      <c r="D174" s="189"/>
      <c r="E174" s="193" t="s">
        <v>132</v>
      </c>
      <c r="F174" s="195"/>
      <c r="G174" s="195"/>
      <c r="H174" s="195"/>
      <c r="I174" s="201"/>
    </row>
    <row r="175" spans="1:17">
      <c r="A175" s="189"/>
      <c r="B175" s="291" t="s">
        <v>426</v>
      </c>
      <c r="C175" s="292">
        <f>C15</f>
        <v>65</v>
      </c>
      <c r="D175" s="189"/>
      <c r="E175" s="291" t="s">
        <v>426</v>
      </c>
      <c r="F175" s="293"/>
      <c r="G175" s="293"/>
      <c r="H175" s="293"/>
      <c r="I175" s="292"/>
    </row>
    <row r="176" spans="1:17">
      <c r="A176" s="189"/>
      <c r="B176" s="291" t="s">
        <v>427</v>
      </c>
      <c r="C176" s="294">
        <f>C116</f>
        <v>0.9</v>
      </c>
      <c r="D176" s="189"/>
      <c r="E176" s="291" t="s">
        <v>427</v>
      </c>
      <c r="F176" s="295"/>
      <c r="G176" s="295"/>
      <c r="H176" s="295"/>
      <c r="I176" s="294"/>
    </row>
    <row r="177" spans="1:9">
      <c r="A177" s="189"/>
      <c r="B177" s="291" t="s">
        <v>428</v>
      </c>
      <c r="C177" s="294">
        <f>C108</f>
        <v>198.21409936222096</v>
      </c>
      <c r="D177" s="189"/>
      <c r="E177" s="291" t="s">
        <v>428</v>
      </c>
      <c r="F177" s="296"/>
      <c r="G177" s="296"/>
      <c r="H177" s="297"/>
      <c r="I177" s="298"/>
    </row>
    <row r="178" spans="1:9">
      <c r="A178" s="189"/>
      <c r="B178" s="291" t="s">
        <v>429</v>
      </c>
      <c r="C178" s="299">
        <f>C105</f>
        <v>20.46</v>
      </c>
      <c r="D178" s="189"/>
      <c r="E178" s="291" t="s">
        <v>429</v>
      </c>
      <c r="F178" s="300"/>
      <c r="G178" s="300"/>
      <c r="H178" s="301"/>
      <c r="I178" s="302"/>
    </row>
    <row r="179" spans="1:9">
      <c r="A179" s="189"/>
      <c r="B179" s="291" t="s">
        <v>430</v>
      </c>
      <c r="C179" s="302">
        <f>C127</f>
        <v>657.73469979696415</v>
      </c>
      <c r="D179" s="189"/>
      <c r="E179" s="291" t="s">
        <v>430</v>
      </c>
      <c r="F179" s="303"/>
      <c r="G179" s="303"/>
      <c r="H179" s="303"/>
      <c r="I179" s="304"/>
    </row>
    <row r="180" spans="1:9">
      <c r="A180" s="189"/>
      <c r="B180" s="305" t="s">
        <v>431</v>
      </c>
      <c r="C180" s="306"/>
      <c r="D180" s="189"/>
      <c r="E180" s="307" t="s">
        <v>431</v>
      </c>
      <c r="F180" s="308"/>
      <c r="G180" s="308"/>
      <c r="H180" s="308"/>
      <c r="I180" s="309"/>
    </row>
    <row r="181" spans="1:9">
      <c r="A181" s="189"/>
      <c r="B181" s="310" t="s">
        <v>432</v>
      </c>
      <c r="C181" s="311">
        <f>C138</f>
        <v>7324.3478693363013</v>
      </c>
      <c r="D181" s="189"/>
      <c r="E181" s="310" t="s">
        <v>432</v>
      </c>
      <c r="F181" s="312"/>
      <c r="G181" s="312"/>
      <c r="H181" s="312"/>
      <c r="I181" s="311"/>
    </row>
    <row r="182" spans="1:9">
      <c r="A182" s="189"/>
      <c r="B182" s="310" t="s">
        <v>433</v>
      </c>
      <c r="C182" s="311">
        <f>C132/1000000</f>
        <v>488.3680145992459</v>
      </c>
      <c r="D182" s="189"/>
      <c r="E182" s="310" t="s">
        <v>433</v>
      </c>
      <c r="F182" s="312"/>
      <c r="G182" s="312"/>
      <c r="H182" s="312"/>
      <c r="I182" s="311"/>
    </row>
    <row r="183" spans="1:9">
      <c r="A183" s="189"/>
      <c r="B183" s="291" t="s">
        <v>434</v>
      </c>
      <c r="C183" s="304">
        <f>C187</f>
        <v>2759.4907741971715</v>
      </c>
      <c r="D183" s="313"/>
      <c r="E183" s="291" t="s">
        <v>434</v>
      </c>
      <c r="F183" s="314"/>
      <c r="G183" s="314"/>
      <c r="H183" s="314"/>
      <c r="I183" s="315"/>
    </row>
    <row r="184" spans="1:9">
      <c r="A184" s="189"/>
      <c r="B184" s="291" t="s">
        <v>435</v>
      </c>
      <c r="C184" s="316">
        <f>C181/(C182*1000000/(1012*1.225*(C183-C135)))</f>
        <v>45.948462764465937</v>
      </c>
      <c r="D184" s="317"/>
      <c r="E184" s="318" t="s">
        <v>435</v>
      </c>
      <c r="F184" s="319"/>
      <c r="G184" s="319"/>
      <c r="H184" s="319"/>
      <c r="I184" s="316"/>
    </row>
    <row r="185" spans="1:9">
      <c r="A185" s="189"/>
      <c r="B185" s="291" t="s">
        <v>436</v>
      </c>
      <c r="C185" s="320">
        <f>2*SQRT((C183/C135)*C182/PI())/C184</f>
        <v>1.6794336101083607</v>
      </c>
      <c r="D185" s="189"/>
      <c r="E185" s="291" t="s">
        <v>436</v>
      </c>
      <c r="F185" s="319"/>
      <c r="G185" s="319"/>
      <c r="H185" s="319"/>
      <c r="I185" s="316"/>
    </row>
    <row r="186" spans="1:9" ht="18.75" customHeight="1">
      <c r="A186" s="189"/>
      <c r="B186" s="305" t="s">
        <v>437</v>
      </c>
      <c r="C186" s="306"/>
      <c r="D186" s="189"/>
      <c r="E186" s="307" t="s">
        <v>437</v>
      </c>
      <c r="F186" s="308"/>
      <c r="G186" s="308"/>
      <c r="H186" s="308"/>
      <c r="I186" s="309"/>
    </row>
    <row r="187" spans="1:9">
      <c r="A187" s="189"/>
      <c r="B187" s="291" t="s">
        <v>438</v>
      </c>
      <c r="C187" s="304">
        <f>C134+C135</f>
        <v>2759.4907741971715</v>
      </c>
      <c r="D187" s="189"/>
      <c r="E187" s="291" t="s">
        <v>438</v>
      </c>
      <c r="F187" s="303"/>
      <c r="G187" s="303"/>
      <c r="H187" s="303"/>
      <c r="I187" s="304"/>
    </row>
    <row r="188" spans="1:9">
      <c r="A188" s="189"/>
      <c r="B188" s="291" t="s">
        <v>439</v>
      </c>
      <c r="C188" s="321">
        <f>C143</f>
        <v>0.9</v>
      </c>
      <c r="D188" s="189"/>
      <c r="E188" s="291" t="s">
        <v>439</v>
      </c>
      <c r="F188" s="322"/>
      <c r="G188" s="322"/>
      <c r="H188" s="322"/>
      <c r="I188" s="321"/>
    </row>
    <row r="189" spans="1:9">
      <c r="A189" s="189"/>
      <c r="B189" s="291" t="s">
        <v>440</v>
      </c>
      <c r="C189" s="304">
        <f>C137</f>
        <v>2814.6596305588428</v>
      </c>
      <c r="D189" s="189"/>
      <c r="E189" s="291" t="s">
        <v>440</v>
      </c>
      <c r="F189" s="300"/>
      <c r="G189" s="300"/>
      <c r="H189" s="300"/>
      <c r="I189" s="302"/>
    </row>
    <row r="190" spans="1:9">
      <c r="A190" s="189"/>
      <c r="B190" s="305" t="s">
        <v>441</v>
      </c>
      <c r="C190" s="306"/>
      <c r="D190" s="189"/>
      <c r="E190" s="307" t="s">
        <v>441</v>
      </c>
      <c r="F190" s="308"/>
      <c r="G190" s="308"/>
      <c r="H190" s="308"/>
      <c r="I190" s="309"/>
    </row>
    <row r="191" spans="1:9" ht="18.75" customHeight="1">
      <c r="B191" s="291" t="s">
        <v>438</v>
      </c>
      <c r="C191" s="304">
        <f>C145</f>
        <v>1273</v>
      </c>
      <c r="D191" s="189"/>
      <c r="E191" s="291" t="s">
        <v>438</v>
      </c>
      <c r="F191" s="303"/>
      <c r="G191" s="303"/>
      <c r="H191" s="303"/>
      <c r="I191" s="304"/>
    </row>
    <row r="192" spans="1:9">
      <c r="B192" s="291" t="s">
        <v>439</v>
      </c>
      <c r="C192" s="321">
        <f>C150</f>
        <v>10.671889356134573</v>
      </c>
      <c r="D192" s="189"/>
      <c r="E192" s="291" t="s">
        <v>439</v>
      </c>
      <c r="F192" s="322"/>
      <c r="G192" s="322"/>
      <c r="H192" s="322"/>
      <c r="I192" s="321"/>
    </row>
    <row r="193" spans="2:9">
      <c r="B193" s="291" t="s">
        <v>440</v>
      </c>
      <c r="C193" s="302">
        <f>C147</f>
        <v>20</v>
      </c>
      <c r="D193" s="189"/>
      <c r="E193" s="291" t="s">
        <v>440</v>
      </c>
      <c r="F193" s="300"/>
      <c r="G193" s="300"/>
      <c r="H193" s="300"/>
      <c r="I193" s="302"/>
    </row>
    <row r="194" spans="2:9">
      <c r="B194" s="323" t="s">
        <v>442</v>
      </c>
      <c r="C194" s="324"/>
      <c r="D194" s="189"/>
      <c r="E194" s="325" t="s">
        <v>442</v>
      </c>
      <c r="F194" s="326"/>
      <c r="G194" s="326"/>
      <c r="H194" s="326"/>
      <c r="I194" s="327"/>
    </row>
    <row r="195" spans="2:9">
      <c r="B195" s="328" t="s">
        <v>443</v>
      </c>
      <c r="C195" s="329">
        <f>C161</f>
        <v>19.228700041518696</v>
      </c>
      <c r="D195" s="189"/>
      <c r="E195" s="330" t="s">
        <v>443</v>
      </c>
      <c r="F195" s="331">
        <f t="shared" ref="F195:F200" si="23">H195*1000000/3600</f>
        <v>4805.5555555555557</v>
      </c>
      <c r="G195" s="107" t="s">
        <v>23</v>
      </c>
      <c r="H195" s="107">
        <v>17.3</v>
      </c>
      <c r="I195" s="329"/>
    </row>
    <row r="196" spans="2:9">
      <c r="B196" s="328" t="s">
        <v>444</v>
      </c>
      <c r="C196" s="332">
        <f>C162</f>
        <v>87.660250189276397</v>
      </c>
      <c r="D196" s="189"/>
      <c r="E196" s="330" t="s">
        <v>444</v>
      </c>
      <c r="F196" s="331">
        <f t="shared" si="23"/>
        <v>2125</v>
      </c>
      <c r="G196" s="107" t="s">
        <v>23</v>
      </c>
      <c r="H196" s="107">
        <v>7.65</v>
      </c>
      <c r="I196" s="329"/>
    </row>
    <row r="197" spans="2:9">
      <c r="B197" s="328" t="s">
        <v>445</v>
      </c>
      <c r="C197" s="332">
        <f>C163</f>
        <v>55.140916561925998</v>
      </c>
      <c r="D197" s="189"/>
      <c r="E197" s="328" t="s">
        <v>445</v>
      </c>
      <c r="F197" s="333">
        <f t="shared" si="23"/>
        <v>0</v>
      </c>
      <c r="G197" s="107" t="s">
        <v>23</v>
      </c>
      <c r="H197" s="107"/>
      <c r="I197" s="329"/>
    </row>
    <row r="198" spans="2:9">
      <c r="B198" s="328" t="s">
        <v>446</v>
      </c>
      <c r="C198" s="334">
        <f>C164</f>
        <v>7.6349250164853641</v>
      </c>
      <c r="D198" s="189"/>
      <c r="E198" s="330" t="s">
        <v>446</v>
      </c>
      <c r="F198" s="335">
        <f t="shared" si="23"/>
        <v>0</v>
      </c>
      <c r="G198" s="107"/>
      <c r="H198" s="107"/>
      <c r="I198" s="329"/>
    </row>
    <row r="199" spans="2:9">
      <c r="B199" s="328" t="s">
        <v>447</v>
      </c>
      <c r="C199" s="336">
        <f>C166</f>
        <v>0</v>
      </c>
      <c r="D199" s="189"/>
      <c r="E199" s="330" t="s">
        <v>447</v>
      </c>
      <c r="F199" s="335">
        <f t="shared" si="23"/>
        <v>0</v>
      </c>
      <c r="G199" s="107"/>
      <c r="H199" s="107"/>
      <c r="I199" s="329"/>
    </row>
    <row r="200" spans="2:9" ht="15" thickBot="1">
      <c r="B200" s="337" t="s">
        <v>448</v>
      </c>
      <c r="C200" s="338">
        <f>C167</f>
        <v>0</v>
      </c>
      <c r="D200" s="189"/>
      <c r="E200" s="339" t="s">
        <v>448</v>
      </c>
      <c r="F200" s="340">
        <f t="shared" si="23"/>
        <v>3369.4444444444443</v>
      </c>
      <c r="G200" s="107" t="s">
        <v>23</v>
      </c>
      <c r="H200" s="107">
        <v>12.13</v>
      </c>
      <c r="I200" s="341"/>
    </row>
    <row r="202" spans="2:9">
      <c r="F202" s="120"/>
      <c r="G202" s="120"/>
      <c r="H202" s="120"/>
      <c r="I202" s="120"/>
    </row>
    <row r="203" spans="2:9">
      <c r="F203" s="253"/>
      <c r="G203" s="253"/>
      <c r="H203" s="253"/>
      <c r="I203" s="253"/>
    </row>
  </sheetData>
  <mergeCells count="20">
    <mergeCell ref="B52:F52"/>
    <mergeCell ref="B10:E10"/>
    <mergeCell ref="B19:E19"/>
    <mergeCell ref="F19:K19"/>
    <mergeCell ref="L19:S19"/>
    <mergeCell ref="B46:F46"/>
    <mergeCell ref="N160:Q160"/>
    <mergeCell ref="G165:M165"/>
    <mergeCell ref="B103:E103"/>
    <mergeCell ref="G103:K103"/>
    <mergeCell ref="B113:E113"/>
    <mergeCell ref="B123:E123"/>
    <mergeCell ref="B141:E141"/>
    <mergeCell ref="H151:I151"/>
    <mergeCell ref="B171:C171"/>
    <mergeCell ref="E171:I171"/>
    <mergeCell ref="B152:E152"/>
    <mergeCell ref="B159:E159"/>
    <mergeCell ref="G159:M159"/>
    <mergeCell ref="G160:M160"/>
  </mergeCells>
  <hyperlinks>
    <hyperlink ref="G165" r:id="rId1" xr:uid="{904169F5-D746-486C-9E48-62D9920FC448}"/>
  </hyperlinks>
  <pageMargins left="0.7" right="0.7" top="0.75" bottom="0.75" header="0.3" footer="0.3"/>
  <pageSetup paperSize="9" orientation="portrait" r:id="rId2"/>
  <drawing r:id="rId3"/>
  <legacy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6FEB5-9825-49C8-A96A-C995F6969DC1}">
  <dimension ref="A1:U203"/>
  <sheetViews>
    <sheetView topLeftCell="A113" workbookViewId="0">
      <selection activeCell="J163" sqref="J163"/>
    </sheetView>
  </sheetViews>
  <sheetFormatPr defaultRowHeight="14.45"/>
  <cols>
    <col min="2" max="2" width="26.140625" customWidth="1"/>
    <col min="3" max="3" width="25.140625" customWidth="1"/>
    <col min="4" max="4" width="14.5703125" customWidth="1"/>
    <col min="5" max="5" width="30.7109375" customWidth="1"/>
    <col min="6" max="6" width="15" customWidth="1"/>
    <col min="7" max="7" width="15.5703125" customWidth="1"/>
    <col min="8" max="8" width="16.28515625" customWidth="1"/>
    <col min="9" max="10" width="14.140625" customWidth="1"/>
    <col min="11" max="11" width="11.85546875" customWidth="1"/>
    <col min="12" max="13" width="11.140625" customWidth="1"/>
    <col min="14" max="14" width="13.140625" bestFit="1" customWidth="1"/>
    <col min="15" max="15" width="10.85546875" customWidth="1"/>
    <col min="16" max="16" width="13.140625" bestFit="1" customWidth="1"/>
    <col min="17" max="17" width="11.140625" bestFit="1" customWidth="1"/>
    <col min="18" max="18" width="11.5703125" customWidth="1"/>
    <col min="19" max="19" width="11.42578125" customWidth="1"/>
    <col min="21" max="21" width="14.28515625" customWidth="1"/>
  </cols>
  <sheetData>
    <row r="1" spans="2:9" ht="15" thickBot="1"/>
    <row r="2" spans="2:9">
      <c r="B2" s="75" t="s">
        <v>128</v>
      </c>
      <c r="C2" s="76" t="s">
        <v>129</v>
      </c>
    </row>
    <row r="3" spans="2:9" ht="27.6">
      <c r="B3" s="77" t="s">
        <v>130</v>
      </c>
      <c r="C3" s="78" t="s">
        <v>283</v>
      </c>
    </row>
    <row r="4" spans="2:9" ht="15" thickBot="1">
      <c r="B4" s="79" t="s">
        <v>132</v>
      </c>
      <c r="C4" s="80" t="s">
        <v>450</v>
      </c>
    </row>
    <row r="6" spans="2:9">
      <c r="C6" s="81" t="s">
        <v>134</v>
      </c>
    </row>
    <row r="7" spans="2:9">
      <c r="C7" s="82" t="s">
        <v>135</v>
      </c>
    </row>
    <row r="9" spans="2:9" ht="15" thickBot="1"/>
    <row r="10" spans="2:9" ht="18">
      <c r="B10" s="380" t="s">
        <v>136</v>
      </c>
      <c r="C10" s="381"/>
      <c r="D10" s="381"/>
      <c r="E10" s="382"/>
    </row>
    <row r="11" spans="2:9">
      <c r="B11" s="83" t="s">
        <v>137</v>
      </c>
      <c r="C11" s="84" t="s">
        <v>138</v>
      </c>
      <c r="D11" s="84" t="s">
        <v>6</v>
      </c>
      <c r="E11" s="85" t="s">
        <v>139</v>
      </c>
    </row>
    <row r="12" spans="2:9">
      <c r="B12" s="86" t="s">
        <v>140</v>
      </c>
      <c r="C12" s="87"/>
      <c r="D12" s="88"/>
      <c r="E12" s="89"/>
    </row>
    <row r="13" spans="2:9">
      <c r="B13" s="86" t="s">
        <v>141</v>
      </c>
      <c r="C13" s="90"/>
      <c r="D13" s="88"/>
      <c r="E13" s="89"/>
    </row>
    <row r="14" spans="2:9">
      <c r="B14" s="86" t="s">
        <v>142</v>
      </c>
      <c r="C14" s="90"/>
      <c r="D14" s="88"/>
      <c r="E14" s="89"/>
      <c r="I14" s="342"/>
    </row>
    <row r="15" spans="2:9">
      <c r="B15" s="86" t="s">
        <v>143</v>
      </c>
      <c r="C15" s="91">
        <v>65</v>
      </c>
      <c r="D15" s="60" t="s">
        <v>28</v>
      </c>
      <c r="E15" s="92"/>
    </row>
    <row r="16" spans="2:9">
      <c r="B16" s="86" t="s">
        <v>144</v>
      </c>
      <c r="C16" s="91">
        <v>0.9</v>
      </c>
      <c r="D16" s="60" t="s">
        <v>28</v>
      </c>
      <c r="E16" s="92"/>
    </row>
    <row r="17" spans="1:21" ht="42" thickBot="1">
      <c r="B17" s="93" t="s">
        <v>145</v>
      </c>
      <c r="C17" s="94">
        <f>61710/1000</f>
        <v>61.71</v>
      </c>
      <c r="D17" s="95" t="s">
        <v>146</v>
      </c>
      <c r="E17" s="96" t="s">
        <v>147</v>
      </c>
    </row>
    <row r="18" spans="1:21" ht="15" thickBot="1"/>
    <row r="19" spans="1:21" ht="18">
      <c r="A19" s="97" t="s">
        <v>148</v>
      </c>
      <c r="B19" s="383" t="s">
        <v>149</v>
      </c>
      <c r="C19" s="384"/>
      <c r="D19" s="384"/>
      <c r="E19" s="385"/>
      <c r="F19" s="383"/>
      <c r="G19" s="384"/>
      <c r="H19" s="384"/>
      <c r="I19" s="384"/>
      <c r="J19" s="384"/>
      <c r="K19" s="385"/>
      <c r="L19" s="383"/>
      <c r="M19" s="384"/>
      <c r="N19" s="384"/>
      <c r="O19" s="384"/>
      <c r="P19" s="384"/>
      <c r="Q19" s="384"/>
      <c r="R19" s="384"/>
      <c r="S19" s="385"/>
    </row>
    <row r="20" spans="1:21" ht="36">
      <c r="B20" s="98" t="s">
        <v>150</v>
      </c>
      <c r="C20" s="99" t="s">
        <v>151</v>
      </c>
      <c r="D20" s="99" t="s">
        <v>152</v>
      </c>
      <c r="E20" s="100" t="s">
        <v>153</v>
      </c>
      <c r="F20" s="98" t="s">
        <v>154</v>
      </c>
      <c r="G20" s="99" t="s">
        <v>155</v>
      </c>
      <c r="H20" s="99" t="s">
        <v>156</v>
      </c>
      <c r="I20" s="99" t="s">
        <v>157</v>
      </c>
      <c r="J20" s="99" t="s">
        <v>158</v>
      </c>
      <c r="K20" s="100" t="s">
        <v>159</v>
      </c>
      <c r="L20" s="98" t="s">
        <v>160</v>
      </c>
      <c r="M20" s="99" t="s">
        <v>161</v>
      </c>
      <c r="N20" s="101" t="s">
        <v>162</v>
      </c>
      <c r="O20" s="101" t="s">
        <v>163</v>
      </c>
      <c r="P20" s="101" t="s">
        <v>164</v>
      </c>
      <c r="Q20" s="101" t="s">
        <v>165</v>
      </c>
      <c r="R20" s="101" t="s">
        <v>166</v>
      </c>
      <c r="S20" s="102" t="s">
        <v>167</v>
      </c>
      <c r="U20" s="103" t="s">
        <v>168</v>
      </c>
    </row>
    <row r="21" spans="1:21">
      <c r="B21" s="104" t="s">
        <v>34</v>
      </c>
      <c r="C21" s="105" t="s">
        <v>101</v>
      </c>
      <c r="D21" s="106">
        <v>28</v>
      </c>
      <c r="E21" s="107">
        <v>3.64</v>
      </c>
      <c r="F21" s="108">
        <f t="shared" ref="F21:F41" si="0">(E21/100*D21)</f>
        <v>1.0192000000000001</v>
      </c>
      <c r="G21" s="109">
        <f t="shared" ref="G21:G41" si="1">F21/F$42</f>
        <v>5.8801470036750944E-2</v>
      </c>
      <c r="H21" s="110" t="s">
        <v>169</v>
      </c>
      <c r="I21" s="110" t="s">
        <v>169</v>
      </c>
      <c r="J21" s="111" t="s">
        <v>169</v>
      </c>
      <c r="K21" s="112" t="s">
        <v>169</v>
      </c>
      <c r="L21" s="108" t="s">
        <v>169</v>
      </c>
      <c r="M21" s="111" t="s">
        <v>169</v>
      </c>
      <c r="N21" s="113" t="s">
        <v>169</v>
      </c>
      <c r="O21" s="113" t="s">
        <v>169</v>
      </c>
      <c r="P21" s="114" t="s">
        <v>169</v>
      </c>
      <c r="Q21" s="114" t="s">
        <v>169</v>
      </c>
      <c r="R21" s="115" t="s">
        <v>169</v>
      </c>
      <c r="S21" s="115" t="s">
        <v>169</v>
      </c>
      <c r="U21" t="e">
        <f>I21*1000*D21</f>
        <v>#VALUE!</v>
      </c>
    </row>
    <row r="22" spans="1:21">
      <c r="B22" s="104" t="s">
        <v>170</v>
      </c>
      <c r="C22" s="105" t="s">
        <v>102</v>
      </c>
      <c r="D22" s="106">
        <v>18</v>
      </c>
      <c r="E22" s="107">
        <v>0</v>
      </c>
      <c r="F22" s="108">
        <f t="shared" si="0"/>
        <v>0</v>
      </c>
      <c r="G22" s="109">
        <f t="shared" si="1"/>
        <v>0</v>
      </c>
      <c r="H22" s="110" t="s">
        <v>169</v>
      </c>
      <c r="I22" s="110" t="s">
        <v>169</v>
      </c>
      <c r="J22" s="111" t="s">
        <v>169</v>
      </c>
      <c r="K22" s="112" t="s">
        <v>169</v>
      </c>
      <c r="L22" s="108" t="s">
        <v>169</v>
      </c>
      <c r="M22" s="111" t="s">
        <v>169</v>
      </c>
      <c r="N22" s="113" t="s">
        <v>169</v>
      </c>
      <c r="O22" s="113" t="s">
        <v>169</v>
      </c>
      <c r="P22" s="114" t="s">
        <v>169</v>
      </c>
      <c r="Q22" s="114" t="s">
        <v>169</v>
      </c>
      <c r="R22" s="115" t="s">
        <v>169</v>
      </c>
      <c r="S22" s="116">
        <f>$E22/100</f>
        <v>0</v>
      </c>
      <c r="U22" t="e">
        <f t="shared" ref="U22:U31" si="2">I22*1000*D22</f>
        <v>#VALUE!</v>
      </c>
    </row>
    <row r="23" spans="1:21">
      <c r="B23" s="104" t="s">
        <v>32</v>
      </c>
      <c r="C23" s="105" t="s">
        <v>99</v>
      </c>
      <c r="D23" s="106">
        <v>44</v>
      </c>
      <c r="E23" s="107">
        <v>0.77</v>
      </c>
      <c r="F23" s="108">
        <f t="shared" si="0"/>
        <v>0.33879999999999999</v>
      </c>
      <c r="G23" s="109">
        <f t="shared" si="1"/>
        <v>1.9546642512216657E-2</v>
      </c>
      <c r="H23" s="110" t="s">
        <v>169</v>
      </c>
      <c r="I23" s="110" t="s">
        <v>169</v>
      </c>
      <c r="J23" s="111" t="s">
        <v>169</v>
      </c>
      <c r="K23" s="112" t="s">
        <v>169</v>
      </c>
      <c r="L23" s="108" t="s">
        <v>169</v>
      </c>
      <c r="M23" s="111" t="s">
        <v>169</v>
      </c>
      <c r="N23" s="113" t="s">
        <v>169</v>
      </c>
      <c r="O23" s="113" t="s">
        <v>169</v>
      </c>
      <c r="P23" s="114" t="s">
        <v>169</v>
      </c>
      <c r="Q23" s="114" t="s">
        <v>169</v>
      </c>
      <c r="R23" s="116">
        <f>$E23/100</f>
        <v>7.7000000000000002E-3</v>
      </c>
      <c r="S23" s="115" t="s">
        <v>169</v>
      </c>
      <c r="U23" t="e">
        <f t="shared" si="2"/>
        <v>#VALUE!</v>
      </c>
    </row>
    <row r="24" spans="1:21">
      <c r="B24" s="104" t="s">
        <v>171</v>
      </c>
      <c r="C24" s="105" t="s">
        <v>172</v>
      </c>
      <c r="D24" s="106">
        <v>34</v>
      </c>
      <c r="E24" s="117">
        <v>0</v>
      </c>
      <c r="F24" s="108">
        <f t="shared" si="0"/>
        <v>0</v>
      </c>
      <c r="G24" s="118">
        <f t="shared" si="1"/>
        <v>0</v>
      </c>
      <c r="H24" s="110">
        <v>35.06</v>
      </c>
      <c r="I24" s="110">
        <v>31.56</v>
      </c>
      <c r="J24" s="106">
        <f t="shared" ref="J24:J41" si="3">H24*G24</f>
        <v>0</v>
      </c>
      <c r="K24" s="112">
        <f t="shared" ref="K24:K41" si="4">I24*G24</f>
        <v>0</v>
      </c>
      <c r="L24" s="119">
        <v>1</v>
      </c>
      <c r="M24" s="106">
        <v>2</v>
      </c>
      <c r="N24" s="113">
        <f t="shared" ref="N24:N41" si="5">L24*E24/100</f>
        <v>0</v>
      </c>
      <c r="O24" s="113">
        <f t="shared" ref="O24:O41" si="6">M24*E24/100</f>
        <v>0</v>
      </c>
      <c r="P24" s="114">
        <f>N24+O24/4</f>
        <v>0</v>
      </c>
      <c r="Q24" s="114">
        <f>P24/0.21</f>
        <v>0</v>
      </c>
      <c r="R24" s="116">
        <f>N24</f>
        <v>0</v>
      </c>
      <c r="S24" s="115">
        <f>O24/2</f>
        <v>0</v>
      </c>
      <c r="U24" s="120">
        <f t="shared" si="2"/>
        <v>1073040</v>
      </c>
    </row>
    <row r="25" spans="1:21">
      <c r="B25" s="104" t="s">
        <v>173</v>
      </c>
      <c r="C25" s="105" t="s">
        <v>174</v>
      </c>
      <c r="D25" s="106">
        <v>16</v>
      </c>
      <c r="E25" s="107">
        <v>91.79</v>
      </c>
      <c r="F25" s="108">
        <f>(E25/100*D25)</f>
        <v>14.686400000000001</v>
      </c>
      <c r="G25" s="109">
        <f t="shared" si="1"/>
        <v>0.84731349052957117</v>
      </c>
      <c r="H25" s="110">
        <f>37.71/0.6785</f>
        <v>55.578481945467949</v>
      </c>
      <c r="I25" s="110">
        <f>33.95/0.6785</f>
        <v>50.036845983787771</v>
      </c>
      <c r="J25" s="111">
        <f t="shared" si="3"/>
        <v>47.092397535549196</v>
      </c>
      <c r="K25" s="112">
        <f>I25*G25</f>
        <v>42.396894625613768</v>
      </c>
      <c r="L25" s="119">
        <v>1</v>
      </c>
      <c r="M25" s="106">
        <v>4</v>
      </c>
      <c r="N25" s="113">
        <f t="shared" si="5"/>
        <v>0.91790000000000005</v>
      </c>
      <c r="O25" s="113">
        <f>M25*E25/100</f>
        <v>3.6716000000000002</v>
      </c>
      <c r="P25" s="114">
        <f t="shared" ref="P25:P41" si="7">N25+O25/4</f>
        <v>1.8358000000000001</v>
      </c>
      <c r="Q25" s="114">
        <f t="shared" ref="Q25:Q41" si="8">P25/0.21</f>
        <v>8.7419047619047632</v>
      </c>
      <c r="R25" s="116">
        <f t="shared" ref="R25:R42" si="9">N25</f>
        <v>0.91790000000000005</v>
      </c>
      <c r="S25" s="115">
        <f>O25/2</f>
        <v>1.8358000000000001</v>
      </c>
      <c r="U25" s="120">
        <f t="shared" si="2"/>
        <v>800589.53574060439</v>
      </c>
    </row>
    <row r="26" spans="1:21">
      <c r="B26" s="104" t="s">
        <v>175</v>
      </c>
      <c r="C26" s="105" t="s">
        <v>176</v>
      </c>
      <c r="D26" s="106">
        <v>30</v>
      </c>
      <c r="E26" s="107">
        <v>3</v>
      </c>
      <c r="F26" s="108">
        <f t="shared" si="0"/>
        <v>0.89999999999999991</v>
      </c>
      <c r="G26" s="109">
        <f t="shared" si="1"/>
        <v>5.1924375032452744E-2</v>
      </c>
      <c r="H26" s="110">
        <f>66.07/1.272</f>
        <v>51.941823899371066</v>
      </c>
      <c r="I26" s="110">
        <f>60.43/1.272</f>
        <v>47.507861635220124</v>
      </c>
      <c r="J26" s="111">
        <f t="shared" si="3"/>
        <v>2.6970467440205601</v>
      </c>
      <c r="K26" s="112">
        <f t="shared" si="4"/>
        <v>2.4668160245370432</v>
      </c>
      <c r="L26" s="119">
        <v>2</v>
      </c>
      <c r="M26" s="106">
        <v>6</v>
      </c>
      <c r="N26" s="113">
        <f t="shared" si="5"/>
        <v>0.06</v>
      </c>
      <c r="O26" s="113">
        <f t="shared" si="6"/>
        <v>0.18</v>
      </c>
      <c r="P26" s="114">
        <f t="shared" si="7"/>
        <v>0.105</v>
      </c>
      <c r="Q26" s="114">
        <f t="shared" si="8"/>
        <v>0.5</v>
      </c>
      <c r="R26" s="116">
        <f t="shared" si="9"/>
        <v>0.06</v>
      </c>
      <c r="S26" s="115">
        <f t="shared" ref="S26:S42" si="10">O26/2</f>
        <v>0.09</v>
      </c>
      <c r="U26" s="120">
        <f t="shared" si="2"/>
        <v>1425235.8490566036</v>
      </c>
    </row>
    <row r="27" spans="1:21">
      <c r="B27" s="104" t="s">
        <v>177</v>
      </c>
      <c r="C27" s="105" t="s">
        <v>178</v>
      </c>
      <c r="D27" s="106">
        <v>44</v>
      </c>
      <c r="E27" s="107">
        <v>0.59</v>
      </c>
      <c r="F27" s="108">
        <f t="shared" si="0"/>
        <v>0.2596</v>
      </c>
      <c r="G27" s="109">
        <f t="shared" si="1"/>
        <v>1.4977297509360814E-2</v>
      </c>
      <c r="H27" s="110">
        <f>93.94/1.865</f>
        <v>50.369973190348524</v>
      </c>
      <c r="I27" s="110">
        <f>86.42/1.865</f>
        <v>46.337801608579092</v>
      </c>
      <c r="J27" s="111">
        <f t="shared" si="3"/>
        <v>0.75440607401037796</v>
      </c>
      <c r="K27" s="112">
        <f t="shared" si="4"/>
        <v>0.69401504062142716</v>
      </c>
      <c r="L27" s="119">
        <v>3</v>
      </c>
      <c r="M27" s="106">
        <v>8</v>
      </c>
      <c r="N27" s="113">
        <f t="shared" si="5"/>
        <v>1.77E-2</v>
      </c>
      <c r="O27" s="113">
        <f t="shared" si="6"/>
        <v>4.7199999999999999E-2</v>
      </c>
      <c r="P27" s="114">
        <f t="shared" si="7"/>
        <v>2.9499999999999998E-2</v>
      </c>
      <c r="Q27" s="114">
        <f t="shared" si="8"/>
        <v>0.14047619047619048</v>
      </c>
      <c r="R27" s="116">
        <f t="shared" si="9"/>
        <v>1.77E-2</v>
      </c>
      <c r="S27" s="115">
        <f t="shared" si="10"/>
        <v>2.3599999999999999E-2</v>
      </c>
      <c r="U27" s="120">
        <f t="shared" si="2"/>
        <v>2038863.2707774802</v>
      </c>
    </row>
    <row r="28" spans="1:21">
      <c r="B28" s="104" t="s">
        <v>179</v>
      </c>
      <c r="C28" s="105" t="s">
        <v>180</v>
      </c>
      <c r="D28" s="106">
        <v>58</v>
      </c>
      <c r="E28" s="107">
        <v>0.09</v>
      </c>
      <c r="F28" s="108">
        <f t="shared" si="0"/>
        <v>5.2199999999999996E-2</v>
      </c>
      <c r="G28" s="109">
        <f t="shared" si="1"/>
        <v>3.0116137518822594E-3</v>
      </c>
      <c r="H28" s="110">
        <f>121.6/2.458</f>
        <v>49.471114727420662</v>
      </c>
      <c r="I28" s="110">
        <f>112.2/2.458</f>
        <v>45.64686737184703</v>
      </c>
      <c r="J28" s="111">
        <f t="shared" si="3"/>
        <v>0.14898788943404503</v>
      </c>
      <c r="K28" s="112">
        <f t="shared" si="4"/>
        <v>0.13747073350740013</v>
      </c>
      <c r="L28" s="119">
        <v>4</v>
      </c>
      <c r="M28" s="106">
        <v>10</v>
      </c>
      <c r="N28" s="113">
        <f t="shared" si="5"/>
        <v>3.5999999999999999E-3</v>
      </c>
      <c r="O28" s="113">
        <f t="shared" si="6"/>
        <v>8.9999999999999993E-3</v>
      </c>
      <c r="P28" s="114">
        <f t="shared" si="7"/>
        <v>5.8499999999999993E-3</v>
      </c>
      <c r="Q28" s="114">
        <f t="shared" si="8"/>
        <v>2.7857142857142855E-2</v>
      </c>
      <c r="R28" s="116">
        <f t="shared" si="9"/>
        <v>3.5999999999999999E-3</v>
      </c>
      <c r="S28" s="115">
        <f t="shared" si="10"/>
        <v>4.4999999999999997E-3</v>
      </c>
      <c r="U28" s="120">
        <f t="shared" si="2"/>
        <v>2647518.307567128</v>
      </c>
    </row>
    <row r="29" spans="1:21">
      <c r="B29" s="104"/>
      <c r="C29" s="105" t="s">
        <v>181</v>
      </c>
      <c r="D29" s="106">
        <v>58</v>
      </c>
      <c r="E29" s="107">
        <v>0.05</v>
      </c>
      <c r="F29" s="108">
        <f t="shared" si="0"/>
        <v>2.9000000000000001E-2</v>
      </c>
      <c r="G29" s="109">
        <f t="shared" si="1"/>
        <v>1.6731187510456997E-3</v>
      </c>
      <c r="H29" s="121">
        <v>49.471114727420662</v>
      </c>
      <c r="I29" s="121">
        <v>45.64686737184703</v>
      </c>
      <c r="J29" s="111">
        <f t="shared" si="3"/>
        <v>8.2771049685580578E-2</v>
      </c>
      <c r="K29" s="112">
        <f t="shared" si="4"/>
        <v>7.6372629726333408E-2</v>
      </c>
      <c r="L29" s="119">
        <v>4</v>
      </c>
      <c r="M29" s="106">
        <v>10</v>
      </c>
      <c r="N29" s="113">
        <f t="shared" si="5"/>
        <v>2E-3</v>
      </c>
      <c r="O29" s="113">
        <f t="shared" si="6"/>
        <v>5.0000000000000001E-3</v>
      </c>
      <c r="P29" s="114">
        <f t="shared" si="7"/>
        <v>3.2500000000000003E-3</v>
      </c>
      <c r="Q29" s="114">
        <f t="shared" si="8"/>
        <v>1.5476190476190478E-2</v>
      </c>
      <c r="R29" s="116">
        <f t="shared" si="9"/>
        <v>2E-3</v>
      </c>
      <c r="S29" s="115">
        <f t="shared" si="10"/>
        <v>2.5000000000000001E-3</v>
      </c>
      <c r="U29" s="120">
        <f t="shared" si="2"/>
        <v>2647518.307567128</v>
      </c>
    </row>
    <row r="30" spans="1:21">
      <c r="B30" s="104" t="s">
        <v>182</v>
      </c>
      <c r="C30" s="105" t="s">
        <v>183</v>
      </c>
      <c r="D30" s="106">
        <v>72</v>
      </c>
      <c r="E30" s="107">
        <v>0.04</v>
      </c>
      <c r="F30" s="108">
        <f t="shared" si="0"/>
        <v>2.8800000000000003E-2</v>
      </c>
      <c r="G30" s="109">
        <f t="shared" si="1"/>
        <v>1.661580001038488E-3</v>
      </c>
      <c r="H30" s="122">
        <f>149.3/3.051</f>
        <v>48.93477548344805</v>
      </c>
      <c r="I30" s="122">
        <f>138.1/3.051</f>
        <v>45.263847918715172</v>
      </c>
      <c r="J30" s="111">
        <f t="shared" si="3"/>
        <v>8.130904429860579E-2</v>
      </c>
      <c r="K30" s="112">
        <f t="shared" si="4"/>
        <v>7.5209504471784719E-2</v>
      </c>
      <c r="L30" s="119">
        <v>5</v>
      </c>
      <c r="M30" s="106">
        <v>12</v>
      </c>
      <c r="N30" s="113">
        <f t="shared" si="5"/>
        <v>2E-3</v>
      </c>
      <c r="O30" s="113">
        <f t="shared" si="6"/>
        <v>4.7999999999999996E-3</v>
      </c>
      <c r="P30" s="114">
        <f t="shared" si="7"/>
        <v>3.1999999999999997E-3</v>
      </c>
      <c r="Q30" s="114">
        <f t="shared" si="8"/>
        <v>1.5238095238095238E-2</v>
      </c>
      <c r="R30" s="116">
        <f t="shared" si="9"/>
        <v>2E-3</v>
      </c>
      <c r="S30" s="115">
        <f t="shared" si="10"/>
        <v>2.3999999999999998E-3</v>
      </c>
      <c r="U30" s="120">
        <f t="shared" si="2"/>
        <v>3258997.0501474924</v>
      </c>
    </row>
    <row r="31" spans="1:21">
      <c r="B31" s="104"/>
      <c r="C31" s="105"/>
      <c r="D31" s="106">
        <v>72</v>
      </c>
      <c r="E31" s="107">
        <v>0</v>
      </c>
      <c r="F31" s="108">
        <f t="shared" si="0"/>
        <v>0</v>
      </c>
      <c r="G31" s="109">
        <f t="shared" si="1"/>
        <v>0</v>
      </c>
      <c r="H31" s="121">
        <v>48.93477548344805</v>
      </c>
      <c r="I31" s="121">
        <v>45.263847918715172</v>
      </c>
      <c r="J31" s="111">
        <f t="shared" si="3"/>
        <v>0</v>
      </c>
      <c r="K31" s="112">
        <f t="shared" si="4"/>
        <v>0</v>
      </c>
      <c r="L31" s="119">
        <v>5</v>
      </c>
      <c r="M31" s="106">
        <v>12</v>
      </c>
      <c r="N31" s="113">
        <f t="shared" si="5"/>
        <v>0</v>
      </c>
      <c r="O31" s="113">
        <f t="shared" si="6"/>
        <v>0</v>
      </c>
      <c r="P31" s="114">
        <f t="shared" si="7"/>
        <v>0</v>
      </c>
      <c r="Q31" s="114">
        <f t="shared" si="8"/>
        <v>0</v>
      </c>
      <c r="R31" s="116">
        <f t="shared" si="9"/>
        <v>0</v>
      </c>
      <c r="S31" s="115">
        <f t="shared" si="10"/>
        <v>0</v>
      </c>
      <c r="U31" s="120">
        <f t="shared" si="2"/>
        <v>3258997.0501474924</v>
      </c>
    </row>
    <row r="32" spans="1:21">
      <c r="B32" s="104" t="s">
        <v>184</v>
      </c>
      <c r="C32" s="105" t="s">
        <v>185</v>
      </c>
      <c r="D32" s="106">
        <v>86</v>
      </c>
      <c r="E32" s="107">
        <v>0.02</v>
      </c>
      <c r="F32" s="108">
        <f>(E32/100*D32)</f>
        <v>1.72E-2</v>
      </c>
      <c r="G32" s="109">
        <f>F32/F$42</f>
        <v>9.9233250062020812E-4</v>
      </c>
      <c r="H32" s="122">
        <f>177.55/3.645</f>
        <v>48.710562414266121</v>
      </c>
      <c r="I32" s="122">
        <f>164.4/3.645</f>
        <v>45.102880658436213</v>
      </c>
      <c r="J32" s="111">
        <f>H32*G32</f>
        <v>4.8337074207165424E-2</v>
      </c>
      <c r="K32" s="112">
        <f>I32*G32</f>
        <v>4.4757054348960823E-2</v>
      </c>
      <c r="L32" s="119">
        <v>6</v>
      </c>
      <c r="M32" s="106">
        <v>14</v>
      </c>
      <c r="N32" s="113">
        <f>L32*E32/100</f>
        <v>1.1999999999999999E-3</v>
      </c>
      <c r="O32" s="113">
        <f>M32*E32/100</f>
        <v>2.8000000000000004E-3</v>
      </c>
      <c r="P32" s="114">
        <f>N32+O32/4</f>
        <v>1.9E-3</v>
      </c>
      <c r="Q32" s="114">
        <f>P32/0.21</f>
        <v>9.0476190476190474E-3</v>
      </c>
      <c r="R32" s="116">
        <f>N32</f>
        <v>1.1999999999999999E-3</v>
      </c>
      <c r="S32" s="115">
        <f>O32/2</f>
        <v>1.4000000000000002E-3</v>
      </c>
      <c r="U32" s="120">
        <f>I32*1000*D32</f>
        <v>3878847.736625514</v>
      </c>
    </row>
    <row r="33" spans="2:21">
      <c r="B33" s="104" t="s">
        <v>186</v>
      </c>
      <c r="C33" s="105" t="s">
        <v>187</v>
      </c>
      <c r="D33" s="106">
        <v>78</v>
      </c>
      <c r="E33" s="107">
        <v>0</v>
      </c>
      <c r="F33" s="108">
        <f>(E33/100*D33)</f>
        <v>0</v>
      </c>
      <c r="G33" s="109">
        <f>F33/F$42</f>
        <v>0</v>
      </c>
      <c r="H33" s="122">
        <f>139.69/3.304</f>
        <v>42.279055690072639</v>
      </c>
      <c r="I33" s="122">
        <f>134.05/3.304</f>
        <v>40.572033898305094</v>
      </c>
      <c r="J33" s="111">
        <f>H33*G33</f>
        <v>0</v>
      </c>
      <c r="K33" s="112">
        <f>I33*G33</f>
        <v>0</v>
      </c>
      <c r="L33" s="119">
        <v>6</v>
      </c>
      <c r="M33" s="106">
        <v>6</v>
      </c>
      <c r="N33" s="113">
        <f>L33*E33/100</f>
        <v>0</v>
      </c>
      <c r="O33" s="113">
        <f>M33*E33/100</f>
        <v>0</v>
      </c>
      <c r="P33" s="114">
        <f>N33+O33/4</f>
        <v>0</v>
      </c>
      <c r="Q33" s="114">
        <f>P33/0.21</f>
        <v>0</v>
      </c>
      <c r="R33" s="116">
        <f>N33</f>
        <v>0</v>
      </c>
      <c r="S33" s="115">
        <f>O33/2</f>
        <v>0</v>
      </c>
      <c r="U33" s="120">
        <f t="shared" ref="U33:U40" si="11">I33*1000*D33</f>
        <v>3164618.6440677973</v>
      </c>
    </row>
    <row r="34" spans="2:21">
      <c r="B34" s="104" t="s">
        <v>188</v>
      </c>
      <c r="C34" s="105" t="s">
        <v>189</v>
      </c>
      <c r="D34" s="106">
        <v>100</v>
      </c>
      <c r="E34" s="107">
        <v>0</v>
      </c>
      <c r="F34" s="108">
        <f>(E34/100*D34)</f>
        <v>0</v>
      </c>
      <c r="G34" s="109">
        <f>F34/F$42</f>
        <v>0</v>
      </c>
      <c r="H34" s="122">
        <f>205.43/4.238</f>
        <v>48.473336479471449</v>
      </c>
      <c r="I34" s="122">
        <f>190.4/4.238</f>
        <v>44.926852288815475</v>
      </c>
      <c r="J34" s="111">
        <f>H34*G34</f>
        <v>0</v>
      </c>
      <c r="K34" s="112">
        <f>I34*G34</f>
        <v>0</v>
      </c>
      <c r="L34" s="119">
        <v>7</v>
      </c>
      <c r="M34" s="106">
        <v>16</v>
      </c>
      <c r="N34" s="113">
        <f>L34*E34/100</f>
        <v>0</v>
      </c>
      <c r="O34" s="113">
        <f>M34*E34/100</f>
        <v>0</v>
      </c>
      <c r="P34" s="114">
        <f>N34+O34/4</f>
        <v>0</v>
      </c>
      <c r="Q34" s="114">
        <f>P34/0.21</f>
        <v>0</v>
      </c>
      <c r="R34" s="116">
        <f>N34</f>
        <v>0</v>
      </c>
      <c r="S34" s="115">
        <f>O34/2</f>
        <v>0</v>
      </c>
      <c r="U34" s="120">
        <f t="shared" si="11"/>
        <v>4492685.2288815472</v>
      </c>
    </row>
    <row r="35" spans="2:21">
      <c r="B35" s="104" t="s">
        <v>190</v>
      </c>
      <c r="C35" s="105" t="s">
        <v>191</v>
      </c>
      <c r="D35" s="106">
        <v>92</v>
      </c>
      <c r="E35" s="107">
        <v>0</v>
      </c>
      <c r="F35" s="108">
        <f>(E35/100*D35)</f>
        <v>0</v>
      </c>
      <c r="G35" s="109">
        <f>F35/F$42</f>
        <v>0</v>
      </c>
      <c r="H35" s="122">
        <f>167.06/3.897</f>
        <v>42.868873492430076</v>
      </c>
      <c r="I35" s="122">
        <f>159.54/3.897</f>
        <v>40.939183987682831</v>
      </c>
      <c r="J35" s="111">
        <f>H35*G35</f>
        <v>0</v>
      </c>
      <c r="K35" s="112">
        <f>I35*G35</f>
        <v>0</v>
      </c>
      <c r="L35" s="119">
        <v>7</v>
      </c>
      <c r="M35" s="106">
        <v>8</v>
      </c>
      <c r="N35" s="113">
        <f>L35*E35/100</f>
        <v>0</v>
      </c>
      <c r="O35" s="113">
        <f>M35*E35/100</f>
        <v>0</v>
      </c>
      <c r="P35" s="114">
        <f>N35+O35/4</f>
        <v>0</v>
      </c>
      <c r="Q35" s="114">
        <f>P35/0.21</f>
        <v>0</v>
      </c>
      <c r="R35" s="116">
        <f>N35</f>
        <v>0</v>
      </c>
      <c r="S35" s="115">
        <f>O35/2</f>
        <v>0</v>
      </c>
      <c r="U35" s="120">
        <f t="shared" si="11"/>
        <v>3766404.9268668205</v>
      </c>
    </row>
    <row r="36" spans="2:21">
      <c r="B36" s="104" t="s">
        <v>192</v>
      </c>
      <c r="C36" s="105" t="s">
        <v>193</v>
      </c>
      <c r="D36" s="106">
        <v>114</v>
      </c>
      <c r="E36" s="107">
        <v>0</v>
      </c>
      <c r="F36" s="108">
        <f>(E36/100*D36)</f>
        <v>0</v>
      </c>
      <c r="G36" s="109">
        <f>F36/F$42</f>
        <v>0</v>
      </c>
      <c r="H36" s="122">
        <f>233.29/4.831</f>
        <v>48.290209066445861</v>
      </c>
      <c r="I36" s="122">
        <f>216.38/4.831</f>
        <v>44.789898571724279</v>
      </c>
      <c r="J36" s="111">
        <f>H36*G36</f>
        <v>0</v>
      </c>
      <c r="K36" s="112">
        <f>I36*G36</f>
        <v>0</v>
      </c>
      <c r="L36" s="119">
        <v>8</v>
      </c>
      <c r="M36" s="106">
        <v>18</v>
      </c>
      <c r="N36" s="113">
        <f>L36*E36/100</f>
        <v>0</v>
      </c>
      <c r="O36" s="113">
        <f>M36*E36/100</f>
        <v>0</v>
      </c>
      <c r="P36" s="114">
        <f>N36+O36/4</f>
        <v>0</v>
      </c>
      <c r="Q36" s="114">
        <f>P36/0.21</f>
        <v>0</v>
      </c>
      <c r="R36" s="116">
        <f>N36</f>
        <v>0</v>
      </c>
      <c r="S36" s="115">
        <f>O36/2</f>
        <v>0</v>
      </c>
      <c r="U36" s="120">
        <f t="shared" si="11"/>
        <v>5106048.4371765675</v>
      </c>
    </row>
    <row r="37" spans="2:21">
      <c r="B37" s="104" t="s">
        <v>285</v>
      </c>
      <c r="C37" s="105" t="s">
        <v>286</v>
      </c>
      <c r="D37" s="106">
        <v>2</v>
      </c>
      <c r="E37" s="107">
        <v>0</v>
      </c>
      <c r="F37" s="108">
        <f t="shared" ref="F37:F40" si="12">(E37/100*D37)</f>
        <v>0</v>
      </c>
      <c r="G37" s="109">
        <f t="shared" ref="G37:G40" si="13">F37/F$42</f>
        <v>0</v>
      </c>
      <c r="H37" s="122">
        <v>141.69999999999999</v>
      </c>
      <c r="I37" s="122">
        <v>120</v>
      </c>
      <c r="J37" s="111">
        <f t="shared" ref="J37:J40" si="14">H37*G37</f>
        <v>0</v>
      </c>
      <c r="K37" s="112">
        <f t="shared" ref="K37:K40" si="15">I37*G37</f>
        <v>0</v>
      </c>
      <c r="L37" s="119">
        <v>0</v>
      </c>
      <c r="M37" s="106">
        <v>2</v>
      </c>
      <c r="N37" s="113">
        <f t="shared" ref="N37:N40" si="16">L37*E37/100</f>
        <v>0</v>
      </c>
      <c r="O37" s="113">
        <f t="shared" ref="O37:O40" si="17">M37*E37/100</f>
        <v>0</v>
      </c>
      <c r="P37" s="114">
        <f t="shared" ref="P37:P40" si="18">N37+O37/4</f>
        <v>0</v>
      </c>
      <c r="Q37" s="114">
        <f t="shared" ref="Q37:Q40" si="19">P37/0.21</f>
        <v>0</v>
      </c>
      <c r="R37" s="116">
        <f t="shared" ref="R37:R40" si="20">N37</f>
        <v>0</v>
      </c>
      <c r="S37" s="115">
        <f t="shared" ref="S37:S40" si="21">O37/2</f>
        <v>0</v>
      </c>
      <c r="U37" s="120">
        <f t="shared" si="11"/>
        <v>240000</v>
      </c>
    </row>
    <row r="38" spans="2:21">
      <c r="B38" s="104" t="s">
        <v>287</v>
      </c>
      <c r="C38" s="105" t="s">
        <v>66</v>
      </c>
      <c r="D38" s="106">
        <v>28</v>
      </c>
      <c r="E38" s="107">
        <v>0</v>
      </c>
      <c r="F38" s="108">
        <f t="shared" si="12"/>
        <v>0</v>
      </c>
      <c r="G38" s="109">
        <f t="shared" si="13"/>
        <v>0</v>
      </c>
      <c r="H38" s="122">
        <v>10.16</v>
      </c>
      <c r="I38" s="122">
        <v>10.16</v>
      </c>
      <c r="J38" s="111">
        <f t="shared" si="14"/>
        <v>0</v>
      </c>
      <c r="K38" s="112">
        <f t="shared" si="15"/>
        <v>0</v>
      </c>
      <c r="L38" s="119">
        <v>1</v>
      </c>
      <c r="M38" s="106">
        <v>0</v>
      </c>
      <c r="N38" s="113">
        <f t="shared" si="16"/>
        <v>0</v>
      </c>
      <c r="O38" s="113">
        <f t="shared" si="17"/>
        <v>0</v>
      </c>
      <c r="P38" s="114">
        <f t="shared" si="18"/>
        <v>0</v>
      </c>
      <c r="Q38" s="114">
        <f t="shared" si="19"/>
        <v>0</v>
      </c>
      <c r="R38" s="116">
        <f t="shared" si="20"/>
        <v>0</v>
      </c>
      <c r="S38" s="115">
        <f t="shared" si="21"/>
        <v>0</v>
      </c>
      <c r="U38" s="120">
        <f t="shared" si="11"/>
        <v>284480</v>
      </c>
    </row>
    <row r="39" spans="2:21">
      <c r="B39" s="104" t="s">
        <v>36</v>
      </c>
      <c r="C39" s="105" t="s">
        <v>451</v>
      </c>
      <c r="D39" s="106">
        <v>17</v>
      </c>
      <c r="E39" s="107">
        <v>0.01</v>
      </c>
      <c r="F39" s="108">
        <f t="shared" si="12"/>
        <v>1.7000000000000001E-3</v>
      </c>
      <c r="G39" s="109">
        <f t="shared" si="13"/>
        <v>9.8079375061299639E-5</v>
      </c>
      <c r="H39" s="122">
        <v>22.5</v>
      </c>
      <c r="I39" s="122">
        <v>18.600000000000001</v>
      </c>
      <c r="J39" s="111">
        <f t="shared" si="14"/>
        <v>2.2067859388792419E-3</v>
      </c>
      <c r="K39" s="112">
        <f t="shared" si="15"/>
        <v>1.8242763761401734E-3</v>
      </c>
      <c r="L39" s="119">
        <v>0</v>
      </c>
      <c r="M39" s="106">
        <v>3</v>
      </c>
      <c r="N39" s="113">
        <f t="shared" si="16"/>
        <v>0</v>
      </c>
      <c r="O39" s="113">
        <f t="shared" si="17"/>
        <v>2.9999999999999997E-4</v>
      </c>
      <c r="P39" s="114">
        <f t="shared" si="18"/>
        <v>7.4999999999999993E-5</v>
      </c>
      <c r="Q39" s="114">
        <f t="shared" si="19"/>
        <v>3.5714285714285714E-4</v>
      </c>
      <c r="R39" s="116">
        <f t="shared" si="20"/>
        <v>0</v>
      </c>
      <c r="S39" s="115">
        <f t="shared" si="21"/>
        <v>1.4999999999999999E-4</v>
      </c>
      <c r="U39" s="120">
        <f t="shared" si="11"/>
        <v>316200</v>
      </c>
    </row>
    <row r="40" spans="2:21">
      <c r="B40" s="104" t="s">
        <v>288</v>
      </c>
      <c r="C40" s="105" t="s">
        <v>289</v>
      </c>
      <c r="D40" s="106">
        <v>32</v>
      </c>
      <c r="E40" s="107">
        <v>0</v>
      </c>
      <c r="F40" s="108">
        <f t="shared" si="12"/>
        <v>0</v>
      </c>
      <c r="G40" s="109">
        <f t="shared" si="13"/>
        <v>0</v>
      </c>
      <c r="H40" s="122">
        <v>23</v>
      </c>
      <c r="I40" s="122">
        <v>19.899999999999999</v>
      </c>
      <c r="J40" s="111">
        <f t="shared" si="14"/>
        <v>0</v>
      </c>
      <c r="K40" s="112">
        <f t="shared" si="15"/>
        <v>0</v>
      </c>
      <c r="L40" s="119">
        <v>1</v>
      </c>
      <c r="M40" s="106">
        <v>4</v>
      </c>
      <c r="N40" s="113">
        <f t="shared" si="16"/>
        <v>0</v>
      </c>
      <c r="O40" s="113">
        <f t="shared" si="17"/>
        <v>0</v>
      </c>
      <c r="P40" s="114">
        <f t="shared" si="18"/>
        <v>0</v>
      </c>
      <c r="Q40" s="114">
        <f t="shared" si="19"/>
        <v>0</v>
      </c>
      <c r="R40" s="116">
        <f t="shared" si="20"/>
        <v>0</v>
      </c>
      <c r="S40" s="115">
        <f t="shared" si="21"/>
        <v>0</v>
      </c>
      <c r="U40" s="120">
        <f t="shared" si="11"/>
        <v>636800</v>
      </c>
    </row>
    <row r="41" spans="2:21">
      <c r="B41" s="104" t="s">
        <v>194</v>
      </c>
      <c r="C41" s="105" t="s">
        <v>185</v>
      </c>
      <c r="D41" s="106">
        <v>86</v>
      </c>
      <c r="E41" s="107"/>
      <c r="F41" s="108">
        <f t="shared" si="0"/>
        <v>0</v>
      </c>
      <c r="G41" s="109">
        <f t="shared" si="1"/>
        <v>0</v>
      </c>
      <c r="H41" s="122"/>
      <c r="I41" s="122"/>
      <c r="J41" s="111">
        <f t="shared" si="3"/>
        <v>0</v>
      </c>
      <c r="K41" s="112">
        <f t="shared" si="4"/>
        <v>0</v>
      </c>
      <c r="L41" s="119">
        <v>6</v>
      </c>
      <c r="M41" s="106">
        <v>14</v>
      </c>
      <c r="N41" s="113">
        <f t="shared" si="5"/>
        <v>0</v>
      </c>
      <c r="O41" s="113">
        <f t="shared" si="6"/>
        <v>0</v>
      </c>
      <c r="P41" s="114">
        <f t="shared" si="7"/>
        <v>0</v>
      </c>
      <c r="Q41" s="114">
        <f t="shared" si="8"/>
        <v>0</v>
      </c>
      <c r="R41" s="116">
        <f t="shared" si="9"/>
        <v>0</v>
      </c>
      <c r="S41" s="115">
        <f t="shared" si="10"/>
        <v>0</v>
      </c>
      <c r="U41" s="120">
        <f>I41*1000*D41</f>
        <v>0</v>
      </c>
    </row>
    <row r="42" spans="2:21">
      <c r="B42" s="104" t="s">
        <v>195</v>
      </c>
      <c r="C42" s="106" t="s">
        <v>169</v>
      </c>
      <c r="D42" s="106" t="s">
        <v>169</v>
      </c>
      <c r="E42" s="112">
        <f>SUM(E21:E41)</f>
        <v>100.00000000000001</v>
      </c>
      <c r="F42" s="123">
        <f>SUM(F21:F41)</f>
        <v>17.332899999999995</v>
      </c>
      <c r="G42" s="124">
        <f>SUM(G21:G41)</f>
        <v>1.0000000000000002</v>
      </c>
      <c r="H42" s="111" t="s">
        <v>169</v>
      </c>
      <c r="I42" s="111" t="s">
        <v>169</v>
      </c>
      <c r="J42" s="125">
        <f>SUM(J24:J41)</f>
        <v>50.907462197144419</v>
      </c>
      <c r="K42" s="126">
        <f>SUM(K24:K41)</f>
        <v>45.89335988920287</v>
      </c>
      <c r="L42" s="119" t="s">
        <v>169</v>
      </c>
      <c r="M42" s="106" t="s">
        <v>169</v>
      </c>
      <c r="N42" s="127">
        <f>SUM(N24:N41)</f>
        <v>1.0044000000000002</v>
      </c>
      <c r="O42" s="127">
        <f>SUM(O24:O41)</f>
        <v>3.9207000000000005</v>
      </c>
      <c r="P42" s="114">
        <f>N42+O42/4</f>
        <v>1.9845750000000004</v>
      </c>
      <c r="Q42" s="114">
        <f>P42/0.21</f>
        <v>9.4503571428571451</v>
      </c>
      <c r="R42" s="116">
        <f t="shared" si="9"/>
        <v>1.0044000000000002</v>
      </c>
      <c r="S42" s="115">
        <f t="shared" si="10"/>
        <v>1.9603500000000003</v>
      </c>
    </row>
    <row r="43" spans="2:21">
      <c r="B43" s="104" t="s">
        <v>196</v>
      </c>
      <c r="C43" s="106" t="s">
        <v>169</v>
      </c>
      <c r="D43" s="106" t="s">
        <v>169</v>
      </c>
      <c r="E43" s="112">
        <f>SUM(E26:E41)</f>
        <v>3.7999999999999994</v>
      </c>
      <c r="F43" s="108" t="s">
        <v>169</v>
      </c>
      <c r="G43" s="124">
        <f>SUM(G26:G41)</f>
        <v>7.4338396921461519E-2</v>
      </c>
      <c r="H43" s="111" t="s">
        <v>169</v>
      </c>
      <c r="I43" s="111" t="s">
        <v>169</v>
      </c>
      <c r="J43" s="111" t="s">
        <v>169</v>
      </c>
      <c r="K43" s="112" t="s">
        <v>169</v>
      </c>
      <c r="L43" s="119" t="s">
        <v>169</v>
      </c>
      <c r="M43" s="106" t="s">
        <v>169</v>
      </c>
      <c r="N43" s="128" t="s">
        <v>169</v>
      </c>
      <c r="O43" s="113" t="s">
        <v>169</v>
      </c>
      <c r="P43" s="113" t="s">
        <v>169</v>
      </c>
      <c r="Q43" s="113"/>
      <c r="R43" s="113"/>
      <c r="S43" s="129"/>
    </row>
    <row r="44" spans="2:21" ht="15" customHeight="1" thickBot="1">
      <c r="B44" s="130" t="s">
        <v>197</v>
      </c>
      <c r="C44" s="131"/>
      <c r="D44" s="131"/>
      <c r="E44" s="132"/>
      <c r="F44" s="133"/>
      <c r="G44" s="131"/>
      <c r="H44" s="131"/>
      <c r="I44" s="131"/>
      <c r="J44" s="131"/>
      <c r="K44" s="132"/>
      <c r="L44" s="133"/>
      <c r="M44" s="131"/>
      <c r="N44" s="134"/>
      <c r="O44" s="134"/>
      <c r="P44" s="134"/>
      <c r="Q44" s="134"/>
      <c r="R44" s="134"/>
      <c r="S44" s="135"/>
    </row>
    <row r="45" spans="2:21" ht="15" thickBot="1">
      <c r="B45" s="136"/>
      <c r="C45" s="136"/>
      <c r="D45" s="136"/>
      <c r="E45" s="136"/>
      <c r="F45" s="136"/>
      <c r="G45" s="136"/>
      <c r="H45" s="136"/>
      <c r="I45" s="136"/>
      <c r="J45" s="136"/>
      <c r="K45" s="136"/>
      <c r="L45" s="136"/>
      <c r="M45" s="136"/>
      <c r="N45" s="136"/>
      <c r="O45" s="136"/>
      <c r="P45" s="136"/>
      <c r="Q45" s="136"/>
      <c r="R45" s="136"/>
      <c r="S45" s="136"/>
    </row>
    <row r="46" spans="2:21" ht="15" customHeight="1">
      <c r="B46" s="386" t="s">
        <v>198</v>
      </c>
      <c r="C46" s="387"/>
      <c r="D46" s="387"/>
      <c r="E46" s="387"/>
      <c r="F46" s="388"/>
      <c r="G46" s="136"/>
      <c r="H46" s="136"/>
      <c r="I46" s="136"/>
      <c r="J46" s="136"/>
      <c r="K46" s="136"/>
      <c r="L46" s="136"/>
      <c r="M46" s="136"/>
      <c r="N46" s="136"/>
      <c r="O46" s="136"/>
      <c r="P46" s="136"/>
      <c r="Q46" s="136"/>
      <c r="R46" s="136"/>
    </row>
    <row r="47" spans="2:21">
      <c r="B47" s="137" t="s">
        <v>137</v>
      </c>
      <c r="C47" s="138" t="s">
        <v>138</v>
      </c>
      <c r="D47" s="138" t="s">
        <v>6</v>
      </c>
      <c r="E47" s="138" t="s">
        <v>139</v>
      </c>
      <c r="F47" s="139">
        <v>15</v>
      </c>
      <c r="G47" s="136" t="s">
        <v>114</v>
      </c>
      <c r="H47" s="136"/>
      <c r="I47" s="136"/>
      <c r="J47" s="136"/>
      <c r="K47" s="136"/>
      <c r="L47" s="136"/>
      <c r="M47" s="136"/>
      <c r="N47" s="136"/>
      <c r="O47" s="136"/>
      <c r="P47" s="136"/>
      <c r="Q47" s="136"/>
      <c r="R47" s="136"/>
    </row>
    <row r="48" spans="2:21">
      <c r="B48" s="140" t="s">
        <v>199</v>
      </c>
      <c r="C48" s="141">
        <f>F42/E42*100</f>
        <v>17.332899999999992</v>
      </c>
      <c r="D48" s="142" t="s">
        <v>200</v>
      </c>
      <c r="E48" s="143">
        <f>(C48/1000)/(22.414/1000/273.15*(273.15+F47))</f>
        <v>0.73305142910281318</v>
      </c>
      <c r="F48" s="144" t="s">
        <v>201</v>
      </c>
      <c r="H48" s="145">
        <f>C50*1000*C48*C128*E131</f>
        <v>590632.77558549633</v>
      </c>
      <c r="I48" s="136"/>
      <c r="J48" s="136"/>
      <c r="K48" s="136"/>
      <c r="L48" s="136"/>
      <c r="M48" s="136"/>
      <c r="N48" s="136"/>
      <c r="O48" s="136"/>
      <c r="P48" s="146">
        <f>(28*(Q42-P42)+44*SUM(R21:R41)+18*SUM(S21:S41)+29*Q42*I62/100)/((Q42-P42)+SUM(R21:R41)+SUM(S21:S41)+Q42*I62/100)</f>
        <v>27.675890249602926</v>
      </c>
      <c r="Q48" s="136"/>
      <c r="R48" s="136"/>
    </row>
    <row r="49" spans="1:18">
      <c r="B49" s="140" t="s">
        <v>202</v>
      </c>
      <c r="C49" s="147">
        <f>J42</f>
        <v>50.907462197144419</v>
      </c>
      <c r="D49" s="142" t="s">
        <v>203</v>
      </c>
      <c r="E49" s="148">
        <f>C49*1000/1000*E48</f>
        <v>37.317787915614154</v>
      </c>
      <c r="F49" s="144" t="s">
        <v>204</v>
      </c>
      <c r="G49" s="136"/>
      <c r="H49" s="136"/>
      <c r="I49" s="136"/>
      <c r="J49" s="136"/>
      <c r="K49" s="136"/>
      <c r="L49" s="136"/>
      <c r="M49" s="136"/>
      <c r="N49" s="136"/>
      <c r="O49" s="136"/>
      <c r="P49" s="136"/>
      <c r="Q49" s="136"/>
      <c r="R49" s="136"/>
    </row>
    <row r="50" spans="1:18" ht="15" thickBot="1">
      <c r="B50" s="149" t="s">
        <v>205</v>
      </c>
      <c r="C50" s="150">
        <f>K42</f>
        <v>45.89335988920287</v>
      </c>
      <c r="D50" s="151" t="s">
        <v>203</v>
      </c>
      <c r="E50" s="152">
        <f>C50*1000/1000*E48</f>
        <v>33.642193053109885</v>
      </c>
      <c r="F50" s="153" t="s">
        <v>204</v>
      </c>
      <c r="G50" s="136"/>
      <c r="H50" s="136"/>
      <c r="I50" s="136"/>
      <c r="J50" s="136"/>
      <c r="K50" s="136"/>
      <c r="L50" s="136"/>
      <c r="M50" s="136"/>
      <c r="N50" s="136"/>
      <c r="O50" s="136"/>
      <c r="P50" s="136"/>
      <c r="Q50" s="136"/>
      <c r="R50" s="136"/>
    </row>
    <row r="51" spans="1:18" ht="15" thickBot="1"/>
    <row r="52" spans="1:18" ht="18">
      <c r="A52" s="97" t="s">
        <v>206</v>
      </c>
      <c r="B52" s="386" t="s">
        <v>198</v>
      </c>
      <c r="C52" s="387"/>
      <c r="D52" s="387"/>
      <c r="E52" s="387"/>
      <c r="F52" s="388"/>
      <c r="G52" s="136"/>
      <c r="H52" s="136"/>
      <c r="I52" s="136"/>
      <c r="J52" s="136"/>
      <c r="K52" s="136"/>
      <c r="L52" s="136"/>
      <c r="M52" s="136"/>
    </row>
    <row r="53" spans="1:18">
      <c r="B53" s="154" t="s">
        <v>207</v>
      </c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</row>
    <row r="54" spans="1:18">
      <c r="A54" s="136"/>
      <c r="B54" s="136" t="s">
        <v>208</v>
      </c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</row>
    <row r="55" spans="1:18">
      <c r="A55" s="136"/>
      <c r="B55" s="136" t="s">
        <v>209</v>
      </c>
      <c r="C55" s="155">
        <f>Q42-P42+R42+S42</f>
        <v>10.430532142857144</v>
      </c>
      <c r="D55" s="136" t="s">
        <v>210</v>
      </c>
      <c r="E55" s="136"/>
      <c r="F55" s="136"/>
      <c r="G55" s="136"/>
      <c r="H55" s="136"/>
      <c r="I55" s="136"/>
      <c r="J55" s="136"/>
      <c r="K55" s="136"/>
      <c r="L55" s="136"/>
      <c r="M55" s="136"/>
    </row>
    <row r="56" spans="1:18">
      <c r="A56" s="136"/>
      <c r="B56" s="136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</row>
    <row r="57" spans="1:18">
      <c r="A57" s="136"/>
      <c r="B57" s="136" t="s">
        <v>211</v>
      </c>
      <c r="C57" s="136"/>
      <c r="D57" s="136"/>
      <c r="E57" s="136"/>
      <c r="F57" s="136"/>
      <c r="G57" s="136"/>
      <c r="H57" s="136"/>
      <c r="I57" s="136"/>
      <c r="J57" s="136"/>
      <c r="K57" s="136"/>
      <c r="L57" s="136"/>
      <c r="M57" s="136"/>
    </row>
    <row r="58" spans="1:18">
      <c r="A58" s="136"/>
      <c r="B58" s="136" t="s">
        <v>212</v>
      </c>
      <c r="C58" s="155">
        <f>C55-SUM(S21:S41)</f>
        <v>8.4701821428571442</v>
      </c>
      <c r="D58" s="136" t="s">
        <v>210</v>
      </c>
      <c r="E58" s="136"/>
      <c r="F58" s="136"/>
      <c r="G58" s="136"/>
      <c r="H58" s="136"/>
      <c r="I58" s="136"/>
      <c r="J58" s="136"/>
      <c r="K58" s="136"/>
      <c r="L58" s="136"/>
      <c r="M58" s="136"/>
    </row>
    <row r="59" spans="1:18">
      <c r="A59" s="136"/>
      <c r="B59" s="136"/>
      <c r="C59" s="136"/>
      <c r="D59" s="136"/>
      <c r="E59" s="136"/>
      <c r="F59" s="136"/>
      <c r="G59" s="136"/>
      <c r="H59" s="136"/>
      <c r="I59" s="136"/>
      <c r="J59" s="136"/>
      <c r="K59" s="136"/>
      <c r="L59" s="136"/>
      <c r="M59" s="136"/>
    </row>
    <row r="60" spans="1:18">
      <c r="B60" s="154" t="s">
        <v>213</v>
      </c>
      <c r="C60" s="136"/>
      <c r="D60" s="136"/>
      <c r="E60" s="136"/>
      <c r="F60" s="156" t="s">
        <v>214</v>
      </c>
      <c r="H60" s="156"/>
      <c r="I60" s="156"/>
      <c r="J60" s="156"/>
      <c r="K60" s="136"/>
      <c r="L60" s="136"/>
      <c r="M60" s="136"/>
      <c r="N60" s="136"/>
    </row>
    <row r="61" spans="1:18">
      <c r="A61" s="136"/>
      <c r="B61" s="136"/>
      <c r="C61" s="136"/>
      <c r="D61" s="136"/>
      <c r="E61" s="136"/>
      <c r="F61" s="156" t="s">
        <v>215</v>
      </c>
      <c r="G61" s="156"/>
      <c r="H61" s="156" t="s">
        <v>216</v>
      </c>
      <c r="I61" s="157">
        <v>0.05</v>
      </c>
      <c r="J61" s="136" t="s">
        <v>121</v>
      </c>
      <c r="K61" s="136" t="s">
        <v>217</v>
      </c>
      <c r="L61" s="158"/>
      <c r="M61" s="136"/>
    </row>
    <row r="62" spans="1:18">
      <c r="A62" s="136"/>
      <c r="B62" s="154" t="s">
        <v>218</v>
      </c>
      <c r="C62" s="136"/>
      <c r="D62" s="159">
        <f>I62</f>
        <v>0.21390971302928008</v>
      </c>
      <c r="E62" s="154" t="s">
        <v>121</v>
      </c>
      <c r="F62" s="156"/>
      <c r="G62" s="156"/>
      <c r="H62" s="156" t="s">
        <v>219</v>
      </c>
      <c r="I62" s="160">
        <f>I61/(21-I61)*(C58/C66)*100</f>
        <v>0.21390971302928008</v>
      </c>
      <c r="J62" s="136" t="s">
        <v>121</v>
      </c>
      <c r="K62" s="136" t="s">
        <v>220</v>
      </c>
      <c r="L62" s="136"/>
      <c r="M62" s="136"/>
    </row>
    <row r="63" spans="1:18">
      <c r="A63" s="136"/>
      <c r="B63" s="161" t="s">
        <v>221</v>
      </c>
      <c r="C63" s="162" t="s">
        <v>222</v>
      </c>
      <c r="D63" s="163">
        <f>D62/100</f>
        <v>2.1390971302928008E-3</v>
      </c>
      <c r="E63" s="136"/>
      <c r="F63" s="136"/>
      <c r="G63" s="136"/>
      <c r="H63" s="136"/>
      <c r="I63" s="136"/>
      <c r="J63" s="136"/>
      <c r="K63" s="136" t="s">
        <v>223</v>
      </c>
      <c r="L63" s="136"/>
      <c r="M63" s="136"/>
    </row>
    <row r="64" spans="1:18">
      <c r="A64" s="136"/>
      <c r="B64" s="136"/>
      <c r="C64" s="136" t="s">
        <v>224</v>
      </c>
      <c r="D64" s="136"/>
      <c r="E64" s="136"/>
      <c r="F64" s="136"/>
      <c r="G64" s="136"/>
      <c r="H64" s="136"/>
      <c r="I64" s="136"/>
      <c r="J64" s="145"/>
      <c r="K64" s="136" t="s">
        <v>225</v>
      </c>
      <c r="L64" s="136"/>
      <c r="M64" s="136"/>
    </row>
    <row r="65" spans="1:14">
      <c r="A65" s="136"/>
      <c r="B65" s="136" t="s">
        <v>226</v>
      </c>
      <c r="C65" s="136"/>
      <c r="D65" s="136"/>
      <c r="E65" s="136"/>
      <c r="F65" s="136"/>
      <c r="G65" s="136"/>
      <c r="H65" s="136"/>
      <c r="I65" s="136"/>
      <c r="J65" s="136"/>
      <c r="K65" s="136" t="s">
        <v>227</v>
      </c>
      <c r="L65" s="136"/>
      <c r="M65" s="136"/>
    </row>
    <row r="66" spans="1:14">
      <c r="A66" s="136"/>
      <c r="B66" s="136" t="s">
        <v>228</v>
      </c>
      <c r="C66" s="155">
        <f>Q42</f>
        <v>9.4503571428571451</v>
      </c>
      <c r="D66" s="136" t="s">
        <v>210</v>
      </c>
      <c r="E66" s="136"/>
      <c r="F66" s="136"/>
      <c r="G66" s="136"/>
      <c r="H66" s="136"/>
      <c r="I66" s="136"/>
      <c r="J66" s="136"/>
      <c r="K66" s="136" t="s">
        <v>229</v>
      </c>
      <c r="L66" s="136"/>
      <c r="M66" s="136"/>
    </row>
    <row r="67" spans="1:14">
      <c r="A67" s="136"/>
      <c r="B67" s="154" t="s">
        <v>230</v>
      </c>
      <c r="C67" s="136"/>
      <c r="D67" s="136"/>
      <c r="E67" s="136"/>
      <c r="F67" s="136"/>
      <c r="G67" s="136"/>
      <c r="H67" s="136"/>
      <c r="I67" s="136"/>
      <c r="J67" s="136"/>
      <c r="K67" s="136"/>
      <c r="L67" s="136"/>
      <c r="M67" s="136"/>
    </row>
    <row r="68" spans="1:14">
      <c r="A68" s="136"/>
      <c r="B68" s="136" t="s">
        <v>231</v>
      </c>
      <c r="C68" s="155">
        <f>C66*(1+D63)</f>
        <v>9.470572374701673</v>
      </c>
      <c r="D68" s="136" t="s">
        <v>210</v>
      </c>
      <c r="E68" s="136"/>
      <c r="F68" s="136"/>
      <c r="G68" s="136"/>
      <c r="H68" s="136"/>
      <c r="I68" s="136"/>
      <c r="J68" s="136"/>
      <c r="K68" s="136"/>
      <c r="L68" s="136"/>
      <c r="M68" s="136"/>
    </row>
    <row r="69" spans="1:14">
      <c r="A69" s="136"/>
      <c r="B69" s="136"/>
      <c r="C69" s="136"/>
      <c r="D69" s="136"/>
      <c r="E69" s="136"/>
      <c r="F69" s="136"/>
      <c r="G69" s="136"/>
      <c r="H69" s="136"/>
      <c r="I69" s="136"/>
      <c r="J69" s="136"/>
      <c r="K69" s="136"/>
      <c r="L69" s="136"/>
      <c r="M69" s="136"/>
    </row>
    <row r="70" spans="1:14">
      <c r="A70" s="136"/>
      <c r="B70" s="154" t="s">
        <v>232</v>
      </c>
      <c r="C70" s="136"/>
      <c r="D70" s="136"/>
      <c r="E70" s="136"/>
      <c r="F70" s="136"/>
      <c r="G70" s="136"/>
      <c r="H70" s="136"/>
      <c r="I70" s="136"/>
      <c r="J70" s="136"/>
      <c r="K70" s="136"/>
      <c r="L70" s="136"/>
      <c r="M70" s="136"/>
    </row>
    <row r="71" spans="1:14">
      <c r="A71" s="136"/>
      <c r="B71" s="136" t="s">
        <v>233</v>
      </c>
      <c r="C71" s="164">
        <f>C55+(D63*C66)</f>
        <v>10.450747374701672</v>
      </c>
      <c r="D71" s="136" t="s">
        <v>210</v>
      </c>
      <c r="E71" s="136"/>
      <c r="F71" s="136"/>
      <c r="G71" s="136"/>
      <c r="H71" s="165" t="s">
        <v>234</v>
      </c>
      <c r="I71" s="166">
        <f>SUM(R21:R41)/C71</f>
        <v>9.6844748390915128E-2</v>
      </c>
      <c r="J71" s="136"/>
      <c r="K71" s="136"/>
      <c r="L71" s="136"/>
      <c r="M71" s="136"/>
    </row>
    <row r="72" spans="1:14">
      <c r="A72" s="136"/>
      <c r="B72" s="136"/>
      <c r="C72" s="136"/>
      <c r="D72" s="136"/>
      <c r="E72" s="136"/>
      <c r="F72" s="136"/>
      <c r="G72" s="136"/>
      <c r="H72" s="136"/>
      <c r="I72" s="136"/>
      <c r="J72" s="136"/>
      <c r="K72" s="136"/>
      <c r="L72" s="136"/>
      <c r="M72" s="136"/>
    </row>
    <row r="73" spans="1:14">
      <c r="A73" s="136"/>
      <c r="B73" s="136" t="s">
        <v>235</v>
      </c>
      <c r="C73" s="155">
        <f>C58+(D63*C66)</f>
        <v>8.4903973747016721</v>
      </c>
      <c r="D73" s="136" t="s">
        <v>210</v>
      </c>
      <c r="E73" s="165" t="s">
        <v>236</v>
      </c>
      <c r="F73" s="167">
        <f>I61</f>
        <v>0.05</v>
      </c>
      <c r="G73" s="136" t="s">
        <v>237</v>
      </c>
      <c r="H73" s="165" t="s">
        <v>234</v>
      </c>
      <c r="I73" s="166">
        <f>SUM(R21:R41)/C73</f>
        <v>0.11920525687239256</v>
      </c>
      <c r="J73" s="136"/>
      <c r="K73" s="136"/>
      <c r="L73" s="136"/>
      <c r="M73" s="136"/>
    </row>
    <row r="74" spans="1:14">
      <c r="A74" s="136"/>
      <c r="B74" s="136"/>
      <c r="C74" s="136"/>
      <c r="D74" s="136"/>
      <c r="E74" s="136"/>
      <c r="F74" s="136"/>
      <c r="G74" s="136"/>
      <c r="H74" s="136"/>
      <c r="I74" s="166">
        <f>R42/C73</f>
        <v>0.11829834996801807</v>
      </c>
      <c r="J74" s="136"/>
      <c r="K74" s="136"/>
      <c r="L74" s="136"/>
      <c r="M74" s="136"/>
    </row>
    <row r="75" spans="1:14">
      <c r="A75" s="136"/>
      <c r="B75" s="161" t="s">
        <v>238</v>
      </c>
      <c r="C75" s="164">
        <f>C73*((21-F73)/(21-F75))</f>
        <v>9.8818791666666677</v>
      </c>
      <c r="D75" s="168" t="s">
        <v>210</v>
      </c>
      <c r="E75" s="165" t="s">
        <v>236</v>
      </c>
      <c r="F75" s="169">
        <v>3</v>
      </c>
      <c r="G75" s="136" t="s">
        <v>239</v>
      </c>
      <c r="H75" s="136"/>
      <c r="I75" s="136"/>
      <c r="J75" s="136"/>
      <c r="K75" s="136"/>
      <c r="L75" s="136"/>
      <c r="M75" s="136"/>
    </row>
    <row r="76" spans="1:14">
      <c r="A76" s="136"/>
      <c r="B76" s="136"/>
      <c r="C76" s="136"/>
      <c r="D76" s="136"/>
      <c r="E76" s="136"/>
      <c r="F76" s="136" t="s">
        <v>240</v>
      </c>
      <c r="G76" s="136"/>
      <c r="H76" s="136"/>
      <c r="I76" s="136"/>
      <c r="J76" s="136"/>
      <c r="K76" s="136"/>
      <c r="L76" s="136"/>
      <c r="M76" s="136"/>
    </row>
    <row r="77" spans="1:14">
      <c r="A77" s="136"/>
      <c r="B77" s="136"/>
      <c r="C77" s="136"/>
      <c r="D77" s="136"/>
      <c r="E77" s="136"/>
      <c r="F77" s="136"/>
      <c r="G77" s="136"/>
      <c r="H77" s="136"/>
      <c r="I77" s="136"/>
      <c r="J77" s="136"/>
      <c r="K77" s="136"/>
      <c r="L77" s="136"/>
      <c r="M77" s="136"/>
    </row>
    <row r="78" spans="1:14">
      <c r="B78" s="154" t="s">
        <v>241</v>
      </c>
      <c r="C78" s="136"/>
      <c r="D78" s="136"/>
      <c r="E78" s="136"/>
      <c r="F78" s="136"/>
      <c r="G78" s="136"/>
      <c r="H78" s="136"/>
      <c r="I78" s="136"/>
      <c r="J78" s="136"/>
      <c r="K78" s="136"/>
      <c r="L78" s="136"/>
      <c r="M78" s="136"/>
      <c r="N78" s="136"/>
    </row>
    <row r="79" spans="1:14">
      <c r="A79" s="136"/>
      <c r="B79" s="136" t="s">
        <v>242</v>
      </c>
      <c r="C79" s="170">
        <f>C50*C17*24</f>
        <v>67969.90173030502</v>
      </c>
      <c r="D79" s="154" t="s">
        <v>243</v>
      </c>
      <c r="E79" s="171">
        <f>1524.6/59%/1000*3600*24/4</f>
        <v>55815.864406779656</v>
      </c>
      <c r="F79" s="136"/>
      <c r="G79" s="136"/>
      <c r="H79" s="136"/>
      <c r="I79" s="136"/>
      <c r="J79" s="136"/>
      <c r="K79" s="136"/>
      <c r="L79" s="136"/>
      <c r="M79" s="136"/>
    </row>
    <row r="80" spans="1:14">
      <c r="A80" s="136"/>
      <c r="B80" s="136"/>
      <c r="C80" s="155">
        <f>C79/24</f>
        <v>2832.0792387627093</v>
      </c>
      <c r="D80" s="136" t="s">
        <v>244</v>
      </c>
      <c r="E80" s="136"/>
      <c r="F80" s="136"/>
      <c r="G80" s="136"/>
      <c r="H80" s="136"/>
      <c r="I80" s="136"/>
      <c r="J80" s="136"/>
      <c r="K80" s="136"/>
      <c r="L80" s="136"/>
      <c r="M80" s="136"/>
    </row>
    <row r="81" spans="1:14">
      <c r="A81" s="136"/>
      <c r="B81" s="136" t="s">
        <v>245</v>
      </c>
      <c r="C81" s="172">
        <f>$E$50/1000</f>
        <v>3.3642193053109885E-2</v>
      </c>
      <c r="D81" s="154" t="s">
        <v>246</v>
      </c>
      <c r="E81" s="136"/>
      <c r="F81" s="136"/>
      <c r="G81" s="136"/>
      <c r="H81" s="136"/>
      <c r="I81" s="136"/>
      <c r="J81" s="136"/>
      <c r="K81" s="136"/>
      <c r="L81" s="136"/>
      <c r="M81" s="136"/>
    </row>
    <row r="82" spans="1:14">
      <c r="A82" s="136"/>
      <c r="B82" s="136"/>
      <c r="C82" s="173">
        <f>C80/C81</f>
        <v>84182.360950482442</v>
      </c>
      <c r="D82" s="136" t="s">
        <v>247</v>
      </c>
      <c r="E82" s="136" t="s">
        <v>248</v>
      </c>
      <c r="F82" s="136">
        <f>F47</f>
        <v>15</v>
      </c>
      <c r="G82" s="136" t="str">
        <f>G47</f>
        <v>C</v>
      </c>
      <c r="H82" s="136"/>
      <c r="I82" s="136"/>
      <c r="J82" s="136"/>
      <c r="K82" s="136"/>
      <c r="L82" s="136"/>
      <c r="M82" s="136"/>
    </row>
    <row r="83" spans="1:14">
      <c r="A83" s="136"/>
      <c r="B83" s="136" t="s">
        <v>249</v>
      </c>
      <c r="C83" s="173">
        <f>C82/(273.15+F82)*(273.15+F83)</f>
        <v>79800.145388250137</v>
      </c>
      <c r="D83" s="154" t="s">
        <v>250</v>
      </c>
      <c r="E83" s="136" t="s">
        <v>248</v>
      </c>
      <c r="F83" s="136">
        <v>0</v>
      </c>
      <c r="G83" s="136" t="s">
        <v>114</v>
      </c>
      <c r="H83" s="136" t="s">
        <v>251</v>
      </c>
      <c r="I83" s="136">
        <f>C83*C68</f>
        <v>755753.05241113889</v>
      </c>
      <c r="J83" s="136" t="s">
        <v>252</v>
      </c>
      <c r="K83" s="136"/>
      <c r="L83" s="136"/>
      <c r="M83" s="136"/>
    </row>
    <row r="84" spans="1:14">
      <c r="A84" s="136"/>
      <c r="B84" s="136"/>
      <c r="C84" s="136"/>
      <c r="D84" s="136"/>
      <c r="E84" s="136"/>
      <c r="F84" s="136"/>
      <c r="G84" s="136"/>
      <c r="H84" s="136"/>
      <c r="I84" s="136"/>
      <c r="J84" s="136"/>
      <c r="K84" s="136"/>
      <c r="L84" s="136"/>
      <c r="M84" s="136"/>
    </row>
    <row r="85" spans="1:14">
      <c r="A85" s="136"/>
      <c r="B85" s="154" t="s">
        <v>253</v>
      </c>
      <c r="C85" s="174" t="s">
        <v>254</v>
      </c>
      <c r="D85" s="136"/>
      <c r="E85" s="136"/>
      <c r="F85" s="136"/>
      <c r="G85" s="136"/>
      <c r="H85" s="136"/>
      <c r="I85" s="136"/>
      <c r="J85" s="136"/>
      <c r="K85" s="136"/>
      <c r="L85" s="136"/>
      <c r="M85" s="136"/>
    </row>
    <row r="86" spans="1:14" ht="15" thickBot="1">
      <c r="A86" s="136"/>
      <c r="B86" s="136"/>
      <c r="C86" s="155">
        <f>C75</f>
        <v>9.8818791666666677</v>
      </c>
      <c r="D86" s="136" t="s">
        <v>210</v>
      </c>
      <c r="E86" s="136"/>
      <c r="F86" s="136"/>
      <c r="G86" s="136"/>
      <c r="H86" s="136"/>
      <c r="I86" s="136"/>
      <c r="J86" s="136"/>
      <c r="K86" s="136"/>
      <c r="L86" s="136"/>
      <c r="M86" s="136"/>
    </row>
    <row r="87" spans="1:14">
      <c r="A87" s="136"/>
      <c r="B87" s="136"/>
      <c r="C87" s="147">
        <f>C83*C86</f>
        <v>788575.39420912019</v>
      </c>
      <c r="D87" s="154" t="s">
        <v>255</v>
      </c>
      <c r="E87" s="175">
        <v>51</v>
      </c>
      <c r="F87" s="176" t="s">
        <v>256</v>
      </c>
      <c r="G87" s="177">
        <f>E87/1000*C88</f>
        <v>11.171484751295868</v>
      </c>
      <c r="H87" s="178" t="s">
        <v>257</v>
      </c>
      <c r="I87" s="136"/>
      <c r="J87" s="136"/>
      <c r="K87" s="136"/>
      <c r="L87" s="136"/>
      <c r="M87" s="136"/>
    </row>
    <row r="88" spans="1:14" ht="15" thickBot="1">
      <c r="A88" s="136"/>
      <c r="B88" s="136"/>
      <c r="C88" s="147">
        <f>C87/3600</f>
        <v>219.04872061364449</v>
      </c>
      <c r="D88" s="154" t="s">
        <v>97</v>
      </c>
      <c r="E88" s="179">
        <v>100</v>
      </c>
      <c r="F88" s="180" t="s">
        <v>258</v>
      </c>
      <c r="G88" s="181">
        <f>E88/1000*C88</f>
        <v>21.904872061364451</v>
      </c>
      <c r="H88" s="182" t="s">
        <v>259</v>
      </c>
      <c r="I88" s="136"/>
      <c r="J88" s="136"/>
      <c r="K88" s="136"/>
      <c r="L88" s="136"/>
      <c r="M88" s="136"/>
    </row>
    <row r="89" spans="1:14">
      <c r="A89" s="136"/>
      <c r="B89" s="136"/>
      <c r="C89" s="136"/>
      <c r="D89" s="136"/>
      <c r="E89" s="136"/>
      <c r="F89" s="136"/>
      <c r="G89" s="136"/>
      <c r="H89" s="136"/>
      <c r="I89" s="136"/>
      <c r="J89" s="136"/>
      <c r="K89" s="136"/>
      <c r="L89" s="136"/>
      <c r="M89" s="136"/>
    </row>
    <row r="90" spans="1:14">
      <c r="A90" s="136"/>
      <c r="B90" s="136"/>
      <c r="C90" s="154" t="s">
        <v>260</v>
      </c>
      <c r="D90" s="136" t="s">
        <v>261</v>
      </c>
      <c r="E90" s="136"/>
      <c r="F90" s="136"/>
      <c r="G90" s="136"/>
      <c r="H90" s="136"/>
      <c r="I90" s="136"/>
      <c r="J90" s="136"/>
      <c r="K90" s="136"/>
      <c r="L90" s="136"/>
      <c r="M90" s="136"/>
    </row>
    <row r="91" spans="1:14">
      <c r="A91" s="136"/>
      <c r="B91" s="136"/>
      <c r="C91" s="155">
        <f>C71</f>
        <v>10.450747374701672</v>
      </c>
      <c r="D91" s="136" t="s">
        <v>210</v>
      </c>
      <c r="E91" s="136"/>
      <c r="F91" s="136"/>
      <c r="G91" s="136"/>
      <c r="H91" s="136"/>
      <c r="I91" s="136"/>
      <c r="J91" s="136"/>
      <c r="K91" s="136"/>
      <c r="L91" s="136"/>
      <c r="M91" s="136"/>
      <c r="N91" s="136"/>
    </row>
    <row r="92" spans="1:14">
      <c r="A92" s="136"/>
      <c r="B92" s="174" t="s">
        <v>262</v>
      </c>
      <c r="C92" s="183">
        <f>G92+273.15</f>
        <v>1273.1500000000001</v>
      </c>
      <c r="D92" s="154" t="s">
        <v>115</v>
      </c>
      <c r="E92" s="136"/>
      <c r="F92" s="136" t="s">
        <v>263</v>
      </c>
      <c r="G92" s="136">
        <v>1000</v>
      </c>
      <c r="H92" s="136" t="s">
        <v>264</v>
      </c>
      <c r="I92" s="136"/>
      <c r="J92" s="136"/>
      <c r="K92" s="136"/>
      <c r="L92" s="136"/>
      <c r="M92" s="136"/>
      <c r="N92" s="136"/>
    </row>
    <row r="93" spans="1:14">
      <c r="A93" s="136"/>
      <c r="B93" s="136"/>
      <c r="C93" s="147">
        <f>C83*C91*C92/273.15</f>
        <v>3887133.0120754675</v>
      </c>
      <c r="D93" s="154" t="s">
        <v>265</v>
      </c>
      <c r="E93" s="136"/>
      <c r="F93" s="136" t="s">
        <v>266</v>
      </c>
      <c r="G93" s="184">
        <f>SUM(S21:S41)*100/C71</f>
        <v>18.757988588887507</v>
      </c>
      <c r="H93" s="136" t="s">
        <v>267</v>
      </c>
      <c r="I93" s="185" t="s">
        <v>268</v>
      </c>
      <c r="J93" s="136"/>
      <c r="K93" s="136"/>
      <c r="L93" s="136"/>
      <c r="M93" s="136"/>
      <c r="N93" s="136"/>
    </row>
    <row r="94" spans="1:14">
      <c r="A94" s="136"/>
      <c r="B94" s="136"/>
      <c r="C94" s="147">
        <f>C93/3600</f>
        <v>1079.7591700209632</v>
      </c>
      <c r="D94" s="154" t="s">
        <v>48</v>
      </c>
      <c r="E94" s="136"/>
      <c r="F94" s="136" t="s">
        <v>269</v>
      </c>
      <c r="G94" s="136">
        <f>I61</f>
        <v>0.05</v>
      </c>
      <c r="H94" s="136" t="s">
        <v>270</v>
      </c>
      <c r="I94" s="136"/>
      <c r="J94" s="136"/>
      <c r="K94" s="136"/>
      <c r="L94" s="136"/>
      <c r="M94" s="136"/>
      <c r="N94" s="136"/>
    </row>
    <row r="95" spans="1:14">
      <c r="A95" s="136"/>
      <c r="B95" s="136"/>
      <c r="C95" s="136"/>
      <c r="D95" s="136"/>
      <c r="E95" s="136"/>
      <c r="F95" s="136"/>
      <c r="G95" s="136"/>
      <c r="H95" s="136"/>
      <c r="I95" s="136"/>
      <c r="J95" s="136"/>
      <c r="K95" s="136"/>
      <c r="L95" s="136"/>
      <c r="M95" s="136"/>
      <c r="N95" s="136"/>
    </row>
    <row r="96" spans="1:14">
      <c r="A96" s="136"/>
      <c r="B96" s="136" t="s">
        <v>271</v>
      </c>
      <c r="C96" s="136"/>
      <c r="D96" s="136"/>
      <c r="E96" s="136"/>
      <c r="F96" s="136"/>
      <c r="G96" s="136"/>
      <c r="H96" s="136"/>
      <c r="I96" s="136"/>
      <c r="J96" s="136"/>
      <c r="K96" s="136"/>
      <c r="L96" s="136"/>
      <c r="M96" s="136"/>
      <c r="N96" s="136"/>
    </row>
    <row r="97" spans="1:14">
      <c r="A97" s="136"/>
      <c r="B97" s="136"/>
      <c r="C97" s="186">
        <f>C80/3600</f>
        <v>0.78668867743408588</v>
      </c>
      <c r="D97" s="136" t="s">
        <v>272</v>
      </c>
      <c r="E97" s="187">
        <f>E79</f>
        <v>55815.864406779656</v>
      </c>
      <c r="F97" s="136" t="s">
        <v>273</v>
      </c>
      <c r="G97" s="136"/>
      <c r="H97" s="136"/>
      <c r="I97" s="136"/>
      <c r="J97" s="136"/>
      <c r="K97" s="136"/>
      <c r="L97" s="136"/>
      <c r="M97" s="136"/>
      <c r="N97" s="136"/>
    </row>
    <row r="98" spans="1:14">
      <c r="A98" s="136"/>
      <c r="B98" s="136"/>
      <c r="C98" s="136">
        <f>C97*60</f>
        <v>47.201320646045154</v>
      </c>
      <c r="D98" s="136" t="s">
        <v>274</v>
      </c>
      <c r="E98" s="136"/>
      <c r="F98" s="136"/>
      <c r="G98" s="136"/>
      <c r="H98" s="136"/>
      <c r="I98" s="136"/>
      <c r="J98" s="136"/>
      <c r="K98" s="136"/>
      <c r="L98" s="136"/>
      <c r="M98" s="136"/>
      <c r="N98" s="136"/>
    </row>
    <row r="99" spans="1:14">
      <c r="A99" s="136"/>
      <c r="B99" s="136"/>
      <c r="C99" s="136">
        <f>C98*60</f>
        <v>2832.0792387627093</v>
      </c>
      <c r="D99" s="136" t="s">
        <v>275</v>
      </c>
      <c r="E99" s="187">
        <f>E97</f>
        <v>55815.864406779656</v>
      </c>
      <c r="F99" s="136" t="s">
        <v>276</v>
      </c>
      <c r="G99" s="136"/>
      <c r="H99" s="136"/>
      <c r="I99" s="136"/>
      <c r="J99" s="136"/>
      <c r="K99" s="136"/>
      <c r="L99" s="136"/>
      <c r="M99" s="136"/>
      <c r="N99" s="136"/>
    </row>
    <row r="100" spans="1:14">
      <c r="A100" s="136"/>
      <c r="B100" s="136"/>
      <c r="C100" s="188">
        <f>C99*24</f>
        <v>67969.90173030502</v>
      </c>
      <c r="D100" s="136" t="s">
        <v>277</v>
      </c>
      <c r="E100" s="136">
        <f>E99*24</f>
        <v>1339580.7457627119</v>
      </c>
      <c r="F100" s="136" t="s">
        <v>278</v>
      </c>
      <c r="G100" s="136"/>
      <c r="H100" s="136"/>
      <c r="I100" s="136"/>
      <c r="J100" s="136"/>
      <c r="K100" s="136"/>
      <c r="L100" s="136"/>
      <c r="M100" s="136"/>
      <c r="N100" s="136"/>
    </row>
    <row r="101" spans="1:14">
      <c r="A101" s="136"/>
      <c r="B101" s="136"/>
      <c r="C101" s="145">
        <f>C100*365</f>
        <v>24809014.131561331</v>
      </c>
      <c r="D101" s="136" t="s">
        <v>279</v>
      </c>
      <c r="E101" s="145">
        <f>E100*365</f>
        <v>488946972.20338982</v>
      </c>
      <c r="F101" s="136" t="s">
        <v>280</v>
      </c>
      <c r="G101" s="136"/>
      <c r="H101" s="136"/>
      <c r="I101" s="136"/>
      <c r="J101" s="136"/>
      <c r="K101" s="136"/>
      <c r="L101" s="136"/>
      <c r="M101" s="136"/>
      <c r="N101" s="136"/>
    </row>
    <row r="102" spans="1:14" ht="15" thickBot="1"/>
    <row r="103" spans="1:14" ht="18.75" customHeight="1">
      <c r="A103" s="97" t="s">
        <v>290</v>
      </c>
      <c r="B103" s="389" t="s">
        <v>291</v>
      </c>
      <c r="C103" s="391"/>
      <c r="D103" s="391"/>
      <c r="E103" s="390"/>
      <c r="F103" s="189"/>
      <c r="G103" s="404" t="s">
        <v>292</v>
      </c>
      <c r="H103" s="405"/>
      <c r="I103" s="405"/>
      <c r="J103" s="405"/>
      <c r="K103" s="406"/>
      <c r="L103" s="189"/>
    </row>
    <row r="104" spans="1:14" ht="41.45">
      <c r="A104" s="189"/>
      <c r="B104" s="190" t="s">
        <v>137</v>
      </c>
      <c r="C104" s="191" t="s">
        <v>138</v>
      </c>
      <c r="D104" s="191" t="s">
        <v>6</v>
      </c>
      <c r="E104" s="192" t="s">
        <v>139</v>
      </c>
      <c r="F104" s="189"/>
      <c r="G104" s="190" t="s">
        <v>293</v>
      </c>
      <c r="H104" s="191" t="s">
        <v>6</v>
      </c>
      <c r="I104" s="191" t="s">
        <v>294</v>
      </c>
      <c r="J104" s="191" t="s">
        <v>295</v>
      </c>
      <c r="K104" s="192" t="s">
        <v>6</v>
      </c>
      <c r="L104" s="189"/>
    </row>
    <row r="105" spans="1:14">
      <c r="A105" s="189"/>
      <c r="B105" s="193" t="s">
        <v>296</v>
      </c>
      <c r="C105" s="194">
        <f>C17</f>
        <v>61.71</v>
      </c>
      <c r="D105" s="195" t="s">
        <v>297</v>
      </c>
      <c r="E105" s="196" t="s">
        <v>298</v>
      </c>
      <c r="F105" s="189"/>
      <c r="G105" s="197">
        <v>0</v>
      </c>
      <c r="H105" s="198" t="s">
        <v>299</v>
      </c>
      <c r="I105" s="199">
        <f>((1/$J$111)*($C$48/1))/1000000</f>
        <v>7.3304824769527231E-4</v>
      </c>
      <c r="J105" s="200">
        <f>I105*G105</f>
        <v>0</v>
      </c>
      <c r="K105" s="201" t="s">
        <v>300</v>
      </c>
      <c r="L105" s="189"/>
    </row>
    <row r="106" spans="1:14">
      <c r="A106" s="189"/>
      <c r="B106" s="193" t="s">
        <v>296</v>
      </c>
      <c r="C106" s="202">
        <f>$C$105/3600*1000</f>
        <v>17.141666666666666</v>
      </c>
      <c r="D106" s="195" t="s">
        <v>94</v>
      </c>
      <c r="E106" s="196" t="s">
        <v>301</v>
      </c>
      <c r="F106" s="189"/>
      <c r="G106" s="197">
        <v>0</v>
      </c>
      <c r="H106" s="198" t="s">
        <v>302</v>
      </c>
      <c r="I106" s="203">
        <f>((1/$H$111)*($C$48/1))/1000000</f>
        <v>7.7330350566865347E-4</v>
      </c>
      <c r="J106" s="200">
        <f>I106*G106</f>
        <v>0</v>
      </c>
      <c r="K106" s="201" t="s">
        <v>300</v>
      </c>
      <c r="L106" s="189"/>
    </row>
    <row r="107" spans="1:14">
      <c r="A107" s="189"/>
      <c r="B107" s="193" t="s">
        <v>296</v>
      </c>
      <c r="C107" s="204">
        <f>C106/1000</f>
        <v>1.7141666666666666E-2</v>
      </c>
      <c r="D107" s="195" t="s">
        <v>303</v>
      </c>
      <c r="E107" s="196" t="s">
        <v>301</v>
      </c>
      <c r="F107" s="189"/>
      <c r="G107" s="197">
        <v>0</v>
      </c>
      <c r="H107" s="198" t="s">
        <v>304</v>
      </c>
      <c r="I107" s="199">
        <f>((1/$J$111)*($C$48/1)*(1/35.3147))/1000000</f>
        <v>2.0757595213757223E-5</v>
      </c>
      <c r="J107" s="200">
        <f>I107*G107</f>
        <v>0</v>
      </c>
      <c r="K107" s="201" t="s">
        <v>300</v>
      </c>
      <c r="L107" s="189"/>
    </row>
    <row r="108" spans="1:14">
      <c r="A108" s="189"/>
      <c r="B108" s="193" t="s">
        <v>305</v>
      </c>
      <c r="C108" s="205">
        <f>C105/I108*24</f>
        <v>71.349305386706433</v>
      </c>
      <c r="D108" s="198" t="s">
        <v>306</v>
      </c>
      <c r="E108" s="196" t="s">
        <v>307</v>
      </c>
      <c r="F108" s="189"/>
      <c r="G108" s="206">
        <f>C108</f>
        <v>71.349305386706433</v>
      </c>
      <c r="H108" s="198" t="s">
        <v>308</v>
      </c>
      <c r="I108" s="199">
        <f>((1/$J$111)*($C$48/1)*(1/35.3147))</f>
        <v>20.757595213757224</v>
      </c>
      <c r="J108" s="207">
        <f>I108*G108</f>
        <v>1481.04</v>
      </c>
      <c r="K108" s="201" t="s">
        <v>300</v>
      </c>
      <c r="L108" s="189"/>
    </row>
    <row r="109" spans="1:14">
      <c r="A109" s="189"/>
      <c r="B109" s="193" t="s">
        <v>309</v>
      </c>
      <c r="C109" s="208">
        <f>$C$105/$I$105</f>
        <v>84182.726299419257</v>
      </c>
      <c r="D109" s="195" t="s">
        <v>310</v>
      </c>
      <c r="E109" s="196" t="s">
        <v>301</v>
      </c>
      <c r="F109" s="189"/>
      <c r="G109" s="209"/>
      <c r="H109" s="189"/>
      <c r="I109" s="189"/>
      <c r="J109" s="189"/>
      <c r="K109" s="210"/>
      <c r="L109" s="189"/>
    </row>
    <row r="110" spans="1:14" ht="20.45">
      <c r="A110" s="189"/>
      <c r="B110" s="193" t="s">
        <v>309</v>
      </c>
      <c r="C110" s="202">
        <f>C109/3600</f>
        <v>23.384090638727571</v>
      </c>
      <c r="D110" s="195" t="s">
        <v>311</v>
      </c>
      <c r="E110" s="196" t="s">
        <v>301</v>
      </c>
      <c r="F110" s="189"/>
      <c r="G110" s="211" t="s">
        <v>312</v>
      </c>
      <c r="H110" s="212" t="s">
        <v>313</v>
      </c>
      <c r="I110" s="212" t="s">
        <v>314</v>
      </c>
      <c r="J110" s="213" t="s">
        <v>315</v>
      </c>
      <c r="K110" s="214" t="s">
        <v>6</v>
      </c>
      <c r="L110" s="189"/>
    </row>
    <row r="111" spans="1:14" ht="15" thickBot="1">
      <c r="A111" s="189"/>
      <c r="B111" s="215" t="s">
        <v>316</v>
      </c>
      <c r="C111" s="216">
        <f>C110*(273.15/(273.15+15))</f>
        <v>22.16680325513946</v>
      </c>
      <c r="D111" s="217" t="s">
        <v>97</v>
      </c>
      <c r="E111" s="218" t="s">
        <v>317</v>
      </c>
      <c r="F111" s="189"/>
      <c r="G111" s="219" t="s">
        <v>318</v>
      </c>
      <c r="H111" s="220">
        <f>((H113*H114*H115)/H112)</f>
        <v>2.2414097276091782E-2</v>
      </c>
      <c r="I111" s="220">
        <f>((I113*I114*I115)/I112)</f>
        <v>2.4465543118677522E-2</v>
      </c>
      <c r="J111" s="221">
        <f>((J113*J114*J115)/J112)</f>
        <v>2.3644964781643227E-2</v>
      </c>
      <c r="K111" s="222" t="s">
        <v>319</v>
      </c>
      <c r="L111" s="189"/>
    </row>
    <row r="112" spans="1:14" ht="18.75" customHeight="1" thickBot="1">
      <c r="A112" s="189"/>
      <c r="B112" s="189"/>
      <c r="C112" s="189"/>
      <c r="D112" s="189"/>
      <c r="E112" s="189"/>
      <c r="F112" s="189"/>
      <c r="G112" s="219" t="s">
        <v>320</v>
      </c>
      <c r="H112" s="223">
        <v>101325</v>
      </c>
      <c r="I112" s="223">
        <v>101325</v>
      </c>
      <c r="J112" s="224">
        <v>101325</v>
      </c>
      <c r="K112" s="222" t="s">
        <v>321</v>
      </c>
      <c r="L112" s="189"/>
    </row>
    <row r="113" spans="1:12" ht="18">
      <c r="A113" s="97" t="s">
        <v>322</v>
      </c>
      <c r="B113" s="392" t="s">
        <v>323</v>
      </c>
      <c r="C113" s="393"/>
      <c r="D113" s="393"/>
      <c r="E113" s="394"/>
      <c r="F113" s="189"/>
      <c r="G113" s="219" t="s">
        <v>324</v>
      </c>
      <c r="H113" s="223">
        <v>1</v>
      </c>
      <c r="I113" s="223">
        <v>1</v>
      </c>
      <c r="J113" s="224">
        <v>1</v>
      </c>
      <c r="K113" s="222" t="s">
        <v>325</v>
      </c>
      <c r="L113" s="189"/>
    </row>
    <row r="114" spans="1:12">
      <c r="A114" s="189"/>
      <c r="B114" s="190" t="s">
        <v>137</v>
      </c>
      <c r="C114" s="191" t="s">
        <v>138</v>
      </c>
      <c r="D114" s="191" t="s">
        <v>6</v>
      </c>
      <c r="E114" s="192" t="s">
        <v>139</v>
      </c>
      <c r="F114" s="189"/>
      <c r="G114" s="219" t="s">
        <v>326</v>
      </c>
      <c r="H114" s="223">
        <v>8.3145100000000003</v>
      </c>
      <c r="I114" s="223">
        <v>8.3145100000000003</v>
      </c>
      <c r="J114" s="224">
        <v>8.3145100000000003</v>
      </c>
      <c r="K114" s="222" t="s">
        <v>327</v>
      </c>
      <c r="L114" s="189"/>
    </row>
    <row r="115" spans="1:12" ht="15" thickBot="1">
      <c r="A115" s="189"/>
      <c r="B115" s="193" t="s">
        <v>328</v>
      </c>
      <c r="C115" s="205">
        <f>C110</f>
        <v>23.384090638727571</v>
      </c>
      <c r="D115" s="195" t="s">
        <v>311</v>
      </c>
      <c r="E115" s="196" t="s">
        <v>301</v>
      </c>
      <c r="F115" s="189"/>
      <c r="G115" s="225" t="s">
        <v>329</v>
      </c>
      <c r="H115" s="226">
        <v>273.14999999999998</v>
      </c>
      <c r="I115" s="226">
        <f>273.15+25</f>
        <v>298.14999999999998</v>
      </c>
      <c r="J115" s="227">
        <f>273.15+15</f>
        <v>288.14999999999998</v>
      </c>
      <c r="K115" s="228" t="s">
        <v>330</v>
      </c>
      <c r="L115" s="189"/>
    </row>
    <row r="116" spans="1:12">
      <c r="A116" s="189"/>
      <c r="B116" s="195" t="s">
        <v>331</v>
      </c>
      <c r="C116" s="202">
        <f>C16</f>
        <v>0.9</v>
      </c>
      <c r="D116" s="195" t="s">
        <v>28</v>
      </c>
      <c r="E116" s="196" t="s">
        <v>301</v>
      </c>
      <c r="F116" s="189"/>
      <c r="G116" s="189"/>
      <c r="H116" s="189"/>
      <c r="I116" s="189"/>
      <c r="J116" s="189"/>
      <c r="K116" s="189"/>
      <c r="L116" s="189"/>
    </row>
    <row r="117" spans="1:12">
      <c r="A117" s="189"/>
      <c r="B117" s="193" t="s">
        <v>332</v>
      </c>
      <c r="C117" s="229">
        <v>38</v>
      </c>
      <c r="D117" s="195" t="s">
        <v>333</v>
      </c>
      <c r="E117" s="196" t="s">
        <v>301</v>
      </c>
      <c r="F117" s="189"/>
    </row>
    <row r="118" spans="1:12">
      <c r="A118" s="189"/>
      <c r="B118" s="193" t="s">
        <v>334</v>
      </c>
      <c r="C118" s="202">
        <f>PI()*($C$116/2)*($C$116/2)</f>
        <v>0.63617251235193317</v>
      </c>
      <c r="D118" s="195" t="s">
        <v>118</v>
      </c>
      <c r="E118" s="196" t="s">
        <v>301</v>
      </c>
      <c r="F118" s="189"/>
    </row>
    <row r="119" spans="1:12">
      <c r="A119" s="189"/>
      <c r="B119" s="193" t="s">
        <v>335</v>
      </c>
      <c r="C119" s="205">
        <f>(C115/(273.15+15)*(273.15+C117))/C118</f>
        <v>39.691431915028424</v>
      </c>
      <c r="D119" s="195" t="s">
        <v>51</v>
      </c>
      <c r="E119" s="196" t="s">
        <v>336</v>
      </c>
      <c r="F119" s="189"/>
    </row>
    <row r="120" spans="1:12">
      <c r="A120" s="189"/>
      <c r="B120" s="193" t="s">
        <v>337</v>
      </c>
      <c r="C120" s="202">
        <f>273.15+C117</f>
        <v>311.14999999999998</v>
      </c>
      <c r="D120" s="195" t="s">
        <v>338</v>
      </c>
      <c r="E120" s="196" t="s">
        <v>301</v>
      </c>
      <c r="F120" s="189"/>
    </row>
    <row r="121" spans="1:12" ht="18.75" customHeight="1" thickBot="1">
      <c r="A121" s="189"/>
      <c r="B121" s="215" t="s">
        <v>339</v>
      </c>
      <c r="C121" s="230">
        <f>C115/(273.15+15)*C120</f>
        <v>25.250597960229335</v>
      </c>
      <c r="D121" s="217" t="s">
        <v>48</v>
      </c>
      <c r="E121" s="218" t="s">
        <v>301</v>
      </c>
      <c r="F121" s="189"/>
    </row>
    <row r="122" spans="1:12" ht="15" thickBot="1">
      <c r="A122" s="189"/>
      <c r="B122" s="189"/>
      <c r="C122" s="189"/>
      <c r="D122" s="189"/>
      <c r="E122" s="189"/>
      <c r="F122" s="189"/>
    </row>
    <row r="123" spans="1:12" ht="18">
      <c r="A123" s="97" t="s">
        <v>340</v>
      </c>
      <c r="B123" s="389" t="s">
        <v>341</v>
      </c>
      <c r="C123" s="391"/>
      <c r="D123" s="391"/>
      <c r="E123" s="390"/>
      <c r="F123" s="189"/>
    </row>
    <row r="124" spans="1:12">
      <c r="A124" s="189"/>
      <c r="B124" s="190" t="s">
        <v>137</v>
      </c>
      <c r="C124" s="191" t="s">
        <v>138</v>
      </c>
      <c r="D124" s="191" t="s">
        <v>6</v>
      </c>
      <c r="E124" s="192" t="s">
        <v>139</v>
      </c>
      <c r="F124" s="189"/>
    </row>
    <row r="125" spans="1:12">
      <c r="A125" s="189"/>
      <c r="B125" s="193" t="s">
        <v>205</v>
      </c>
      <c r="C125" s="231">
        <f>$C$50</f>
        <v>45.89335988920287</v>
      </c>
      <c r="D125" s="195" t="s">
        <v>203</v>
      </c>
      <c r="E125" s="196" t="s">
        <v>301</v>
      </c>
      <c r="F125" s="189"/>
    </row>
    <row r="126" spans="1:12">
      <c r="A126" s="189"/>
      <c r="B126" s="193" t="s">
        <v>342</v>
      </c>
      <c r="C126" s="208">
        <f>($C$125/1000)*1000000000</f>
        <v>45893359.88920287</v>
      </c>
      <c r="D126" s="195" t="s">
        <v>343</v>
      </c>
      <c r="E126" s="196" t="s">
        <v>301</v>
      </c>
      <c r="F126" s="189"/>
    </row>
    <row r="127" spans="1:12">
      <c r="A127" s="189"/>
      <c r="B127" s="193" t="s">
        <v>344</v>
      </c>
      <c r="C127" s="232">
        <f>$C$106*$C$126/1000000</f>
        <v>786.68867743408589</v>
      </c>
      <c r="D127" s="195" t="s">
        <v>273</v>
      </c>
      <c r="E127" s="196" t="s">
        <v>301</v>
      </c>
      <c r="F127" s="189"/>
    </row>
    <row r="128" spans="1:12">
      <c r="A128" s="189"/>
      <c r="B128" s="193" t="s">
        <v>345</v>
      </c>
      <c r="C128" s="233">
        <v>0.99</v>
      </c>
      <c r="D128" s="195"/>
      <c r="E128" s="196"/>
      <c r="F128" s="189"/>
    </row>
    <row r="129" spans="1:10">
      <c r="A129" s="189"/>
      <c r="B129" s="193" t="s">
        <v>347</v>
      </c>
      <c r="C129" s="208">
        <f>$C$106*$C$126*$C$128</f>
        <v>778821790.65974498</v>
      </c>
      <c r="D129" s="195" t="s">
        <v>348</v>
      </c>
      <c r="E129" s="92" t="s">
        <v>349</v>
      </c>
      <c r="F129" s="189"/>
    </row>
    <row r="130" spans="1:10">
      <c r="A130" s="189"/>
      <c r="B130" s="193" t="s">
        <v>350</v>
      </c>
      <c r="C130" s="234">
        <f>C129*0.23890295762</f>
        <v>186062829.24751756</v>
      </c>
      <c r="D130" s="195" t="s">
        <v>351</v>
      </c>
      <c r="E130" s="201" t="s">
        <v>352</v>
      </c>
      <c r="F130" s="189"/>
    </row>
    <row r="131" spans="1:10" ht="18.75" customHeight="1">
      <c r="A131" s="189"/>
      <c r="B131" s="193" t="s">
        <v>353</v>
      </c>
      <c r="C131" s="235">
        <f>IF(C48&gt;95,55%,IF(C48&gt;80,50%,IF(C48&gt;65,45%,IF(C48&gt;50,40%,IF(C48&gt;35,35%,IF(C48&gt;20,30%,25%))))))</f>
        <v>0.25</v>
      </c>
      <c r="D131" s="195" t="s">
        <v>354</v>
      </c>
      <c r="E131" s="236">
        <f>1-C131</f>
        <v>0.75</v>
      </c>
      <c r="F131" s="189"/>
    </row>
    <row r="132" spans="1:10">
      <c r="A132" s="189"/>
      <c r="B132" s="237" t="s">
        <v>355</v>
      </c>
      <c r="C132" s="238">
        <f>$E$131*$C$129</f>
        <v>584116342.99480867</v>
      </c>
      <c r="D132" s="195" t="s">
        <v>356</v>
      </c>
      <c r="E132" s="92" t="s">
        <v>357</v>
      </c>
      <c r="F132" s="189"/>
    </row>
    <row r="133" spans="1:10">
      <c r="A133" s="189"/>
      <c r="B133" s="193" t="s">
        <v>358</v>
      </c>
      <c r="C133" s="234">
        <f>C132*0.23890295762</f>
        <v>139547121.93563816</v>
      </c>
      <c r="D133" s="195" t="s">
        <v>351</v>
      </c>
      <c r="E133" s="201" t="s">
        <v>352</v>
      </c>
      <c r="F133" s="189"/>
    </row>
    <row r="134" spans="1:10">
      <c r="A134" s="189"/>
      <c r="B134" s="193" t="s">
        <v>359</v>
      </c>
      <c r="C134" s="239">
        <f>C132/1012/(C106*(1+C68/C48*29))</f>
        <v>1998.8705616417474</v>
      </c>
      <c r="D134" s="195" t="s">
        <v>115</v>
      </c>
      <c r="E134" s="201" t="s">
        <v>360</v>
      </c>
      <c r="F134" s="189"/>
    </row>
    <row r="135" spans="1:10">
      <c r="A135" s="189"/>
      <c r="B135" s="193" t="s">
        <v>361</v>
      </c>
      <c r="C135" s="240">
        <f>273.15+15</f>
        <v>288.14999999999998</v>
      </c>
      <c r="D135" s="195" t="s">
        <v>115</v>
      </c>
      <c r="E135" s="201" t="s">
        <v>362</v>
      </c>
      <c r="F135" s="189"/>
    </row>
    <row r="136" spans="1:10">
      <c r="A136" s="189"/>
      <c r="B136" s="193" t="s">
        <v>363</v>
      </c>
      <c r="C136" s="241">
        <f>C115*C71/(273.15+15)*(C135+C134)</f>
        <v>1939.6317328813789</v>
      </c>
      <c r="D136" s="195" t="s">
        <v>48</v>
      </c>
      <c r="E136" s="201" t="s">
        <v>301</v>
      </c>
      <c r="F136" s="189"/>
    </row>
    <row r="137" spans="1:10">
      <c r="A137" s="189"/>
      <c r="B137" s="193" t="s">
        <v>364</v>
      </c>
      <c r="C137" s="231">
        <f>C136/C118</f>
        <v>3048.9084253429151</v>
      </c>
      <c r="D137" s="195" t="s">
        <v>51</v>
      </c>
      <c r="E137" s="196" t="s">
        <v>301</v>
      </c>
      <c r="F137" s="189"/>
    </row>
    <row r="138" spans="1:10" ht="27.6">
      <c r="A138" s="189"/>
      <c r="B138" s="237" t="s">
        <v>365</v>
      </c>
      <c r="C138" s="242">
        <f>$C$121*$C$119*(C135/$C$120)</f>
        <v>928.14804148190888</v>
      </c>
      <c r="D138" s="195" t="s">
        <v>366</v>
      </c>
      <c r="E138" s="243" t="s">
        <v>367</v>
      </c>
      <c r="F138" s="189"/>
    </row>
    <row r="139" spans="1:10" ht="28.15" thickBot="1">
      <c r="A139" s="189"/>
      <c r="B139" s="215" t="s">
        <v>365</v>
      </c>
      <c r="C139" s="244">
        <f>$C$136*$C$137*(C135/(C135+$C$134))</f>
        <v>745095.97239940299</v>
      </c>
      <c r="D139" s="217" t="s">
        <v>366</v>
      </c>
      <c r="E139" s="245" t="s">
        <v>368</v>
      </c>
      <c r="F139" s="189"/>
      <c r="G139" t="s">
        <v>369</v>
      </c>
    </row>
    <row r="140" spans="1:10" ht="15" thickBot="1">
      <c r="B140" s="189"/>
      <c r="C140" s="189"/>
      <c r="D140" s="189"/>
      <c r="E140" s="189"/>
      <c r="F140" s="189"/>
    </row>
    <row r="141" spans="1:10" ht="18">
      <c r="A141" s="97" t="s">
        <v>370</v>
      </c>
      <c r="B141" s="392" t="s">
        <v>371</v>
      </c>
      <c r="C141" s="393"/>
      <c r="D141" s="393"/>
      <c r="E141" s="394"/>
      <c r="F141" s="189"/>
    </row>
    <row r="142" spans="1:10" ht="18">
      <c r="A142" s="97"/>
      <c r="B142" s="190" t="s">
        <v>137</v>
      </c>
      <c r="C142" s="191" t="s">
        <v>138</v>
      </c>
      <c r="D142" s="191" t="s">
        <v>6</v>
      </c>
      <c r="E142" s="246" t="s">
        <v>372</v>
      </c>
      <c r="F142" s="189"/>
    </row>
    <row r="143" spans="1:10" ht="18">
      <c r="A143" s="97"/>
      <c r="B143" s="193" t="s">
        <v>331</v>
      </c>
      <c r="C143" s="247">
        <f>C16</f>
        <v>0.9</v>
      </c>
      <c r="D143" s="195" t="s">
        <v>28</v>
      </c>
      <c r="E143" s="201" t="s">
        <v>301</v>
      </c>
      <c r="F143" s="189"/>
      <c r="G143" s="248"/>
      <c r="J143" s="248"/>
    </row>
    <row r="144" spans="1:10" ht="18">
      <c r="A144" s="97"/>
      <c r="F144" s="189"/>
      <c r="G144" s="248"/>
      <c r="J144" s="248"/>
    </row>
    <row r="145" spans="1:17" ht="18">
      <c r="A145" s="97"/>
      <c r="B145" s="193" t="s">
        <v>373</v>
      </c>
      <c r="C145" s="249">
        <f>1000+273</f>
        <v>1273</v>
      </c>
      <c r="D145" s="195" t="s">
        <v>115</v>
      </c>
      <c r="E145" s="201" t="s">
        <v>374</v>
      </c>
      <c r="F145" s="189"/>
      <c r="G145" s="248"/>
      <c r="J145" s="248"/>
    </row>
    <row r="146" spans="1:17" ht="27.6">
      <c r="A146" s="97"/>
      <c r="B146" s="193" t="s">
        <v>375</v>
      </c>
      <c r="C146" s="234">
        <f>C111*(C145/273)</f>
        <v>103.36388477579683</v>
      </c>
      <c r="D146" s="195" t="s">
        <v>48</v>
      </c>
      <c r="E146" s="243" t="s">
        <v>376</v>
      </c>
      <c r="F146" s="189"/>
      <c r="G146" s="248"/>
      <c r="J146" s="248"/>
    </row>
    <row r="147" spans="1:17" ht="18">
      <c r="A147" s="97"/>
      <c r="B147" s="193" t="s">
        <v>377</v>
      </c>
      <c r="C147" s="250">
        <v>20</v>
      </c>
      <c r="D147" s="195" t="s">
        <v>51</v>
      </c>
      <c r="E147" s="201" t="s">
        <v>374</v>
      </c>
      <c r="F147" s="189"/>
      <c r="G147" s="248"/>
      <c r="J147" s="248"/>
    </row>
    <row r="148" spans="1:17" ht="18">
      <c r="A148" s="97"/>
      <c r="B148" s="193" t="s">
        <v>378</v>
      </c>
      <c r="C148" s="234">
        <f>C146/(PI()*((C143^2)/4))</f>
        <v>162.4777599925844</v>
      </c>
      <c r="D148" s="195" t="s">
        <v>51</v>
      </c>
      <c r="E148" s="201" t="s">
        <v>379</v>
      </c>
      <c r="F148" s="189"/>
      <c r="G148" s="248"/>
      <c r="J148" s="248"/>
    </row>
    <row r="149" spans="1:17" ht="27.6">
      <c r="A149" s="97"/>
      <c r="B149" s="193" t="s">
        <v>380</v>
      </c>
      <c r="C149" s="251">
        <f>(0.1066*(((C145/(C135*(C145-C135)))*(C132/C147))^0.5))*0.3048</f>
        <v>11.76052456906403</v>
      </c>
      <c r="D149" s="195" t="s">
        <v>28</v>
      </c>
      <c r="E149" s="243" t="s">
        <v>381</v>
      </c>
      <c r="F149" s="189"/>
      <c r="G149" s="248"/>
      <c r="J149" s="248"/>
    </row>
    <row r="150" spans="1:17" ht="28.15" thickBot="1">
      <c r="A150" s="97"/>
      <c r="B150" s="215" t="s">
        <v>382</v>
      </c>
      <c r="C150" s="252">
        <f>0.000988*(C130*(1-C131))^0.5</f>
        <v>11.671250395512109</v>
      </c>
      <c r="D150" s="217" t="s">
        <v>28</v>
      </c>
      <c r="E150" s="245" t="s">
        <v>383</v>
      </c>
      <c r="F150" s="189"/>
      <c r="G150" s="253"/>
    </row>
    <row r="151" spans="1:17" ht="18.600000000000001" thickBot="1">
      <c r="A151" s="97"/>
      <c r="B151" s="189"/>
      <c r="C151" s="189"/>
      <c r="D151" s="189"/>
      <c r="E151" s="189"/>
      <c r="F151" s="189"/>
      <c r="G151" s="248"/>
      <c r="H151" s="407" t="s">
        <v>384</v>
      </c>
      <c r="I151" s="408"/>
      <c r="J151" s="254"/>
      <c r="K151" s="254"/>
      <c r="L151" s="254"/>
      <c r="M151" s="248"/>
    </row>
    <row r="152" spans="1:17" ht="18">
      <c r="A152" s="97"/>
      <c r="B152" s="392" t="s">
        <v>385</v>
      </c>
      <c r="C152" s="393"/>
      <c r="D152" s="393"/>
      <c r="E152" s="394"/>
      <c r="F152" s="189"/>
      <c r="G152" s="248"/>
      <c r="H152" s="255" t="s">
        <v>386</v>
      </c>
      <c r="I152" s="255">
        <v>0.45359240000000001</v>
      </c>
      <c r="J152" s="254"/>
      <c r="K152" s="254"/>
      <c r="L152" s="254"/>
      <c r="M152" s="248"/>
    </row>
    <row r="153" spans="1:17" ht="18">
      <c r="A153" s="97"/>
      <c r="B153" s="190" t="s">
        <v>137</v>
      </c>
      <c r="C153" s="191" t="s">
        <v>138</v>
      </c>
      <c r="D153" s="191" t="s">
        <v>6</v>
      </c>
      <c r="E153" s="246" t="s">
        <v>372</v>
      </c>
      <c r="F153" s="189"/>
      <c r="G153" s="248"/>
      <c r="H153" s="255" t="s">
        <v>387</v>
      </c>
      <c r="I153" s="255">
        <f>I152*1000</f>
        <v>453.5924</v>
      </c>
      <c r="J153" s="254"/>
      <c r="K153" s="254"/>
      <c r="L153" s="254"/>
      <c r="M153" s="248"/>
    </row>
    <row r="154" spans="1:17" ht="18">
      <c r="A154" s="97"/>
      <c r="B154" s="193" t="s">
        <v>388</v>
      </c>
      <c r="C154" s="240">
        <f>C15</f>
        <v>65</v>
      </c>
      <c r="D154" s="195" t="s">
        <v>28</v>
      </c>
      <c r="E154" s="201" t="s">
        <v>301</v>
      </c>
      <c r="F154" s="189"/>
      <c r="G154" s="248"/>
      <c r="H154" s="255" t="s">
        <v>389</v>
      </c>
      <c r="I154" s="255">
        <v>1.055056</v>
      </c>
      <c r="J154" s="254"/>
      <c r="K154" s="254"/>
      <c r="L154" s="254"/>
      <c r="M154" s="248"/>
    </row>
    <row r="155" spans="1:17" ht="18">
      <c r="A155" s="97"/>
      <c r="B155" s="193" t="s">
        <v>388</v>
      </c>
      <c r="C155" s="256">
        <f>C154*3.280839895</f>
        <v>213.25459317500002</v>
      </c>
      <c r="D155" s="195" t="s">
        <v>390</v>
      </c>
      <c r="E155" s="201" t="s">
        <v>391</v>
      </c>
      <c r="F155" s="189"/>
      <c r="G155" s="248"/>
      <c r="H155" s="255" t="s">
        <v>392</v>
      </c>
      <c r="I155" s="255">
        <f>I154*1000000</f>
        <v>1055056</v>
      </c>
      <c r="J155" s="254"/>
      <c r="K155" s="254"/>
      <c r="L155" s="254"/>
      <c r="M155" s="248"/>
    </row>
    <row r="156" spans="1:17" ht="18">
      <c r="A156" s="97"/>
      <c r="B156" s="193" t="s">
        <v>393</v>
      </c>
      <c r="C156" s="256">
        <f>(C155+((0.00754)*(C132^0.478)))/3.280839895</f>
        <v>100.6264870984223</v>
      </c>
      <c r="D156" s="195" t="s">
        <v>28</v>
      </c>
      <c r="E156" s="201" t="s">
        <v>394</v>
      </c>
      <c r="F156" s="257">
        <f>0.00456*(1/4.1868)^0.478*3.280839895</f>
        <v>7.5455374856402083E-3</v>
      </c>
      <c r="G156" s="248"/>
      <c r="H156" s="255" t="s">
        <v>395</v>
      </c>
      <c r="I156" s="255">
        <f>I155/1000000</f>
        <v>1.055056</v>
      </c>
      <c r="J156" s="254"/>
      <c r="K156" s="254"/>
      <c r="L156" s="254"/>
      <c r="M156" s="248"/>
    </row>
    <row r="157" spans="1:17" ht="18.600000000000001" thickBot="1">
      <c r="A157" s="97"/>
      <c r="B157" s="215" t="s">
        <v>396</v>
      </c>
      <c r="C157" s="258">
        <f>C154+((0.00456)*((C132/4.1868)^0.478))</f>
        <v>100.65265170859712</v>
      </c>
      <c r="D157" s="217" t="s">
        <v>28</v>
      </c>
      <c r="E157" s="259" t="s">
        <v>397</v>
      </c>
      <c r="F157" s="189"/>
      <c r="G157" s="248"/>
      <c r="H157" s="255" t="s">
        <v>384</v>
      </c>
      <c r="I157" s="255">
        <f>I153/I156</f>
        <v>429.92258230842725</v>
      </c>
      <c r="J157" s="254"/>
      <c r="K157" s="254"/>
      <c r="L157" s="254"/>
      <c r="M157" s="248"/>
    </row>
    <row r="158" spans="1:17" ht="18.600000000000001" thickBot="1">
      <c r="A158" s="97"/>
      <c r="B158" s="189"/>
      <c r="C158" s="189"/>
      <c r="D158" s="189"/>
      <c r="E158" s="189"/>
      <c r="F158" s="189"/>
      <c r="G158" s="248"/>
      <c r="H158" s="254"/>
      <c r="I158" s="254"/>
      <c r="J158" s="254"/>
      <c r="K158" s="254"/>
      <c r="L158" s="254"/>
      <c r="M158" s="248"/>
    </row>
    <row r="159" spans="1:17" ht="18.75" customHeight="1" thickBot="1">
      <c r="A159" s="97" t="s">
        <v>398</v>
      </c>
      <c r="B159" s="392" t="s">
        <v>399</v>
      </c>
      <c r="C159" s="393"/>
      <c r="D159" s="393"/>
      <c r="E159" s="394"/>
      <c r="F159" s="189"/>
      <c r="G159" s="395" t="s">
        <v>400</v>
      </c>
      <c r="H159" s="395"/>
      <c r="I159" s="395"/>
      <c r="J159" s="395"/>
      <c r="K159" s="395"/>
      <c r="L159" s="395"/>
      <c r="M159" s="395"/>
    </row>
    <row r="160" spans="1:17" ht="15" customHeight="1">
      <c r="A160" s="189"/>
      <c r="B160" s="190" t="s">
        <v>137</v>
      </c>
      <c r="C160" s="191" t="s">
        <v>138</v>
      </c>
      <c r="D160" s="191" t="s">
        <v>6</v>
      </c>
      <c r="E160" s="192" t="s">
        <v>139</v>
      </c>
      <c r="F160" s="189"/>
      <c r="G160" s="396" t="s">
        <v>401</v>
      </c>
      <c r="H160" s="397"/>
      <c r="I160" s="397"/>
      <c r="J160" s="397"/>
      <c r="K160" s="397"/>
      <c r="L160" s="397"/>
      <c r="M160" s="397"/>
      <c r="N160" s="398" t="s">
        <v>402</v>
      </c>
      <c r="O160" s="399"/>
      <c r="P160" s="399"/>
      <c r="Q160" s="400"/>
    </row>
    <row r="161" spans="1:17">
      <c r="A161" s="189"/>
      <c r="B161" s="193" t="s">
        <v>403</v>
      </c>
      <c r="C161" s="261">
        <f t="shared" ref="C161:C169" si="22">$C$107*E161*1000000</f>
        <v>22.998635481917923</v>
      </c>
      <c r="D161" s="195" t="s">
        <v>68</v>
      </c>
      <c r="E161" s="262">
        <f>L162</f>
        <v>1.3416802420175744E-3</v>
      </c>
      <c r="F161" s="189"/>
      <c r="G161" s="263" t="s">
        <v>150</v>
      </c>
      <c r="H161" s="263" t="s">
        <v>404</v>
      </c>
      <c r="I161" s="263" t="s">
        <v>405</v>
      </c>
      <c r="J161" s="260" t="s">
        <v>404</v>
      </c>
      <c r="K161" s="260" t="s">
        <v>405</v>
      </c>
      <c r="L161" s="263" t="s">
        <v>404</v>
      </c>
      <c r="M161" s="264" t="s">
        <v>405</v>
      </c>
      <c r="N161" s="265" t="s">
        <v>404</v>
      </c>
      <c r="O161" s="260" t="s">
        <v>405</v>
      </c>
      <c r="P161" s="260" t="s">
        <v>404</v>
      </c>
      <c r="Q161" s="266" t="s">
        <v>405</v>
      </c>
    </row>
    <row r="162" spans="1:17">
      <c r="A162" s="189"/>
      <c r="B162" s="193" t="s">
        <v>406</v>
      </c>
      <c r="C162" s="267">
        <f t="shared" si="22"/>
        <v>104.84672057933172</v>
      </c>
      <c r="D162" s="195" t="s">
        <v>68</v>
      </c>
      <c r="E162" s="262">
        <f>L164</f>
        <v>6.1164834562565896E-3</v>
      </c>
      <c r="F162" s="189"/>
      <c r="G162" s="268" t="s">
        <v>407</v>
      </c>
      <c r="H162" s="269">
        <f>J162*$I$157</f>
        <v>29.234735596973056</v>
      </c>
      <c r="I162" s="268" t="s">
        <v>408</v>
      </c>
      <c r="J162" s="270">
        <v>6.8000000000000005E-2</v>
      </c>
      <c r="K162" s="271" t="s">
        <v>409</v>
      </c>
      <c r="L162" s="272">
        <f>(H162*$C$50)/1000000</f>
        <v>1.3416802420175744E-3</v>
      </c>
      <c r="M162" s="273" t="s">
        <v>410</v>
      </c>
      <c r="N162" s="274">
        <f>P162/1020</f>
        <v>0.18627450980392157</v>
      </c>
      <c r="O162" s="271" t="s">
        <v>409</v>
      </c>
      <c r="P162" s="270">
        <v>190</v>
      </c>
      <c r="Q162" s="275" t="s">
        <v>411</v>
      </c>
    </row>
    <row r="163" spans="1:17">
      <c r="A163" s="189"/>
      <c r="B163" s="193" t="s">
        <v>412</v>
      </c>
      <c r="C163" s="276">
        <f t="shared" si="22"/>
        <v>12.742840205620539</v>
      </c>
      <c r="D163" s="195" t="s">
        <v>68</v>
      </c>
      <c r="E163" s="277">
        <f>(1-C128)*$G$43</f>
        <v>7.4338396921461581E-4</v>
      </c>
      <c r="F163" s="189"/>
      <c r="G163" s="268" t="s">
        <v>413</v>
      </c>
      <c r="H163" s="269">
        <f>J163*$I$157</f>
        <v>11.607909722327536</v>
      </c>
      <c r="I163" s="268" t="s">
        <v>408</v>
      </c>
      <c r="J163" s="270">
        <v>2.7E-2</v>
      </c>
      <c r="K163" s="271" t="s">
        <v>409</v>
      </c>
      <c r="L163" s="272">
        <f>(H163*$C$50)/1000000</f>
        <v>5.3272597844815459E-4</v>
      </c>
      <c r="M163" s="273" t="s">
        <v>410</v>
      </c>
      <c r="N163" s="278">
        <f>P163/4.2*177</f>
        <v>21.492857142857144</v>
      </c>
      <c r="O163" s="271" t="s">
        <v>414</v>
      </c>
      <c r="P163" s="270">
        <v>0.51</v>
      </c>
      <c r="Q163" s="275" t="s">
        <v>415</v>
      </c>
    </row>
    <row r="164" spans="1:17" ht="18.75" customHeight="1">
      <c r="A164" s="189"/>
      <c r="B164" s="193" t="s">
        <v>416</v>
      </c>
      <c r="C164" s="267">
        <f t="shared" si="22"/>
        <v>9.1318111472321171</v>
      </c>
      <c r="D164" s="195" t="s">
        <v>68</v>
      </c>
      <c r="E164" s="262">
        <f>L163</f>
        <v>5.3272597844815459E-4</v>
      </c>
      <c r="F164" s="189"/>
      <c r="G164" s="268" t="s">
        <v>66</v>
      </c>
      <c r="H164" s="269">
        <f>J164*$I$157</f>
        <v>133.27600051561245</v>
      </c>
      <c r="I164" s="268" t="s">
        <v>408</v>
      </c>
      <c r="J164" s="270">
        <v>0.31</v>
      </c>
      <c r="K164" s="271" t="s">
        <v>409</v>
      </c>
      <c r="L164" s="272">
        <f>(H164*$C$50)/1000000</f>
        <v>6.1164834562565896E-3</v>
      </c>
      <c r="M164" s="273" t="s">
        <v>410</v>
      </c>
      <c r="N164" s="274">
        <f>P164/1020</f>
        <v>8.2352941176470587E-2</v>
      </c>
      <c r="O164" s="271" t="s">
        <v>409</v>
      </c>
      <c r="P164" s="270">
        <v>84</v>
      </c>
      <c r="Q164" s="275" t="s">
        <v>411</v>
      </c>
    </row>
    <row r="165" spans="1:17" ht="15" thickBot="1">
      <c r="A165" s="189"/>
      <c r="B165" s="279" t="s">
        <v>417</v>
      </c>
      <c r="C165" s="267">
        <f t="shared" si="22"/>
        <v>0</v>
      </c>
      <c r="D165" s="280" t="s">
        <v>68</v>
      </c>
      <c r="E165" s="281">
        <f>E166+E167/64*34</f>
        <v>0</v>
      </c>
      <c r="F165" s="189"/>
      <c r="G165" s="401" t="s">
        <v>418</v>
      </c>
      <c r="H165" s="402"/>
      <c r="I165" s="402"/>
      <c r="J165" s="402"/>
      <c r="K165" s="402"/>
      <c r="L165" s="402"/>
      <c r="M165" s="403"/>
      <c r="N165" s="282"/>
      <c r="O165" s="283"/>
      <c r="P165" s="283"/>
      <c r="Q165" s="284"/>
    </row>
    <row r="166" spans="1:17">
      <c r="A166" s="189"/>
      <c r="B166" s="279" t="s">
        <v>419</v>
      </c>
      <c r="C166" s="285">
        <f t="shared" si="22"/>
        <v>0</v>
      </c>
      <c r="D166" s="280" t="s">
        <v>68</v>
      </c>
      <c r="E166" s="281">
        <f>(E167/64*34)/95%*5%</f>
        <v>0</v>
      </c>
      <c r="F166" s="189"/>
      <c r="N166" s="248"/>
    </row>
    <row r="167" spans="1:17">
      <c r="A167" s="189"/>
      <c r="B167" s="279" t="s">
        <v>420</v>
      </c>
      <c r="C167" s="267">
        <f t="shared" si="22"/>
        <v>0</v>
      </c>
      <c r="D167" s="280" t="s">
        <v>68</v>
      </c>
      <c r="E167" s="281">
        <f>L168</f>
        <v>0</v>
      </c>
      <c r="F167" s="189"/>
      <c r="G167" s="268" t="s">
        <v>421</v>
      </c>
      <c r="H167" s="269"/>
      <c r="I167" s="268"/>
      <c r="J167" s="270"/>
      <c r="K167" s="271"/>
      <c r="L167" s="272"/>
      <c r="M167" s="268" t="s">
        <v>410</v>
      </c>
    </row>
    <row r="168" spans="1:17">
      <c r="A168" s="189"/>
      <c r="B168" s="279" t="s">
        <v>422</v>
      </c>
      <c r="C168" s="285">
        <f t="shared" si="22"/>
        <v>0</v>
      </c>
      <c r="D168" s="280" t="s">
        <v>68</v>
      </c>
      <c r="E168" s="286"/>
      <c r="F168" s="189"/>
      <c r="G168" s="268" t="s">
        <v>423</v>
      </c>
      <c r="H168" s="269"/>
      <c r="I168" s="268"/>
      <c r="J168" s="270"/>
      <c r="K168" s="271"/>
      <c r="L168" s="272">
        <f>G24/D24*64</f>
        <v>0</v>
      </c>
      <c r="M168" s="268" t="s">
        <v>410</v>
      </c>
    </row>
    <row r="169" spans="1:17" ht="15" thickBot="1">
      <c r="A169" s="189"/>
      <c r="B169" s="215" t="s">
        <v>424</v>
      </c>
      <c r="C169" s="285">
        <f t="shared" si="22"/>
        <v>0</v>
      </c>
      <c r="D169" s="217" t="s">
        <v>68</v>
      </c>
      <c r="E169" s="287"/>
      <c r="F169" s="189"/>
      <c r="G169" s="189"/>
      <c r="H169" s="189"/>
      <c r="I169" s="189"/>
      <c r="J169" s="189"/>
      <c r="K169" s="189"/>
      <c r="L169" s="189"/>
      <c r="M169" s="189"/>
    </row>
    <row r="170" spans="1:17" ht="15" thickBot="1">
      <c r="A170" s="189"/>
      <c r="B170" s="189"/>
      <c r="C170" s="189"/>
      <c r="D170" s="189"/>
      <c r="E170" s="189"/>
      <c r="F170" s="189"/>
    </row>
    <row r="171" spans="1:17" ht="18.75" customHeight="1">
      <c r="A171" s="189"/>
      <c r="B171" s="389" t="s">
        <v>425</v>
      </c>
      <c r="C171" s="390"/>
      <c r="D171" s="288"/>
      <c r="E171" s="389" t="s">
        <v>425</v>
      </c>
      <c r="F171" s="391"/>
      <c r="G171" s="391"/>
      <c r="H171" s="391"/>
      <c r="I171" s="390"/>
    </row>
    <row r="172" spans="1:17">
      <c r="A172" s="189"/>
      <c r="B172" s="193" t="s">
        <v>128</v>
      </c>
      <c r="C172" s="201" t="str">
        <f>C2</f>
        <v>H2T</v>
      </c>
      <c r="D172" s="189"/>
      <c r="E172" s="193" t="s">
        <v>128</v>
      </c>
      <c r="F172" s="195"/>
      <c r="G172" s="195"/>
      <c r="H172" s="195"/>
      <c r="I172" s="201"/>
    </row>
    <row r="173" spans="1:17" ht="27.6">
      <c r="A173" s="189"/>
      <c r="B173" s="193" t="s">
        <v>130</v>
      </c>
      <c r="C173" s="289" t="str">
        <f>C3</f>
        <v>LP Flare Package BH001-PR-SPE-014-00009_B01.pdf</v>
      </c>
      <c r="D173" s="189"/>
      <c r="E173" s="193" t="s">
        <v>130</v>
      </c>
      <c r="F173" s="290"/>
      <c r="G173" s="290"/>
      <c r="H173" s="290"/>
      <c r="I173" s="289"/>
    </row>
    <row r="174" spans="1:17">
      <c r="A174" s="189"/>
      <c r="B174" s="193" t="s">
        <v>132</v>
      </c>
      <c r="C174" s="201" t="str">
        <f>C4</f>
        <v>Flare Case3</v>
      </c>
      <c r="D174" s="189"/>
      <c r="E174" s="193" t="s">
        <v>132</v>
      </c>
      <c r="F174" s="195"/>
      <c r="G174" s="195"/>
      <c r="H174" s="195"/>
      <c r="I174" s="201"/>
    </row>
    <row r="175" spans="1:17">
      <c r="A175" s="189"/>
      <c r="B175" s="291" t="s">
        <v>426</v>
      </c>
      <c r="C175" s="292">
        <f>C15</f>
        <v>65</v>
      </c>
      <c r="D175" s="189"/>
      <c r="E175" s="291" t="s">
        <v>426</v>
      </c>
      <c r="F175" s="293"/>
      <c r="G175" s="293"/>
      <c r="H175" s="293"/>
      <c r="I175" s="292"/>
    </row>
    <row r="176" spans="1:17">
      <c r="A176" s="189"/>
      <c r="B176" s="291" t="s">
        <v>427</v>
      </c>
      <c r="C176" s="294">
        <f>C116</f>
        <v>0.9</v>
      </c>
      <c r="D176" s="189"/>
      <c r="E176" s="291" t="s">
        <v>427</v>
      </c>
      <c r="F176" s="295"/>
      <c r="G176" s="295"/>
      <c r="H176" s="295"/>
      <c r="I176" s="294"/>
    </row>
    <row r="177" spans="1:9">
      <c r="A177" s="189"/>
      <c r="B177" s="291" t="s">
        <v>428</v>
      </c>
      <c r="C177" s="294">
        <f>C108</f>
        <v>71.349305386706433</v>
      </c>
      <c r="D177" s="189"/>
      <c r="E177" s="291" t="s">
        <v>428</v>
      </c>
      <c r="F177" s="296"/>
      <c r="G177" s="296"/>
      <c r="H177" s="297"/>
      <c r="I177" s="298"/>
    </row>
    <row r="178" spans="1:9">
      <c r="A178" s="189"/>
      <c r="B178" s="291" t="s">
        <v>429</v>
      </c>
      <c r="C178" s="299">
        <f>C105</f>
        <v>61.71</v>
      </c>
      <c r="D178" s="189"/>
      <c r="E178" s="291" t="s">
        <v>429</v>
      </c>
      <c r="F178" s="300"/>
      <c r="G178" s="300"/>
      <c r="H178" s="301"/>
      <c r="I178" s="302"/>
    </row>
    <row r="179" spans="1:9">
      <c r="A179" s="189"/>
      <c r="B179" s="291" t="s">
        <v>430</v>
      </c>
      <c r="C179" s="302">
        <f>C127</f>
        <v>786.68867743408589</v>
      </c>
      <c r="D179" s="189"/>
      <c r="E179" s="291" t="s">
        <v>430</v>
      </c>
      <c r="F179" s="303"/>
      <c r="G179" s="303"/>
      <c r="H179" s="303"/>
      <c r="I179" s="304"/>
    </row>
    <row r="180" spans="1:9">
      <c r="A180" s="189"/>
      <c r="B180" s="305" t="s">
        <v>431</v>
      </c>
      <c r="C180" s="306"/>
      <c r="D180" s="189"/>
      <c r="E180" s="307" t="s">
        <v>431</v>
      </c>
      <c r="F180" s="308"/>
      <c r="G180" s="308"/>
      <c r="H180" s="308"/>
      <c r="I180" s="309"/>
    </row>
    <row r="181" spans="1:9">
      <c r="A181" s="189"/>
      <c r="B181" s="310" t="s">
        <v>432</v>
      </c>
      <c r="C181" s="311">
        <f>C138</f>
        <v>928.14804148190888</v>
      </c>
      <c r="D181" s="189"/>
      <c r="E181" s="310" t="s">
        <v>432</v>
      </c>
      <c r="F181" s="312"/>
      <c r="G181" s="312"/>
      <c r="H181" s="312"/>
      <c r="I181" s="311"/>
    </row>
    <row r="182" spans="1:9">
      <c r="A182" s="189"/>
      <c r="B182" s="310" t="s">
        <v>433</v>
      </c>
      <c r="C182" s="311">
        <f>C132/1000000</f>
        <v>584.11634299480863</v>
      </c>
      <c r="D182" s="189"/>
      <c r="E182" s="310" t="s">
        <v>433</v>
      </c>
      <c r="F182" s="312"/>
      <c r="G182" s="312"/>
      <c r="H182" s="312"/>
      <c r="I182" s="311"/>
    </row>
    <row r="183" spans="1:9">
      <c r="A183" s="189"/>
      <c r="B183" s="291" t="s">
        <v>434</v>
      </c>
      <c r="C183" s="304">
        <f>C187</f>
        <v>2287.0205616417475</v>
      </c>
      <c r="D183" s="313"/>
      <c r="E183" s="291" t="s">
        <v>434</v>
      </c>
      <c r="F183" s="314"/>
      <c r="G183" s="314"/>
      <c r="H183" s="314"/>
      <c r="I183" s="315"/>
    </row>
    <row r="184" spans="1:9">
      <c r="A184" s="189"/>
      <c r="B184" s="291" t="s">
        <v>435</v>
      </c>
      <c r="C184" s="316">
        <f>C181/(C182*1000000/(1012*1.225*(C183-C135)))</f>
        <v>3.9374873199126599</v>
      </c>
      <c r="D184" s="317"/>
      <c r="E184" s="318" t="s">
        <v>435</v>
      </c>
      <c r="F184" s="319"/>
      <c r="G184" s="319"/>
      <c r="H184" s="319"/>
      <c r="I184" s="316"/>
    </row>
    <row r="185" spans="1:9">
      <c r="A185" s="189"/>
      <c r="B185" s="291" t="s">
        <v>436</v>
      </c>
      <c r="C185" s="320">
        <f>2*SQRT((C183/C135)*C182/PI())/C184</f>
        <v>19.512427054393449</v>
      </c>
      <c r="D185" s="189"/>
      <c r="E185" s="291" t="s">
        <v>436</v>
      </c>
      <c r="F185" s="319"/>
      <c r="G185" s="319"/>
      <c r="H185" s="319"/>
      <c r="I185" s="316"/>
    </row>
    <row r="186" spans="1:9" ht="18.75" customHeight="1">
      <c r="A186" s="189"/>
      <c r="B186" s="305" t="s">
        <v>437</v>
      </c>
      <c r="C186" s="306"/>
      <c r="D186" s="189"/>
      <c r="E186" s="307" t="s">
        <v>437</v>
      </c>
      <c r="F186" s="308"/>
      <c r="G186" s="308"/>
      <c r="H186" s="308"/>
      <c r="I186" s="309"/>
    </row>
    <row r="187" spans="1:9">
      <c r="A187" s="189"/>
      <c r="B187" s="291" t="s">
        <v>438</v>
      </c>
      <c r="C187" s="304">
        <f>C134+C135</f>
        <v>2287.0205616417475</v>
      </c>
      <c r="D187" s="189"/>
      <c r="E187" s="291" t="s">
        <v>438</v>
      </c>
      <c r="F187" s="303"/>
      <c r="G187" s="303"/>
      <c r="H187" s="303"/>
      <c r="I187" s="304"/>
    </row>
    <row r="188" spans="1:9">
      <c r="A188" s="189"/>
      <c r="B188" s="291" t="s">
        <v>439</v>
      </c>
      <c r="C188" s="321">
        <f>C143</f>
        <v>0.9</v>
      </c>
      <c r="D188" s="189"/>
      <c r="E188" s="291" t="s">
        <v>439</v>
      </c>
      <c r="F188" s="322"/>
      <c r="G188" s="322"/>
      <c r="H188" s="322"/>
      <c r="I188" s="321"/>
    </row>
    <row r="189" spans="1:9">
      <c r="A189" s="189"/>
      <c r="B189" s="291" t="s">
        <v>440</v>
      </c>
      <c r="C189" s="304">
        <f>C137</f>
        <v>3048.9084253429151</v>
      </c>
      <c r="D189" s="189"/>
      <c r="E189" s="291" t="s">
        <v>440</v>
      </c>
      <c r="F189" s="300"/>
      <c r="G189" s="300"/>
      <c r="H189" s="300"/>
      <c r="I189" s="302"/>
    </row>
    <row r="190" spans="1:9">
      <c r="A190" s="189"/>
      <c r="B190" s="305" t="s">
        <v>441</v>
      </c>
      <c r="C190" s="306"/>
      <c r="D190" s="189"/>
      <c r="E190" s="307" t="s">
        <v>441</v>
      </c>
      <c r="F190" s="308"/>
      <c r="G190" s="308"/>
      <c r="H190" s="308"/>
      <c r="I190" s="309"/>
    </row>
    <row r="191" spans="1:9" ht="18.75" customHeight="1">
      <c r="B191" s="291" t="s">
        <v>438</v>
      </c>
      <c r="C191" s="304">
        <f>C145</f>
        <v>1273</v>
      </c>
      <c r="D191" s="189"/>
      <c r="E191" s="291" t="s">
        <v>438</v>
      </c>
      <c r="F191" s="303"/>
      <c r="G191" s="303"/>
      <c r="H191" s="303"/>
      <c r="I191" s="304"/>
    </row>
    <row r="192" spans="1:9">
      <c r="B192" s="291" t="s">
        <v>439</v>
      </c>
      <c r="C192" s="321">
        <f>C150</f>
        <v>11.671250395512109</v>
      </c>
      <c r="D192" s="189"/>
      <c r="E192" s="291" t="s">
        <v>439</v>
      </c>
      <c r="F192" s="322"/>
      <c r="G192" s="322"/>
      <c r="H192" s="322"/>
      <c r="I192" s="321"/>
    </row>
    <row r="193" spans="2:9">
      <c r="B193" s="291" t="s">
        <v>440</v>
      </c>
      <c r="C193" s="302">
        <f>C147</f>
        <v>20</v>
      </c>
      <c r="D193" s="189"/>
      <c r="E193" s="291" t="s">
        <v>440</v>
      </c>
      <c r="F193" s="300"/>
      <c r="G193" s="300"/>
      <c r="H193" s="300"/>
      <c r="I193" s="302"/>
    </row>
    <row r="194" spans="2:9">
      <c r="B194" s="323" t="s">
        <v>442</v>
      </c>
      <c r="C194" s="324"/>
      <c r="D194" s="189"/>
      <c r="E194" s="325" t="s">
        <v>442</v>
      </c>
      <c r="F194" s="326"/>
      <c r="G194" s="326"/>
      <c r="H194" s="326"/>
      <c r="I194" s="327"/>
    </row>
    <row r="195" spans="2:9">
      <c r="B195" s="328" t="s">
        <v>443</v>
      </c>
      <c r="C195" s="329">
        <f>C161</f>
        <v>22.998635481917923</v>
      </c>
      <c r="D195" s="189"/>
      <c r="E195" s="330" t="s">
        <v>443</v>
      </c>
      <c r="F195" s="331">
        <f t="shared" ref="F195:F200" si="23">H195*1000000/3600</f>
        <v>4805.5555555555557</v>
      </c>
      <c r="G195" s="107" t="s">
        <v>23</v>
      </c>
      <c r="H195" s="107">
        <v>17.3</v>
      </c>
      <c r="I195" s="329"/>
    </row>
    <row r="196" spans="2:9">
      <c r="B196" s="328" t="s">
        <v>444</v>
      </c>
      <c r="C196" s="332">
        <f>C162</f>
        <v>104.84672057933172</v>
      </c>
      <c r="D196" s="189"/>
      <c r="E196" s="330" t="s">
        <v>444</v>
      </c>
      <c r="F196" s="331">
        <f t="shared" si="23"/>
        <v>2125</v>
      </c>
      <c r="G196" s="107" t="s">
        <v>23</v>
      </c>
      <c r="H196" s="107">
        <v>7.65</v>
      </c>
      <c r="I196" s="329"/>
    </row>
    <row r="197" spans="2:9">
      <c r="B197" s="328" t="s">
        <v>445</v>
      </c>
      <c r="C197" s="332">
        <f>C163</f>
        <v>12.742840205620539</v>
      </c>
      <c r="D197" s="189"/>
      <c r="E197" s="328" t="s">
        <v>445</v>
      </c>
      <c r="F197" s="333">
        <f t="shared" si="23"/>
        <v>0</v>
      </c>
      <c r="G197" s="107" t="s">
        <v>23</v>
      </c>
      <c r="H197" s="107"/>
      <c r="I197" s="329"/>
    </row>
    <row r="198" spans="2:9">
      <c r="B198" s="328" t="s">
        <v>446</v>
      </c>
      <c r="C198" s="334">
        <f>C164</f>
        <v>9.1318111472321171</v>
      </c>
      <c r="D198" s="189"/>
      <c r="E198" s="330" t="s">
        <v>446</v>
      </c>
      <c r="F198" s="335">
        <f t="shared" si="23"/>
        <v>0</v>
      </c>
      <c r="G198" s="107"/>
      <c r="H198" s="107"/>
      <c r="I198" s="329"/>
    </row>
    <row r="199" spans="2:9">
      <c r="B199" s="328" t="s">
        <v>447</v>
      </c>
      <c r="C199" s="336">
        <f>C166</f>
        <v>0</v>
      </c>
      <c r="D199" s="189"/>
      <c r="E199" s="330" t="s">
        <v>447</v>
      </c>
      <c r="F199" s="335">
        <f t="shared" si="23"/>
        <v>0</v>
      </c>
      <c r="G199" s="107"/>
      <c r="H199" s="107"/>
      <c r="I199" s="329"/>
    </row>
    <row r="200" spans="2:9" ht="15" thickBot="1">
      <c r="B200" s="337" t="s">
        <v>448</v>
      </c>
      <c r="C200" s="338">
        <f>C167</f>
        <v>0</v>
      </c>
      <c r="D200" s="189"/>
      <c r="E200" s="339" t="s">
        <v>448</v>
      </c>
      <c r="F200" s="340">
        <f t="shared" si="23"/>
        <v>3369.4444444444443</v>
      </c>
      <c r="G200" s="107" t="s">
        <v>23</v>
      </c>
      <c r="H200" s="107">
        <v>12.13</v>
      </c>
      <c r="I200" s="341"/>
    </row>
    <row r="202" spans="2:9">
      <c r="F202" s="120"/>
      <c r="G202" s="120"/>
      <c r="H202" s="120"/>
      <c r="I202" s="120"/>
    </row>
    <row r="203" spans="2:9">
      <c r="F203" s="253"/>
      <c r="G203" s="253"/>
      <c r="H203" s="253"/>
      <c r="I203" s="253"/>
    </row>
  </sheetData>
  <mergeCells count="20">
    <mergeCell ref="B52:F52"/>
    <mergeCell ref="B10:E10"/>
    <mergeCell ref="B19:E19"/>
    <mergeCell ref="F19:K19"/>
    <mergeCell ref="L19:S19"/>
    <mergeCell ref="B46:F46"/>
    <mergeCell ref="N160:Q160"/>
    <mergeCell ref="G165:M165"/>
    <mergeCell ref="B103:E103"/>
    <mergeCell ref="G103:K103"/>
    <mergeCell ref="B113:E113"/>
    <mergeCell ref="B123:E123"/>
    <mergeCell ref="B141:E141"/>
    <mergeCell ref="H151:I151"/>
    <mergeCell ref="B171:C171"/>
    <mergeCell ref="E171:I171"/>
    <mergeCell ref="B152:E152"/>
    <mergeCell ref="B159:E159"/>
    <mergeCell ref="G159:M159"/>
    <mergeCell ref="G160:M160"/>
  </mergeCells>
  <hyperlinks>
    <hyperlink ref="G165" r:id="rId1" xr:uid="{96EA82BC-B3E5-4942-9AF7-649F13624FD8}"/>
  </hyperlinks>
  <pageMargins left="0.7" right="0.7" top="0.75" bottom="0.75" header="0.3" footer="0.3"/>
  <pageSetup paperSize="9" orientation="portrait" r:id="rId2"/>
  <drawing r:id="rId3"/>
  <legacy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47982-DBCE-4949-A3E1-6BB7F2BFD329}">
  <dimension ref="A1:E42"/>
  <sheetViews>
    <sheetView topLeftCell="A25" zoomScale="115" zoomScaleNormal="115" workbookViewId="0">
      <pane xSplit="1" topLeftCell="B1" activePane="topRight" state="frozen"/>
      <selection pane="topRight" activeCell="B39" sqref="B39"/>
    </sheetView>
  </sheetViews>
  <sheetFormatPr defaultColWidth="8.5703125" defaultRowHeight="14.45"/>
  <cols>
    <col min="1" max="2" width="31.42578125" style="1" customWidth="1"/>
    <col min="3" max="4" width="25.140625" style="13" customWidth="1"/>
    <col min="5" max="5" width="51" bestFit="1" customWidth="1"/>
  </cols>
  <sheetData>
    <row r="1" spans="1:5" ht="15.75" customHeight="1">
      <c r="A1" s="2"/>
      <c r="B1" s="66"/>
      <c r="C1" s="409"/>
      <c r="D1" s="409"/>
    </row>
    <row r="2" spans="1:5" ht="58.5" customHeight="1">
      <c r="A2" s="3" t="s">
        <v>452</v>
      </c>
      <c r="B2" s="67" t="s">
        <v>453</v>
      </c>
      <c r="C2" s="64" t="s">
        <v>454</v>
      </c>
      <c r="D2" s="64" t="s">
        <v>454</v>
      </c>
      <c r="E2" s="60" t="s">
        <v>0</v>
      </c>
    </row>
    <row r="3" spans="1:5">
      <c r="A3" s="4" t="s">
        <v>455</v>
      </c>
      <c r="B3" s="5" t="s">
        <v>456</v>
      </c>
      <c r="C3" s="5" t="s">
        <v>456</v>
      </c>
      <c r="D3" s="51" t="s">
        <v>457</v>
      </c>
      <c r="E3" s="60"/>
    </row>
    <row r="4" spans="1:5">
      <c r="A4" s="4" t="s">
        <v>458</v>
      </c>
      <c r="B4" s="63" t="s">
        <v>459</v>
      </c>
      <c r="C4" s="63" t="s">
        <v>459</v>
      </c>
      <c r="D4" s="63" t="s">
        <v>459</v>
      </c>
      <c r="E4" s="60"/>
    </row>
    <row r="5" spans="1:5" ht="62.45" customHeight="1">
      <c r="A5" s="4" t="s">
        <v>460</v>
      </c>
      <c r="B5" s="4">
        <v>0.55000000000000004</v>
      </c>
      <c r="C5" s="6">
        <v>1.65</v>
      </c>
      <c r="D5" s="52">
        <v>1.65</v>
      </c>
      <c r="E5" s="60" t="s">
        <v>461</v>
      </c>
    </row>
    <row r="6" spans="1:5" s="1" customFormat="1" ht="69.75" customHeight="1">
      <c r="A6" s="4" t="s">
        <v>462</v>
      </c>
      <c r="B6" s="63" t="s">
        <v>463</v>
      </c>
      <c r="C6" s="63" t="s">
        <v>464</v>
      </c>
      <c r="D6" s="63" t="s">
        <v>464</v>
      </c>
      <c r="E6" s="61"/>
    </row>
    <row r="7" spans="1:5">
      <c r="A7" s="4" t="s">
        <v>465</v>
      </c>
      <c r="B7" s="6" t="s">
        <v>466</v>
      </c>
      <c r="C7" s="6" t="s">
        <v>466</v>
      </c>
      <c r="D7" s="52" t="s">
        <v>467</v>
      </c>
      <c r="E7" s="60"/>
    </row>
    <row r="8" spans="1:5" ht="28.9">
      <c r="A8" s="4" t="s">
        <v>468</v>
      </c>
      <c r="B8" s="65">
        <v>15.458333333333334</v>
      </c>
      <c r="C8" s="6"/>
      <c r="D8" s="52"/>
      <c r="E8" s="60"/>
    </row>
    <row r="9" spans="1:5" ht="30" customHeight="1">
      <c r="A9" s="4" t="s">
        <v>469</v>
      </c>
      <c r="B9" s="65">
        <v>3</v>
      </c>
      <c r="C9" s="65">
        <v>28.876666666666665</v>
      </c>
      <c r="D9" s="54">
        <v>24.06388888888889</v>
      </c>
      <c r="E9" s="60" t="s">
        <v>470</v>
      </c>
    </row>
    <row r="10" spans="1:5">
      <c r="A10" s="4" t="s">
        <v>471</v>
      </c>
      <c r="B10" s="7">
        <v>200</v>
      </c>
      <c r="C10" s="7">
        <v>259</v>
      </c>
      <c r="D10" s="53">
        <v>155</v>
      </c>
      <c r="E10" s="60"/>
    </row>
    <row r="11" spans="1:5">
      <c r="A11" s="4" t="s">
        <v>52</v>
      </c>
      <c r="B11" s="53">
        <v>3</v>
      </c>
      <c r="C11" s="53">
        <v>3</v>
      </c>
      <c r="D11" s="53">
        <v>3</v>
      </c>
      <c r="E11" s="60"/>
    </row>
    <row r="12" spans="1:5" ht="28.9">
      <c r="A12" s="4" t="s">
        <v>53</v>
      </c>
      <c r="B12" s="53">
        <v>0</v>
      </c>
      <c r="C12" s="53">
        <v>0</v>
      </c>
      <c r="D12" s="53">
        <v>0</v>
      </c>
      <c r="E12" s="60"/>
    </row>
    <row r="13" spans="1:5">
      <c r="A13" s="4" t="s">
        <v>54</v>
      </c>
      <c r="B13" s="53">
        <v>0</v>
      </c>
      <c r="C13" s="53">
        <v>0</v>
      </c>
      <c r="D13" s="53">
        <v>0</v>
      </c>
      <c r="E13" s="60"/>
    </row>
    <row r="14" spans="1:5" ht="29.1" customHeight="1">
      <c r="A14" s="8" t="s">
        <v>472</v>
      </c>
      <c r="B14" s="6"/>
      <c r="C14" s="6"/>
      <c r="D14" s="52"/>
      <c r="E14" s="60"/>
    </row>
    <row r="15" spans="1:5">
      <c r="A15" s="9" t="s">
        <v>473</v>
      </c>
      <c r="B15" s="6">
        <v>3.19</v>
      </c>
      <c r="C15" s="6">
        <v>2.4967999999999999</v>
      </c>
      <c r="D15" s="52">
        <v>1.57</v>
      </c>
      <c r="E15" s="60" t="s">
        <v>474</v>
      </c>
    </row>
    <row r="16" spans="1:5">
      <c r="A16" s="9" t="s">
        <v>475</v>
      </c>
      <c r="B16" s="6"/>
      <c r="C16" s="6"/>
      <c r="D16" s="52"/>
      <c r="E16" s="60" t="s">
        <v>474</v>
      </c>
    </row>
    <row r="17" spans="1:5">
      <c r="A17" s="9" t="s">
        <v>476</v>
      </c>
      <c r="B17" s="6">
        <v>8.1</v>
      </c>
      <c r="C17" s="6">
        <v>8.5342000000000002</v>
      </c>
      <c r="D17" s="52">
        <v>2.27</v>
      </c>
      <c r="E17" s="60" t="s">
        <v>474</v>
      </c>
    </row>
    <row r="18" spans="1:5" ht="29.1" customHeight="1">
      <c r="A18" s="9" t="s">
        <v>477</v>
      </c>
      <c r="B18" s="6">
        <v>16.62</v>
      </c>
      <c r="C18" s="6">
        <v>16.440799999999999</v>
      </c>
      <c r="D18" s="52">
        <v>29.23</v>
      </c>
      <c r="E18" s="60" t="s">
        <v>474</v>
      </c>
    </row>
    <row r="19" spans="1:5">
      <c r="A19" s="9" t="s">
        <v>478</v>
      </c>
      <c r="B19" s="6">
        <v>72.099999999999994</v>
      </c>
      <c r="C19" s="6">
        <v>71.677800000000005</v>
      </c>
      <c r="D19" s="52">
        <v>65.98</v>
      </c>
      <c r="E19" s="60" t="s">
        <v>474</v>
      </c>
    </row>
    <row r="20" spans="1:5">
      <c r="A20" s="9" t="s">
        <v>479</v>
      </c>
      <c r="B20" s="6">
        <v>0.77</v>
      </c>
      <c r="C20" s="6">
        <v>0.85009999999999997</v>
      </c>
      <c r="D20" s="52">
        <v>0.95</v>
      </c>
      <c r="E20" s="60" t="s">
        <v>474</v>
      </c>
    </row>
    <row r="21" spans="1:5">
      <c r="A21" s="9" t="s">
        <v>480</v>
      </c>
      <c r="B21" s="6">
        <v>0</v>
      </c>
      <c r="C21" s="6">
        <v>0</v>
      </c>
      <c r="D21" s="52">
        <v>0</v>
      </c>
      <c r="E21" s="60" t="s">
        <v>474</v>
      </c>
    </row>
    <row r="22" spans="1:5" ht="29.1" customHeight="1">
      <c r="A22" s="9" t="s">
        <v>481</v>
      </c>
      <c r="B22" s="6"/>
      <c r="C22" s="6"/>
      <c r="D22" s="52"/>
      <c r="E22" s="60"/>
    </row>
    <row r="23" spans="1:5" ht="32.450000000000003" customHeight="1">
      <c r="A23" s="9" t="s">
        <v>482</v>
      </c>
      <c r="B23" s="54">
        <v>4.1804352874436352</v>
      </c>
      <c r="C23" s="54">
        <v>45.146233555827997</v>
      </c>
      <c r="D23" s="54">
        <v>32.992361396719126</v>
      </c>
      <c r="E23" s="60" t="s">
        <v>461</v>
      </c>
    </row>
    <row r="24" spans="1:5" ht="28.9">
      <c r="A24" s="9" t="s">
        <v>483</v>
      </c>
      <c r="B24" s="68">
        <v>2.4128093730911466</v>
      </c>
      <c r="C24" s="54">
        <v>28.796546169955707</v>
      </c>
      <c r="D24" s="54">
        <v>21.044193133888601</v>
      </c>
      <c r="E24" s="60" t="s">
        <v>461</v>
      </c>
    </row>
    <row r="25" spans="1:5">
      <c r="A25" s="9" t="s">
        <v>484</v>
      </c>
      <c r="B25" s="54">
        <v>1.9253226727942709</v>
      </c>
      <c r="C25" s="54">
        <v>19.365710184632764</v>
      </c>
      <c r="D25" s="54">
        <v>15.537783807178494</v>
      </c>
      <c r="E25" s="60" t="s">
        <v>461</v>
      </c>
    </row>
    <row r="26" spans="1:5">
      <c r="A26" s="9" t="s">
        <v>485</v>
      </c>
      <c r="B26" s="65">
        <v>17.595687676626586</v>
      </c>
      <c r="C26" s="65">
        <v>21.113671206291929</v>
      </c>
      <c r="D26" s="54">
        <v>15.429634234893159</v>
      </c>
      <c r="E26" s="60" t="s">
        <v>486</v>
      </c>
    </row>
    <row r="27" spans="1:5" ht="47.1" customHeight="1">
      <c r="A27" s="11" t="s">
        <v>487</v>
      </c>
      <c r="B27" s="6">
        <v>17.95</v>
      </c>
      <c r="C27" s="6"/>
      <c r="D27" s="52"/>
      <c r="E27" s="60"/>
    </row>
    <row r="28" spans="1:5">
      <c r="A28" s="12" t="s">
        <v>488</v>
      </c>
      <c r="B28" s="14">
        <v>225</v>
      </c>
      <c r="C28" s="14">
        <v>18.809999999999999</v>
      </c>
      <c r="D28" s="62">
        <v>78.989999999999995</v>
      </c>
      <c r="E28" s="60" t="s">
        <v>489</v>
      </c>
    </row>
    <row r="29" spans="1:5" ht="28.9">
      <c r="A29" s="12" t="s">
        <v>490</v>
      </c>
      <c r="B29" s="14"/>
      <c r="C29" s="14"/>
      <c r="D29" s="55"/>
      <c r="E29" s="60"/>
    </row>
    <row r="30" spans="1:5">
      <c r="A30" s="12" t="s">
        <v>491</v>
      </c>
      <c r="B30" s="15"/>
      <c r="C30" s="15">
        <v>11.449</v>
      </c>
      <c r="D30" s="56"/>
      <c r="E30" s="60"/>
    </row>
    <row r="31" spans="1:5">
      <c r="A31" s="12" t="s">
        <v>492</v>
      </c>
      <c r="B31" s="15"/>
      <c r="C31" s="15">
        <v>5</v>
      </c>
      <c r="D31" s="56">
        <v>20</v>
      </c>
      <c r="E31" s="60" t="s">
        <v>493</v>
      </c>
    </row>
    <row r="32" spans="1:5">
      <c r="A32" s="12" t="s">
        <v>494</v>
      </c>
      <c r="B32" s="15"/>
      <c r="C32" s="15">
        <v>6.96</v>
      </c>
      <c r="D32" s="56"/>
      <c r="E32" s="60"/>
    </row>
    <row r="33" spans="1:5">
      <c r="A33" s="12" t="s">
        <v>42</v>
      </c>
      <c r="B33" s="56">
        <v>3.9</v>
      </c>
      <c r="C33" s="56"/>
      <c r="D33" s="56"/>
      <c r="E33" s="60"/>
    </row>
    <row r="34" spans="1:5" ht="72.95" customHeight="1">
      <c r="A34" s="12" t="s">
        <v>495</v>
      </c>
      <c r="B34" s="57">
        <v>0.54288210894550804</v>
      </c>
      <c r="C34" s="57">
        <v>0.54166303345686684</v>
      </c>
      <c r="D34" s="57">
        <v>1.6622808156458604</v>
      </c>
      <c r="E34" s="60" t="s">
        <v>496</v>
      </c>
    </row>
    <row r="35" spans="1:5">
      <c r="A35" s="12" t="s">
        <v>497</v>
      </c>
      <c r="B35" s="57"/>
      <c r="C35" s="57"/>
      <c r="D35" s="58"/>
      <c r="E35" s="60"/>
    </row>
    <row r="36" spans="1:5">
      <c r="A36" s="12" t="s">
        <v>498</v>
      </c>
      <c r="B36" s="57"/>
      <c r="C36" s="57">
        <v>0.32969165709982284</v>
      </c>
      <c r="D36" s="58"/>
      <c r="E36" s="60"/>
    </row>
    <row r="37" spans="1:5" ht="58.5" customHeight="1">
      <c r="A37" s="12" t="s">
        <v>499</v>
      </c>
      <c r="B37" s="57"/>
      <c r="C37" s="57">
        <v>0.14398273084977853</v>
      </c>
      <c r="D37" s="57">
        <v>0.420883862677772</v>
      </c>
      <c r="E37" s="60" t="s">
        <v>496</v>
      </c>
    </row>
    <row r="38" spans="1:5">
      <c r="A38" s="12" t="s">
        <v>500</v>
      </c>
      <c r="B38" s="57"/>
      <c r="C38" s="57">
        <v>0.20042396134289173</v>
      </c>
      <c r="D38" s="59"/>
      <c r="E38" s="60"/>
    </row>
    <row r="39" spans="1:5">
      <c r="A39" s="12" t="s">
        <v>501</v>
      </c>
      <c r="B39" s="57">
        <v>9.4099565550554709E-3</v>
      </c>
      <c r="C39" s="57">
        <v>0</v>
      </c>
      <c r="D39" s="59"/>
      <c r="E39" s="60"/>
    </row>
    <row r="40" spans="1:5">
      <c r="C40" s="16"/>
      <c r="D40" s="16"/>
    </row>
    <row r="41" spans="1:5">
      <c r="C41" s="10"/>
    </row>
    <row r="42" spans="1:5">
      <c r="C42" s="17"/>
    </row>
  </sheetData>
  <mergeCells count="1">
    <mergeCell ref="C1:D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ermit File" ma:contentTypeID="0x0101000E9AD557692E154F9D2697C8C6432F76002FF98D7FBCA7AA42ADBE27AC96EFD93A" ma:contentTypeVersion="44" ma:contentTypeDescription="Create a new document." ma:contentTypeScope="" ma:versionID="4f48ea1ba7e3a1b72b88a0c7259d2515">
  <xsd:schema xmlns:xsd="http://www.w3.org/2001/XMLSchema" xmlns:xs="http://www.w3.org/2001/XMLSchema" xmlns:p="http://schemas.microsoft.com/office/2006/metadata/properties" xmlns:ns2="dbe221e7-66db-4bdb-a92c-aa517c005f15" xmlns:ns3="662745e8-e224-48e8-a2e3-254862b8c2f5" xmlns:ns4="eebef177-55b5-4448-a5fb-28ea454417ee" xmlns:ns5="5ffd8e36-f429-4edc-ab50-c5be84842779" xmlns:ns6="c760b49e-90f4-4260-b1d9-e3d7d6a75612" targetNamespace="http://schemas.microsoft.com/office/2006/metadata/properties" ma:root="true" ma:fieldsID="4059035a040dd370d642877b7d461877" ns2:_="" ns3:_="" ns4:_="" ns5:_="" ns6:_="">
    <xsd:import namespace="dbe221e7-66db-4bdb-a92c-aa517c005f15"/>
    <xsd:import namespace="662745e8-e224-48e8-a2e3-254862b8c2f5"/>
    <xsd:import namespace="eebef177-55b5-4448-a5fb-28ea454417ee"/>
    <xsd:import namespace="5ffd8e36-f429-4edc-ab50-c5be84842779"/>
    <xsd:import namespace="c760b49e-90f4-4260-b1d9-e3d7d6a75612"/>
    <xsd:element name="properties">
      <xsd:complexType>
        <xsd:sequence>
          <xsd:element name="documentManagement">
            <xsd:complexType>
              <xsd:all>
                <xsd:element ref="ns2:d3564be703db47eda46ec138bc1ba091" minOccurs="0"/>
                <xsd:element ref="ns3:TaxCatchAll" minOccurs="0"/>
                <xsd:element ref="ns3:TaxCatchAllLabel" minOccurs="0"/>
                <xsd:element ref="ns4:DocumentDate"/>
                <xsd:element ref="ns4:EAReceivedDate"/>
                <xsd:element ref="ns4:ExternalAuthor"/>
                <xsd:element ref="ns2:c52c737aaa794145b5e1ab0b33580095" minOccurs="0"/>
                <xsd:element ref="ns2:ncb1594ff73b435992550f571a78c184" minOccurs="0"/>
                <xsd:element ref="ns2:p517ccc45a7e4674ae144f9410147bb3" minOccurs="0"/>
                <xsd:element ref="ns2:f91636ce86a943e5a85e589048b494b2" minOccurs="0"/>
                <xsd:element ref="ns4:PermitNumber"/>
                <xsd:element ref="ns4:OtherReference" minOccurs="0"/>
                <xsd:element ref="ns4:EPRNumber" minOccurs="0"/>
                <xsd:element ref="ns4:Customer_x002f_OperatorName"/>
                <xsd:element ref="ns4:SiteName"/>
                <xsd:element ref="ns4:FacilityAddress"/>
                <xsd:element ref="ns4:FacilityAddressPostcode"/>
                <xsd:element ref="ns2:ga477587807b4e8dbd9d142e03c014fa" minOccurs="0"/>
                <xsd:element ref="ns2:la34db7254a948be973d9738b9f07ba7" minOccurs="0"/>
                <xsd:element ref="ns2:bf174f8632e04660b372cf372c1956fe" minOccurs="0"/>
                <xsd:element ref="ns2:mb0b523b12654e57a98fd73f451222f6" minOccurs="0"/>
                <xsd:element ref="ns4:CessationDate" minOccurs="0"/>
                <xsd:element ref="ns4:NationalSecurity" minOccurs="0"/>
                <xsd:element ref="ns2:ed3cfd1978f244c4af5dc9d642a18018" minOccurs="0"/>
                <xsd:element ref="ns4:CurrentPermit" minOccurs="0"/>
                <xsd:element ref="ns5:EventLink" minOccurs="0"/>
                <xsd:element ref="ns2:m63bd5d2e6554c968a3f4ff9289590fe" minOccurs="0"/>
                <xsd:element ref="ns2:d22401b98bfe4ec6b8dacbec81c66a1e" minOccurs="0"/>
                <xsd:element ref="ns6:MediaServiceMetadata" minOccurs="0"/>
                <xsd:element ref="ns6:MediaServiceFastMetadata" minOccurs="0"/>
                <xsd:element ref="ns6:lcf76f155ced4ddcb4097134ff3c332f" minOccurs="0"/>
                <xsd:element ref="ns6:MediaServiceOCR" minOccurs="0"/>
                <xsd:element ref="ns6:MediaServiceGenerationTime" minOccurs="0"/>
                <xsd:element ref="ns6:MediaServiceEventHashCode" minOccurs="0"/>
                <xsd:element ref="ns6:MediaServiceDateTaken" minOccurs="0"/>
                <xsd:element ref="ns6:MediaServiceObjectDetectorVersions" minOccurs="0"/>
                <xsd:element ref="ns2:SharedWithUsers" minOccurs="0"/>
                <xsd:element ref="ns2:SharedWithDetails" minOccurs="0"/>
                <xsd:element ref="ns6:MediaServiceLocation" minOccurs="0"/>
                <xsd:element ref="ns6:MediaLengthInSeconds" minOccurs="0"/>
                <xsd:element ref="ns6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e221e7-66db-4bdb-a92c-aa517c005f15" elementFormDefault="qualified">
    <xsd:import namespace="http://schemas.microsoft.com/office/2006/documentManagement/types"/>
    <xsd:import namespace="http://schemas.microsoft.com/office/infopath/2007/PartnerControls"/>
    <xsd:element name="d3564be703db47eda46ec138bc1ba091" ma:index="8" ma:taxonomy="true" ma:internalName="d3564be703db47eda46ec138bc1ba091" ma:taxonomyFieldName="ActivityGrouping" ma:displayName="Activity Grouping" ma:default="1;#Unassigned|cb01650a-31a4-4ad3-af7c-01edd0cc5fa8" ma:fieldId="{d3564be7-03db-47ed-a46e-c138bc1ba091}" ma:sspId="d1117845-93f6-4da3-abaa-fcb4fa669c78" ma:termSetId="c26d6a6f-914d-4d0c-bc0a-7a709b431a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52c737aaa794145b5e1ab0b33580095" ma:index="15" ma:taxonomy="true" ma:internalName="c52c737aaa794145b5e1ab0b33580095" ma:taxonomyFieldName="DisclosureStatus" ma:displayName="Disclosure Status" ma:fieldId="{c52c737a-aa79-4145-b5e1-ab0b33580095}" ma:sspId="d1117845-93f6-4da3-abaa-fcb4fa669c78" ma:termSetId="be5a9b7f-442f-4603-a8b8-76f5f1ec70c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cb1594ff73b435992550f571a78c184" ma:index="17" ma:taxonomy="true" ma:internalName="ncb1594ff73b435992550f571a78c184" ma:taxonomyFieldName="Regime" ma:displayName="Regime" ma:fieldId="{7cb1594f-f73b-4359-9255-0f571a78c184}" ma:taxonomyMulti="true" ma:sspId="d1117845-93f6-4da3-abaa-fcb4fa669c78" ma:termSetId="79e1bcb8-4c43-4df4-ad15-4ec7b927a84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517ccc45a7e4674ae144f9410147bb3" ma:index="19" ma:taxonomy="true" ma:internalName="p517ccc45a7e4674ae144f9410147bb3" ma:taxonomyFieldName="RegulatedActivityClass" ma:displayName="Regulated Activity Class" ma:fieldId="{9517ccc4-5a7e-4674-ae14-4f9410147bb3}" ma:taxonomyMulti="true" ma:sspId="d1117845-93f6-4da3-abaa-fcb4fa669c78" ma:termSetId="41ee975a-727d-4c90-bb75-bfa3c8eb72d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91636ce86a943e5a85e589048b494b2" ma:index="21" nillable="true" ma:taxonomy="true" ma:internalName="f91636ce86a943e5a85e589048b494b2" ma:taxonomyFieldName="RegulatedActivitySub_x002d_Class" ma:displayName="Regulated Activity Sub-Class" ma:fieldId="{f91636ce-86a9-43e5-a85e-589048b494b2}" ma:taxonomyMulti="true" ma:sspId="d1117845-93f6-4da3-abaa-fcb4fa669c78" ma:termSetId="3c5ee371-f842-4910-b55e-fca1c7c0857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a477587807b4e8dbd9d142e03c014fa" ma:index="30" nillable="true" ma:taxonomy="true" ma:internalName="ga477587807b4e8dbd9d142e03c014fa" ma:taxonomyFieldName="Catchment" ma:displayName="Catchment" ma:fieldId="{0a477587-807b-4e8d-bd9d-142e03c014fa}" ma:sspId="d1117845-93f6-4da3-abaa-fcb4fa669c78" ma:termSetId="a3d7cc5e-3544-4097-ac09-3626e2dfc58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a34db7254a948be973d9738b9f07ba7" ma:index="32" ma:taxonomy="true" ma:internalName="la34db7254a948be973d9738b9f07ba7" ma:taxonomyFieldName="TypeofPermit" ma:displayName="Type of Permit" ma:default="48;#N/A - Do not select for New Permits|0430e4c2-ee0a-4b2d-9af6-df735aafbcb2" ma:fieldId="{5a34db72-54a9-48be-973d-9738b9f07ba7}" ma:taxonomyMulti="true" ma:sspId="d1117845-93f6-4da3-abaa-fcb4fa669c78" ma:termSetId="7d47b671-38b6-4716-ba29-cfb8e9b10e5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f174f8632e04660b372cf372c1956fe" ma:index="34" nillable="true" ma:taxonomy="true" ma:internalName="bf174f8632e04660b372cf372c1956fe" ma:taxonomyFieldName="StandardRulesID" ma:displayName="StandardRulesID" ma:fieldId="{bf174f86-32e0-4660-b372-cf372c1956fe}" ma:taxonomyMulti="true" ma:sspId="d1117845-93f6-4da3-abaa-fcb4fa669c78" ma:termSetId="8e138792-83d5-43de-b6e8-7ca5b827ccd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0b523b12654e57a98fd73f451222f6" ma:index="36" nillable="true" ma:taxonomy="true" ma:internalName="mb0b523b12654e57a98fd73f451222f6" ma:taxonomyFieldName="CessationStatus" ma:displayName="Cessation Status" ma:fieldId="{6b0b523b-1265-4e57-a98f-d73f451222f6}" ma:sspId="d1117845-93f6-4da3-abaa-fcb4fa669c78" ma:termSetId="8efff926-82ca-4afb-81c6-bc22e4acf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3cfd1978f244c4af5dc9d642a18018" ma:index="40" nillable="true" ma:taxonomy="true" ma:internalName="ed3cfd1978f244c4af5dc9d642a18018" ma:taxonomyFieldName="MajorProjectID" ma:displayName="Major Project ID" ma:fieldId="{ed3cfd19-78f2-44c4-af5d-c9d642a18018}" ma:sspId="d1117845-93f6-4da3-abaa-fcb4fa669c78" ma:termSetId="d4a353e3-1bf8-453f-805b-242d6a6db9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63bd5d2e6554c968a3f4ff9289590fe" ma:index="44" nillable="true" ma:taxonomy="true" ma:internalName="m63bd5d2e6554c968a3f4ff9289590fe" ma:taxonomyFieldName="EventType1" ma:displayName="Event Type" ma:readOnly="false" ma:fieldId="{663bd5d2-e655-4c96-8a3f-4ff9289590fe}" ma:sspId="d1117845-93f6-4da3-abaa-fcb4fa669c78" ma:termSetId="6eb2a3b8-caae-450e-a142-afb8c0df352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22401b98bfe4ec6b8dacbec81c66a1e" ma:index="46" nillable="true" ma:taxonomy="true" ma:internalName="d22401b98bfe4ec6b8dacbec81c66a1e" ma:taxonomyFieldName="PermitDocumentType" ma:displayName="Permit Document Type" ma:readOnly="false" ma:fieldId="{d22401b9-8bfe-4ec6-b8da-cbec81c66a1e}" ma:sspId="d1117845-93f6-4da3-abaa-fcb4fa669c78" ma:termSetId="1e9654a3-ed8b-47e0-af9b-cd306150e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5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5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2745e8-e224-48e8-a2e3-254862b8c2f5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543e4e61-1be0-4b06-bd98-8598df83c830}" ma:internalName="TaxCatchAll" ma:showField="CatchAllData" ma:web="dbe221e7-66db-4bdb-a92c-aa517c005f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543e4e61-1be0-4b06-bd98-8598df83c830}" ma:internalName="TaxCatchAllLabel" ma:readOnly="true" ma:showField="CatchAllDataLabel" ma:web="dbe221e7-66db-4bdb-a92c-aa517c005f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bef177-55b5-4448-a5fb-28ea454417ee" elementFormDefault="qualified">
    <xsd:import namespace="http://schemas.microsoft.com/office/2006/documentManagement/types"/>
    <xsd:import namespace="http://schemas.microsoft.com/office/infopath/2007/PartnerControls"/>
    <xsd:element name="DocumentDate" ma:index="12" ma:displayName="Document Date" ma:format="DateOnly" ma:internalName="DocumentDate">
      <xsd:simpleType>
        <xsd:restriction base="dms:DateTime"/>
      </xsd:simpleType>
    </xsd:element>
    <xsd:element name="EAReceivedDate" ma:index="13" ma:displayName="Received Date" ma:format="DateOnly" ma:internalName="EAReceivedDate">
      <xsd:simpleType>
        <xsd:restriction base="dms:DateTime"/>
      </xsd:simpleType>
    </xsd:element>
    <xsd:element name="ExternalAuthor" ma:index="14" ma:displayName="Document Author" ma:internalName="ExternalAuthor">
      <xsd:simpleType>
        <xsd:restriction base="dms:Text">
          <xsd:maxLength value="255"/>
        </xsd:restriction>
      </xsd:simpleType>
    </xsd:element>
    <xsd:element name="PermitNumber" ma:index="23" ma:displayName="Permit Number" ma:internalName="PermitNumber">
      <xsd:simpleType>
        <xsd:restriction base="dms:Text">
          <xsd:maxLength value="255"/>
        </xsd:restriction>
      </xsd:simpleType>
    </xsd:element>
    <xsd:element name="OtherReference" ma:index="24" nillable="true" ma:displayName="Other Reference" ma:internalName="OtherReference">
      <xsd:simpleType>
        <xsd:restriction base="dms:Text">
          <xsd:maxLength value="255"/>
        </xsd:restriction>
      </xsd:simpleType>
    </xsd:element>
    <xsd:element name="EPRNumber" ma:index="25" nillable="true" ma:displayName="EPR Number" ma:internalName="EPRNumber">
      <xsd:simpleType>
        <xsd:restriction base="dms:Text">
          <xsd:maxLength value="255"/>
        </xsd:restriction>
      </xsd:simpleType>
    </xsd:element>
    <xsd:element name="Customer_x002f_OperatorName" ma:index="26" ma:displayName="Customer / Operator Name" ma:internalName="Customer_x002F_OperatorName">
      <xsd:simpleType>
        <xsd:restriction base="dms:Text">
          <xsd:maxLength value="255"/>
        </xsd:restriction>
      </xsd:simpleType>
    </xsd:element>
    <xsd:element name="SiteName" ma:index="27" ma:displayName="Facility Name" ma:internalName="SiteName">
      <xsd:simpleType>
        <xsd:restriction base="dms:Text">
          <xsd:maxLength value="255"/>
        </xsd:restriction>
      </xsd:simpleType>
    </xsd:element>
    <xsd:element name="FacilityAddress" ma:index="28" ma:displayName="Facility Address" ma:internalName="FacilityAddress">
      <xsd:simpleType>
        <xsd:restriction base="dms:Note">
          <xsd:maxLength value="255"/>
        </xsd:restriction>
      </xsd:simpleType>
    </xsd:element>
    <xsd:element name="FacilityAddressPostcode" ma:index="29" ma:displayName="Facility Address Postcode" ma:internalName="FacilityAddressPostcode">
      <xsd:simpleType>
        <xsd:restriction base="dms:Text">
          <xsd:maxLength value="255"/>
        </xsd:restriction>
      </xsd:simpleType>
    </xsd:element>
    <xsd:element name="CessationDate" ma:index="38" nillable="true" ma:displayName="Cessation Date" ma:format="DateOnly" ma:internalName="CessationDate">
      <xsd:simpleType>
        <xsd:restriction base="dms:DateTime"/>
      </xsd:simpleType>
    </xsd:element>
    <xsd:element name="NationalSecurity" ma:index="39" nillable="true" ma:displayName="National Security" ma:default="No" ma:format="Dropdown" ma:internalName="NationalSecurity">
      <xsd:simpleType>
        <xsd:restriction base="dms:Choice">
          <xsd:enumeration value="Yes"/>
          <xsd:enumeration value="No"/>
        </xsd:restriction>
      </xsd:simpleType>
    </xsd:element>
    <xsd:element name="CurrentPermit" ma:index="42" nillable="true" ma:displayName="Current Permit" ma:default="N/A - Do not select for New Permits" ma:format="Dropdown" ma:internalName="CurrentPermit">
      <xsd:simpleType>
        <xsd:restriction base="dms:Choice">
          <xsd:enumeration value="Yes"/>
          <xsd:enumeration value="No"/>
          <xsd:enumeration value="N/A - Do not select for New Permit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fd8e36-f429-4edc-ab50-c5be84842779" elementFormDefault="qualified">
    <xsd:import namespace="http://schemas.microsoft.com/office/2006/documentManagement/types"/>
    <xsd:import namespace="http://schemas.microsoft.com/office/infopath/2007/PartnerControls"/>
    <xsd:element name="EventLink" ma:index="43" nillable="true" ma:displayName="Event Link" ma:internalName="EventLink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60b49e-90f4-4260-b1d9-e3d7d6a756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51" nillable="true" ma:taxonomy="true" ma:internalName="lcf76f155ced4ddcb4097134ff3c332f" ma:taxonomyFieldName="MediaServiceImageTags" ma:displayName="Image Tags" ma:readOnly="false" ma:fieldId="{5cf76f15-5ced-4ddc-b409-7134ff3c332f}" ma:taxonomyMulti="true" ma:sspId="d1117845-93f6-4da3-abaa-fcb4fa669c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5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5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5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5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5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5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6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6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760b49e-90f4-4260-b1d9-e3d7d6a75612">
      <Terms xmlns="http://schemas.microsoft.com/office/infopath/2007/PartnerControls"/>
    </lcf76f155ced4ddcb4097134ff3c332f>
    <TaxCatchAll xmlns="662745e8-e224-48e8-a2e3-254862b8c2f5">
      <Value>41</Value>
      <Value>49</Value>
      <Value>11</Value>
      <Value>32</Value>
      <Value>14</Value>
    </TaxCatchAll>
    <EAReceivedDate xmlns="eebef177-55b5-4448-a5fb-28ea454417ee">2024-10-15T23:00:00+00:00</EAReceivedDate>
    <ga477587807b4e8dbd9d142e03c014fa xmlns="dbe221e7-66db-4bdb-a92c-aa517c005f15">
      <Terms xmlns="http://schemas.microsoft.com/office/infopath/2007/PartnerControls"/>
    </ga477587807b4e8dbd9d142e03c014fa>
    <PermitNumber xmlns="eebef177-55b5-4448-a5fb-28ea454417ee">EPR-AP3328SQ</PermitNumber>
    <bf174f8632e04660b372cf372c1956fe xmlns="dbe221e7-66db-4bdb-a92c-aa517c005f15">
      <Terms xmlns="http://schemas.microsoft.com/office/infopath/2007/PartnerControls"/>
    </bf174f8632e04660b372cf372c1956fe>
    <CessationDate xmlns="eebef177-55b5-4448-a5fb-28ea454417ee" xsi:nil="true"/>
    <NationalSecurity xmlns="eebef177-55b5-4448-a5fb-28ea454417ee">No</NationalSecurity>
    <OtherReference xmlns="eebef177-55b5-4448-a5fb-28ea454417ee">EPR/AP3328SQ</OtherReference>
    <EventLink xmlns="5ffd8e36-f429-4edc-ab50-c5be84842779" xsi:nil="true"/>
    <Customer_x002f_OperatorName xmlns="eebef177-55b5-4448-a5fb-28ea454417ee">H2 TEESSIDE LIMITED</Customer_x002f_OperatorName>
    <m63bd5d2e6554c968a3f4ff9289590fe xmlns="dbe221e7-66db-4bdb-a92c-aa517c005f15">
      <Terms xmlns="http://schemas.microsoft.com/office/infopath/2007/PartnerControls"/>
    </m63bd5d2e6554c968a3f4ff9289590fe>
    <ncb1594ff73b435992550f571a78c184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EPR</TermName>
          <TermId xmlns="http://schemas.microsoft.com/office/infopath/2007/PartnerControls">0e5af97d-1a8c-4d8f-a20b-528a11cab1f6</TermId>
        </TermInfo>
      </Terms>
    </ncb1594ff73b435992550f571a78c184>
    <d22401b98bfe4ec6b8dacbec81c66a1e xmlns="dbe221e7-66db-4bdb-a92c-aa517c005f15">
      <Terms xmlns="http://schemas.microsoft.com/office/infopath/2007/PartnerControls"/>
    </d22401b98bfe4ec6b8dacbec81c66a1e>
    <DocumentDate xmlns="eebef177-55b5-4448-a5fb-28ea454417ee">2024-10-15T23:00:00+00:00</DocumentDate>
    <CurrentPermit xmlns="eebef177-55b5-4448-a5fb-28ea454417ee">N/A - Do not select for New Permits</CurrentPermit>
    <c52c737aaa794145b5e1ab0b33580095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 Register</TermName>
          <TermId xmlns="http://schemas.microsoft.com/office/infopath/2007/PartnerControls">f1fcf6a6-5d97-4f1d-964e-a2f916eb1f18</TermId>
        </TermInfo>
      </Terms>
    </c52c737aaa794145b5e1ab0b33580095>
    <f91636ce86a943e5a85e589048b494b2 xmlns="dbe221e7-66db-4bdb-a92c-aa517c005f15">
      <Terms xmlns="http://schemas.microsoft.com/office/infopath/2007/PartnerControls"/>
    </f91636ce86a943e5a85e589048b494b2>
    <mb0b523b12654e57a98fd73f451222f6 xmlns="dbe221e7-66db-4bdb-a92c-aa517c005f15">
      <Terms xmlns="http://schemas.microsoft.com/office/infopath/2007/PartnerControls"/>
    </mb0b523b12654e57a98fd73f451222f6>
    <d3564be703db47eda46ec138bc1ba091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Application ＆ Associated Docs</TermName>
          <TermId xmlns="http://schemas.microsoft.com/office/infopath/2007/PartnerControls">5eadfd3c-6deb-44e1-b7e1-16accd427bec</TermId>
        </TermInfo>
      </Terms>
    </d3564be703db47eda46ec138bc1ba091>
    <EPRNumber xmlns="eebef177-55b5-4448-a5fb-28ea454417ee">EPR/AP3328SQ</EPRNumber>
    <FacilityAddressPostcode xmlns="eebef177-55b5-4448-a5fb-28ea454417ee">TS10 5NX</FacilityAddressPostcode>
    <ed3cfd1978f244c4af5dc9d642a18018 xmlns="dbe221e7-66db-4bdb-a92c-aa517c005f15">
      <Terms xmlns="http://schemas.microsoft.com/office/infopath/2007/PartnerControls"/>
    </ed3cfd1978f244c4af5dc9d642a18018>
    <ExternalAuthor xmlns="eebef177-55b5-4448-a5fb-28ea454417ee">H2 Teeside Limited</ExternalAuthor>
    <SiteName xmlns="eebef177-55b5-4448-a5fb-28ea454417ee">H2Teeside Hydrogen Facility</SiteName>
    <p517ccc45a7e4674ae144f9410147bb3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Installations</TermName>
          <TermId xmlns="http://schemas.microsoft.com/office/infopath/2007/PartnerControls">645f1c9c-65df-490a-9ce3-4a2aa7c5ff7f</TermId>
        </TermInfo>
      </Terms>
    </p517ccc45a7e4674ae144f9410147bb3>
    <FacilityAddress xmlns="eebef177-55b5-4448-a5fb-28ea454417ee"> Land at ‘The Foundry site, Teesworks, Lackenby and Grangetown, TS10 5NX</FacilityAddress>
    <la34db7254a948be973d9738b9f07ba7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Bespoke</TermName>
          <TermId xmlns="http://schemas.microsoft.com/office/infopath/2007/PartnerControls">743fbb82-64b4-442a-8bac-afa632175399</TermId>
        </TermInfo>
      </Terms>
    </la34db7254a948be973d9738b9f07ba7>
  </documentManagement>
</p:properties>
</file>

<file path=customXml/itemProps1.xml><?xml version="1.0" encoding="utf-8"?>
<ds:datastoreItem xmlns:ds="http://schemas.openxmlformats.org/officeDocument/2006/customXml" ds:itemID="{480BB9AC-56BC-4DA7-9824-5911D40B7ED3}"/>
</file>

<file path=customXml/itemProps2.xml><?xml version="1.0" encoding="utf-8"?>
<ds:datastoreItem xmlns:ds="http://schemas.openxmlformats.org/officeDocument/2006/customXml" ds:itemID="{754C58FB-EFEE-428D-B512-E545552EA514}"/>
</file>

<file path=customXml/itemProps3.xml><?xml version="1.0" encoding="utf-8"?>
<ds:datastoreItem xmlns:ds="http://schemas.openxmlformats.org/officeDocument/2006/customXml" ds:itemID="{4C874B22-9E74-4338-BB26-685DCAA72E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Calcagno, Grisel</dc:creator>
  <cp:keywords/>
  <dc:description/>
  <cp:lastModifiedBy>Di Stefano, Francesco</cp:lastModifiedBy>
  <cp:revision/>
  <dcterms:created xsi:type="dcterms:W3CDTF">2015-06-05T18:17:20Z</dcterms:created>
  <dcterms:modified xsi:type="dcterms:W3CDTF">2024-11-13T15:45:52Z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  <property fmtid="{D5CDD505-2E9C-101B-9397-08002B2CF9AE}" pid="36" name="ContentTypeId">
    <vt:lpwstr>0x0101000E9AD557692E154F9D2697C8C6432F76002FF98D7FBCA7AA42ADBE27AC96EFD93A</vt:lpwstr>
  </property>
  <property fmtid="{D5CDD505-2E9C-101B-9397-08002B2CF9AE}" pid="37" name="PermitDocumentType">
    <vt:lpwstr/>
  </property>
  <property fmtid="{D5CDD505-2E9C-101B-9397-08002B2CF9AE}" pid="38" name="MediaServiceImageTags">
    <vt:lpwstr/>
  </property>
  <property fmtid="{D5CDD505-2E9C-101B-9397-08002B2CF9AE}" pid="39" name="TypeofPermit">
    <vt:lpwstr>32;#Bespoke|743fbb82-64b4-442a-8bac-afa632175399</vt:lpwstr>
  </property>
  <property fmtid="{D5CDD505-2E9C-101B-9397-08002B2CF9AE}" pid="40" name="DisclosureStatus">
    <vt:lpwstr>41;#Public Register|f1fcf6a6-5d97-4f1d-964e-a2f916eb1f18</vt:lpwstr>
  </property>
  <property fmtid="{D5CDD505-2E9C-101B-9397-08002B2CF9AE}" pid="41" name="ActivityGrouping">
    <vt:lpwstr>14;#Application ＆ Associated Docs|5eadfd3c-6deb-44e1-b7e1-16accd427bec</vt:lpwstr>
  </property>
  <property fmtid="{D5CDD505-2E9C-101B-9397-08002B2CF9AE}" pid="42" name="Catchment">
    <vt:lpwstr/>
  </property>
  <property fmtid="{D5CDD505-2E9C-101B-9397-08002B2CF9AE}" pid="43" name="MajorProjectID">
    <vt:lpwstr/>
  </property>
  <property fmtid="{D5CDD505-2E9C-101B-9397-08002B2CF9AE}" pid="44" name="StandardRulesID">
    <vt:lpwstr/>
  </property>
  <property fmtid="{D5CDD505-2E9C-101B-9397-08002B2CF9AE}" pid="45" name="CessationStatus">
    <vt:lpwstr/>
  </property>
  <property fmtid="{D5CDD505-2E9C-101B-9397-08002B2CF9AE}" pid="46" name="Regime">
    <vt:lpwstr>11;#EPR|0e5af97d-1a8c-4d8f-a20b-528a11cab1f6</vt:lpwstr>
  </property>
  <property fmtid="{D5CDD505-2E9C-101B-9397-08002B2CF9AE}" pid="47" name="RegulatedActivitySub-Class">
    <vt:lpwstr/>
  </property>
  <property fmtid="{D5CDD505-2E9C-101B-9397-08002B2CF9AE}" pid="48" name="EventType1">
    <vt:lpwstr/>
  </property>
  <property fmtid="{D5CDD505-2E9C-101B-9397-08002B2CF9AE}" pid="49" name="RegulatedActivityClass">
    <vt:lpwstr>49;#Installations|645f1c9c-65df-490a-9ce3-4a2aa7c5ff7f</vt:lpwstr>
  </property>
  <property fmtid="{D5CDD505-2E9C-101B-9397-08002B2CF9AE}" pid="50" name="RegulatedActivitySub_x002d_Class">
    <vt:lpwstr/>
  </property>
</Properties>
</file>