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fenergynnb-my.sharepoint.com/personal/jessica_harris_nnb-edfenergy_com/Documents/Desktop/"/>
    </mc:Choice>
  </mc:AlternateContent>
  <bookViews>
    <workbookView xWindow="-105" yWindow="-16320" windowWidth="29040" windowHeight="15840" xr2:uid="{F13C3051-5AE4-4807-ADF4-9B6ED0E8E88F}"/>
  </bookViews>
  <sheets>
    <sheet name="Cover Sheet (NNB)" sheetId="13" r:id="rId1"/>
    <sheet name="Antiscalant" sheetId="3" r:id="rId2"/>
    <sheet name="Biocide for CIP and biofouling" sheetId="4" r:id="rId3"/>
    <sheet name="Bisulfite" sheetId="6" r:id="rId4"/>
    <sheet name="Basic Cleaning Agent" sheetId="7" r:id="rId5"/>
    <sheet name="Acid Cleaning Agent" sheetId="8" r:id="rId6"/>
    <sheet name="Sulphuric Acid" sheetId="1" r:id="rId7"/>
    <sheet name="Caustic Soda Liquor " sheetId="2" r:id="rId8"/>
    <sheet name="Priority Hazards" sheetId="12" r:id="rId9"/>
    <sheet name=" Average annual consumption" sheetId="10" r:id="rId10"/>
  </sheets>
  <definedNames>
    <definedName name="_xlnm._FilterDatabase" localSheetId="6" hidden="1">'Sulphuric Acid'!$A$1:$N$32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3"/>
  <c r="F14" i="3"/>
  <c r="F15" i="4"/>
  <c r="F14" i="4"/>
  <c r="F15" i="6"/>
  <c r="F14" i="6"/>
  <c r="F15" i="7"/>
  <c r="F14" i="7"/>
  <c r="F15" i="8"/>
  <c r="F14" i="8"/>
  <c r="F15" i="1"/>
  <c r="F14" i="1"/>
  <c r="F15" i="12"/>
  <c r="F14" i="12"/>
  <c r="F15" i="2"/>
  <c r="F14" i="2"/>
  <c r="F13" i="3"/>
  <c r="F13" i="4"/>
  <c r="F13" i="6"/>
  <c r="F13" i="7"/>
  <c r="F13" i="8"/>
  <c r="F13" i="1"/>
  <c r="F13" i="12"/>
  <c r="F13" i="2"/>
  <c r="C4" i="12"/>
  <c r="B4" i="12"/>
  <c r="C3" i="12"/>
  <c r="C5" i="12" s="1"/>
  <c r="C6" i="12" s="1"/>
  <c r="C7" i="12" s="1"/>
  <c r="B3" i="12"/>
  <c r="B5" i="12" l="1"/>
  <c r="B6" i="12" s="1"/>
  <c r="B7" i="12" s="1"/>
  <c r="H2" i="1"/>
  <c r="I2" i="1" s="1"/>
  <c r="B26" i="1" s="1"/>
  <c r="H2" i="6"/>
  <c r="J2" i="6" s="1"/>
  <c r="F2" i="6"/>
  <c r="B14" i="10"/>
  <c r="H4" i="7"/>
  <c r="J4" i="7" s="1"/>
  <c r="B29" i="7" s="1"/>
  <c r="B3" i="10"/>
  <c r="C3" i="10" s="1"/>
  <c r="H2" i="8"/>
  <c r="J2" i="8" s="1"/>
  <c r="B18" i="8" s="1"/>
  <c r="H3" i="3"/>
  <c r="J3" i="3" s="1"/>
  <c r="D17" i="3" s="1"/>
  <c r="D18" i="3" s="1"/>
  <c r="D22" i="3" s="1"/>
  <c r="B21" i="7"/>
  <c r="B32" i="7"/>
  <c r="F3" i="2"/>
  <c r="G3" i="2" s="1"/>
  <c r="F12" i="2"/>
  <c r="G12" i="2" s="1"/>
  <c r="F9" i="2"/>
  <c r="G9" i="2" s="1"/>
  <c r="F4" i="2"/>
  <c r="G4" i="2" s="1"/>
  <c r="F7" i="2"/>
  <c r="G7" i="2" s="1"/>
  <c r="G3" i="8"/>
  <c r="I3" i="8" s="1"/>
  <c r="D18" i="8" s="1"/>
  <c r="D19" i="8" s="1"/>
  <c r="D23" i="8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G2" i="1"/>
  <c r="E3" i="2"/>
  <c r="E4" i="2"/>
  <c r="E5" i="2"/>
  <c r="E6" i="2"/>
  <c r="E7" i="2"/>
  <c r="E8" i="2"/>
  <c r="E9" i="2"/>
  <c r="E10" i="2"/>
  <c r="E11" i="2"/>
  <c r="E12" i="2"/>
  <c r="E13" i="2"/>
  <c r="E2" i="2"/>
  <c r="H4" i="3"/>
  <c r="J4" i="3" s="1"/>
  <c r="H2" i="3"/>
  <c r="J2" i="3" s="1"/>
  <c r="B17" i="3" s="1"/>
  <c r="B18" i="3" s="1"/>
  <c r="B22" i="3" s="1"/>
  <c r="G4" i="3"/>
  <c r="I4" i="3" s="1"/>
  <c r="G3" i="3"/>
  <c r="I3" i="3" s="1"/>
  <c r="G2" i="3"/>
  <c r="I2" i="3" s="1"/>
  <c r="H3" i="4"/>
  <c r="J3" i="4" s="1"/>
  <c r="H2" i="4"/>
  <c r="J2" i="4" s="1"/>
  <c r="B19" i="4" s="1"/>
  <c r="B20" i="4" s="1"/>
  <c r="B24" i="4" s="1"/>
  <c r="G3" i="4"/>
  <c r="I3" i="4" s="1"/>
  <c r="G2" i="4"/>
  <c r="I2" i="4" s="1"/>
  <c r="B17" i="6"/>
  <c r="B18" i="6"/>
  <c r="B22" i="6" s="1"/>
  <c r="G2" i="6"/>
  <c r="I2" i="6" s="1"/>
  <c r="H3" i="7"/>
  <c r="J3" i="7" s="1"/>
  <c r="H2" i="7"/>
  <c r="J2" i="7"/>
  <c r="B18" i="7" s="1"/>
  <c r="B19" i="7" s="1"/>
  <c r="B23" i="7" s="1"/>
  <c r="G4" i="7"/>
  <c r="I4" i="7" s="1"/>
  <c r="G3" i="7"/>
  <c r="I3" i="7" s="1"/>
  <c r="G2" i="7"/>
  <c r="I2" i="7" s="1"/>
  <c r="H4" i="8"/>
  <c r="J4" i="8" s="1"/>
  <c r="H3" i="8"/>
  <c r="J3" i="8" s="1"/>
  <c r="G4" i="8"/>
  <c r="I4" i="8" s="1"/>
  <c r="G2" i="8"/>
  <c r="I2" i="8" s="1"/>
  <c r="F3" i="8"/>
  <c r="F4" i="8"/>
  <c r="F2" i="8"/>
  <c r="E3" i="8"/>
  <c r="E4" i="8"/>
  <c r="E2" i="8"/>
  <c r="F4" i="7"/>
  <c r="F3" i="7"/>
  <c r="F2" i="7"/>
  <c r="E3" i="7"/>
  <c r="E4" i="7"/>
  <c r="E2" i="7"/>
  <c r="E2" i="6"/>
  <c r="F3" i="4"/>
  <c r="F2" i="4"/>
  <c r="E3" i="4"/>
  <c r="E2" i="4"/>
  <c r="F3" i="3"/>
  <c r="F4" i="3"/>
  <c r="F2" i="3"/>
  <c r="E3" i="3"/>
  <c r="E4" i="3"/>
  <c r="E2" i="3"/>
  <c r="F4" i="1"/>
  <c r="F5" i="1"/>
  <c r="F6" i="1"/>
  <c r="F7" i="1"/>
  <c r="F8" i="1"/>
  <c r="F9" i="1"/>
  <c r="F10" i="1"/>
  <c r="F11" i="1"/>
  <c r="F12" i="1"/>
  <c r="F3" i="1"/>
  <c r="F2" i="2"/>
  <c r="G2" i="2" s="1"/>
  <c r="F8" i="2"/>
  <c r="G8" i="2" s="1"/>
  <c r="F10" i="2"/>
  <c r="G10" i="2" s="1"/>
  <c r="F11" i="2"/>
  <c r="G11" i="2" s="1"/>
  <c r="G13" i="2"/>
  <c r="G14" i="2"/>
  <c r="F5" i="2"/>
  <c r="G5" i="2" s="1"/>
  <c r="F6" i="2"/>
  <c r="G6" i="2" s="1"/>
  <c r="B37" i="7" l="1"/>
  <c r="B30" i="7"/>
  <c r="B34" i="7" s="1"/>
  <c r="B34" i="1"/>
  <c r="B27" i="1"/>
  <c r="B31" i="1" s="1"/>
  <c r="B19" i="8"/>
  <c r="B23" i="8" s="1"/>
  <c r="B26" i="8"/>
  <c r="C4" i="10"/>
  <c r="C8" i="10"/>
  <c r="C7" i="10"/>
  <c r="C6" i="10"/>
  <c r="C5" i="10"/>
  <c r="C2" i="10"/>
  <c r="C9" i="10" s="1"/>
</calcChain>
</file>

<file path=xl/sharedStrings.xml><?xml version="1.0" encoding="utf-8"?>
<sst xmlns="http://schemas.openxmlformats.org/spreadsheetml/2006/main" count="347" uniqueCount="177">
  <si>
    <t>Component</t>
  </si>
  <si>
    <t>CAS No.</t>
  </si>
  <si>
    <t>%mass (min)</t>
  </si>
  <si>
    <t>%Mass (max)</t>
  </si>
  <si>
    <t>µg/L (min)</t>
  </si>
  <si>
    <t>µg/L(max)</t>
  </si>
  <si>
    <t>%waste(min)</t>
  </si>
  <si>
    <t>%waste (max)</t>
  </si>
  <si>
    <t>µg/L in waste (min)</t>
  </si>
  <si>
    <t>µg/L in waste (max)</t>
  </si>
  <si>
    <t>PNEC (µg/L )</t>
  </si>
  <si>
    <t>Source</t>
  </si>
  <si>
    <t>Accessed on</t>
  </si>
  <si>
    <t>ATMP acid</t>
  </si>
  <si>
    <t>6419-19-8</t>
  </si>
  <si>
    <t>ECHA website</t>
  </si>
  <si>
    <t>HDTMPA Potassium Salt</t>
  </si>
  <si>
    <t>38820-59-6</t>
  </si>
  <si>
    <t>ECHA Registration Dossier</t>
  </si>
  <si>
    <t>Potassium Hydroxide</t>
  </si>
  <si>
    <t>1310-58-3</t>
  </si>
  <si>
    <t>Water</t>
  </si>
  <si>
    <t>7732-18-5</t>
  </si>
  <si>
    <t>%total waste water</t>
  </si>
  <si>
    <t>Test 5 (ATMP Acid)</t>
  </si>
  <si>
    <t>Water Depth (m)</t>
  </si>
  <si>
    <t>Discharge rate (m3)</t>
  </si>
  <si>
    <t>Release conc.  (µg/l)</t>
  </si>
  <si>
    <t>Discharge vol.*Conc (A)</t>
  </si>
  <si>
    <t>Background conc.</t>
  </si>
  <si>
    <t>EQS/PNEC</t>
  </si>
  <si>
    <t>EQS - Background conc.  (B)</t>
  </si>
  <si>
    <t>EVF (A/B)</t>
  </si>
  <si>
    <t>&lt;3?</t>
  </si>
  <si>
    <t>YES</t>
  </si>
  <si>
    <t>%Mass (min)</t>
  </si>
  <si>
    <t>µg/L (max)</t>
  </si>
  <si>
    <t>PNEC (µg/L )</t>
  </si>
  <si>
    <t>Reaction mass of 5-chloro-2-methyl-2H-isothiazol-3-one and 2-methyl-2H-isothiazol-3-one
(3:1)</t>
  </si>
  <si>
    <t>55965-84-9</t>
  </si>
  <si>
    <t>Copper Nitrate</t>
  </si>
  <si>
    <t xml:space="preserve">3251-23-8 </t>
  </si>
  <si>
    <t xml:space="preserve">7732-18-5 </t>
  </si>
  <si>
    <r>
      <rPr>
        <b/>
        <sz val="11"/>
        <color theme="1"/>
        <rFont val="Calibri"/>
        <family val="2"/>
        <scheme val="minor"/>
      </rPr>
      <t>Test 5</t>
    </r>
    <r>
      <rPr>
        <sz val="11"/>
        <color theme="1"/>
        <rFont val="Calibri"/>
        <family val="2"/>
        <scheme val="minor"/>
      </rPr>
      <t xml:space="preserve"> (Reaction mass of 5-chloro-2-methyl-2H-isothiazol-3-one and 2-methyl-2H-isothiazol-3-one
(3:1))</t>
    </r>
  </si>
  <si>
    <t>Release conc. (mcg/l)</t>
  </si>
  <si>
    <t>EQS</t>
  </si>
  <si>
    <t>%waste (min)</t>
  </si>
  <si>
    <t>PNEC</t>
  </si>
  <si>
    <t>SODIUM HYDROGENSULPHITE … %; SODIUM BISULPHITE . . . %</t>
  </si>
  <si>
    <t>7631-90-5</t>
  </si>
  <si>
    <t>Thermofisher SDS</t>
  </si>
  <si>
    <t>Test 5</t>
  </si>
  <si>
    <t>%Mass (Min)</t>
  </si>
  <si>
    <t>%Mass (Max)</t>
  </si>
  <si>
    <t>µg/L in waste(max)</t>
  </si>
  <si>
    <t>PNEC (µg/L)</t>
  </si>
  <si>
    <t>Tetrasodium ethylene diamine tetraacetate</t>
  </si>
  <si>
    <t>64-02-8</t>
  </si>
  <si>
    <t>Sodium Hydroxide</t>
  </si>
  <si>
    <t>1310-73-2</t>
  </si>
  <si>
    <t>Sodium Ethylhexyl Sulfate</t>
  </si>
  <si>
    <t>126-92-1</t>
  </si>
  <si>
    <t>TEST 5 (TEDT)</t>
  </si>
  <si>
    <t>TEST 5 (SES)</t>
  </si>
  <si>
    <t>NO</t>
  </si>
  <si>
    <t>Dilution factor</t>
  </si>
  <si>
    <t>%mass waste (max)</t>
  </si>
  <si>
    <t>Citric Acid</t>
  </si>
  <si>
    <t>77-92-9</t>
  </si>
  <si>
    <t>Carl Roth SDS</t>
  </si>
  <si>
    <t>Sulphamic Acid</t>
  </si>
  <si>
    <t>5329-14-6</t>
  </si>
  <si>
    <t>PO-EO Block Polymer</t>
  </si>
  <si>
    <t xml:space="preserve">9003-11-6 </t>
  </si>
  <si>
    <t>TEST 5 (Citric Acid)</t>
  </si>
  <si>
    <r>
      <rPr>
        <sz val="11"/>
        <color rgb="FF000000"/>
        <rFont val="Calibri"/>
        <family val="2"/>
        <scheme val="minor"/>
      </rPr>
      <t>Discharge vol.*Conc (</t>
    </r>
    <r>
      <rPr>
        <b/>
        <sz val="11"/>
        <color rgb="FF000000"/>
        <rFont val="Calibri"/>
        <family val="2"/>
        <scheme val="minor"/>
      </rPr>
      <t>A</t>
    </r>
    <r>
      <rPr>
        <sz val="11"/>
        <color rgb="FF000000"/>
        <rFont val="Calibri"/>
        <family val="2"/>
        <scheme val="minor"/>
      </rPr>
      <t>)</t>
    </r>
  </si>
  <si>
    <r>
      <rPr>
        <sz val="11"/>
        <color rgb="FF000000"/>
        <rFont val="Calibri"/>
        <family val="2"/>
        <scheme val="minor"/>
      </rPr>
      <t>EQS - Background conc.  (</t>
    </r>
    <r>
      <rPr>
        <b/>
        <sz val="11"/>
        <color rgb="FF000000"/>
        <rFont val="Calibri"/>
        <family val="2"/>
        <scheme val="minor"/>
      </rPr>
      <t>B</t>
    </r>
    <r>
      <rPr>
        <sz val="11"/>
        <color rgb="FF000000"/>
        <rFont val="Calibri"/>
        <family val="2"/>
        <scheme val="minor"/>
      </rPr>
      <t>)</t>
    </r>
  </si>
  <si>
    <r>
      <rPr>
        <sz val="11"/>
        <color rgb="FF000000"/>
        <rFont val="Calibri"/>
        <family val="2"/>
        <scheme val="minor"/>
      </rPr>
      <t>EVF (</t>
    </r>
    <r>
      <rPr>
        <b/>
        <sz val="11"/>
        <color rgb="FF000000"/>
        <rFont val="Calibri"/>
        <family val="2"/>
        <scheme val="minor"/>
      </rPr>
      <t>A/B)</t>
    </r>
  </si>
  <si>
    <t>%Mass</t>
  </si>
  <si>
    <t>%mass - without &lt;</t>
  </si>
  <si>
    <t>%Waste water (min)</t>
  </si>
  <si>
    <t>%Waste water (max)</t>
  </si>
  <si>
    <t>µg/L in waste</t>
  </si>
  <si>
    <t>EQS (µg/L )</t>
  </si>
  <si>
    <t xml:space="preserve">Sulphuric Acid </t>
  </si>
  <si>
    <t>7664-93-9</t>
  </si>
  <si>
    <t>94.0-99.0</t>
  </si>
  <si>
    <t>Thermofisher Sulphuric Acid &gt;95% SDS</t>
  </si>
  <si>
    <t>Residue on ignition</t>
  </si>
  <si>
    <t>&lt;0.05</t>
  </si>
  <si>
    <t>Free Sulpher Dioxide</t>
  </si>
  <si>
    <t>7446-09-5</t>
  </si>
  <si>
    <t>&lt;0.01</t>
  </si>
  <si>
    <t>Total Chloride (HCl)</t>
  </si>
  <si>
    <t>7647-01-0</t>
  </si>
  <si>
    <t>&lt;0.0025</t>
  </si>
  <si>
    <t>Oxides of Nitrogen</t>
  </si>
  <si>
    <t>7697-37-2</t>
  </si>
  <si>
    <t>&lt;0.0015</t>
  </si>
  <si>
    <t>Ammoniacal Nitrogen</t>
  </si>
  <si>
    <t>1336-21-6</t>
  </si>
  <si>
    <t>&lt;0.0005</t>
  </si>
  <si>
    <t>Water Framework Directive</t>
  </si>
  <si>
    <t>Iron (Fe)</t>
  </si>
  <si>
    <t>7439-89-6</t>
  </si>
  <si>
    <t>&lt;0.004</t>
  </si>
  <si>
    <t>Antimony (Sb)</t>
  </si>
  <si>
    <t>7440-36-0</t>
  </si>
  <si>
    <t>&lt;0.0001</t>
  </si>
  <si>
    <t>Arsenic (As)</t>
  </si>
  <si>
    <t>7440-38-2</t>
  </si>
  <si>
    <t>Cadmium (Cd)</t>
  </si>
  <si>
    <t>7440-43-9</t>
  </si>
  <si>
    <t>&lt;0.000005</t>
  </si>
  <si>
    <t>Surface Water Hazards list</t>
  </si>
  <si>
    <t>Lead (Pb)</t>
  </si>
  <si>
    <t>7439-92-1</t>
  </si>
  <si>
    <t>Mercury (Hg)</t>
  </si>
  <si>
    <t>7439-97-6</t>
  </si>
  <si>
    <t>&lt;0.00007</t>
  </si>
  <si>
    <t>Selenium (Se)</t>
  </si>
  <si>
    <t>Test 5 (Sulphuric Acid)</t>
  </si>
  <si>
    <t xml:space="preserve">%Mass &lt;removed </t>
  </si>
  <si>
    <t xml:space="preserve">µg/L </t>
  </si>
  <si>
    <t xml:space="preserve">%waste water </t>
  </si>
  <si>
    <t xml:space="preserve"> 1310-73-2</t>
  </si>
  <si>
    <t>49.0-51.0</t>
  </si>
  <si>
    <t>Sodium Carbonate</t>
  </si>
  <si>
    <t>497-19-8</t>
  </si>
  <si>
    <t>&lt;0.1</t>
  </si>
  <si>
    <t>Sodium Chloride</t>
  </si>
  <si>
    <t>7647-14-5</t>
  </si>
  <si>
    <t>Sodium Sulphate</t>
  </si>
  <si>
    <t>7757-82-6</t>
  </si>
  <si>
    <t>Sodium Chlorate</t>
  </si>
  <si>
    <t>7775-09-9</t>
  </si>
  <si>
    <t>&lt;0.006</t>
  </si>
  <si>
    <t>Iron</t>
  </si>
  <si>
    <t>Mercury</t>
  </si>
  <si>
    <t>Nickel</t>
  </si>
  <si>
    <t>7440-02-0</t>
  </si>
  <si>
    <t>Cadmium</t>
  </si>
  <si>
    <t>&lt;0.00005</t>
  </si>
  <si>
    <t>Arsenic</t>
  </si>
  <si>
    <t>Chromium</t>
  </si>
  <si>
    <t>7440-47-3</t>
  </si>
  <si>
    <t>Lead</t>
  </si>
  <si>
    <t>&lt;0.000025</t>
  </si>
  <si>
    <t>Antimony</t>
  </si>
  <si>
    <t>&lt;0.00024</t>
  </si>
  <si>
    <t>Selenium</t>
  </si>
  <si>
    <t>Substance</t>
  </si>
  <si>
    <t>Maximum concentration in waste water (µg/l)</t>
  </si>
  <si>
    <t>Total Daily Flow (l)</t>
  </si>
  <si>
    <t>Daily discharge (µg)</t>
  </si>
  <si>
    <t>Daily discharge (kg)</t>
  </si>
  <si>
    <t>Annual discharge (kg)</t>
  </si>
  <si>
    <t>Annual significant load limit (kg)</t>
  </si>
  <si>
    <t>Above/Below annual significant load?</t>
  </si>
  <si>
    <t>Below</t>
  </si>
  <si>
    <t>Chemical</t>
  </si>
  <si>
    <t>Average Annual Consumption (l)</t>
  </si>
  <si>
    <t>%waste water</t>
  </si>
  <si>
    <t>Antiscalant</t>
  </si>
  <si>
    <t>Biocide for CIP and biofouling</t>
  </si>
  <si>
    <t>Bisulfite</t>
  </si>
  <si>
    <t>Basic Cleaning Agent</t>
  </si>
  <si>
    <t>Acid Cleaning Agent</t>
  </si>
  <si>
    <t>Caustic Soda</t>
  </si>
  <si>
    <t>Sulfuric Acid</t>
  </si>
  <si>
    <t>Potable Water</t>
  </si>
  <si>
    <t>total waste water per annum:</t>
  </si>
  <si>
    <t>NNB GENERATION COMPANY (HPC) LTD</t>
  </si>
  <si>
    <t>© Copyright 2024 NNB Generation Company (HPC) Limited. All rights reserved.</t>
  </si>
  <si>
    <t>NNB Generation Company (HPC) Limited Registered in England and Wales. Registered No. 6937084 Registered Office: 90 Whitfield Street, London, W1T 4EZ</t>
  </si>
  <si>
    <t>Demineralisation Plant Chemicals Analysis for CWDA Variation 12</t>
  </si>
  <si>
    <t>COMPANY DOCUMENT- 101274453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</si>
</sst>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E+00"/>
    <numFmt numFmtId="165" formatCode="0.0"/>
    <numFmt numFmtId="166" formatCode="0.000"/>
    <numFmt numFmtId="167" formatCode="0.0000"/>
    <numFmt numFmtId="168" formatCode="0.00000"/>
  </numFmts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303A40"/>
      <name val="Tahoma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EDF 2020"/>
      <family val="2"/>
    </font>
    <font>
      <b/>
      <sz val="16"/>
      <name val="EDF 2020"/>
      <family val="2"/>
    </font>
    <font>
      <sz val="10"/>
      <name val="EDF 2020"/>
      <family val="2"/>
    </font>
    <font>
      <b/>
      <sz val="11"/>
      <name val="EDF 2020"/>
      <family val="2"/>
    </font>
    <font>
      <b/>
      <sz val="10"/>
      <name val="EDF 2020"/>
      <family val="2"/>
    </font>
    <font>
      <b/>
      <i/>
      <sz val="10"/>
      <name val="EDF 2020"/>
      <family val="2"/>
    </font>
    <font>
      <b/>
      <sz val="24"/>
      <name val="EDF 2020"/>
      <family val="2"/>
    </font>
    <font>
      <sz val="24"/>
      <name val="EDF 2020"/>
      <family val="2"/>
    </font>
    <font>
      <b/>
      <sz val="22"/>
      <name val="EDF 2020"/>
      <family val="2"/>
    </font>
    <font>
      <b/>
      <sz val="20"/>
      <name val="EDF 2020"/>
      <family val="2"/>
    </font>
    <font>
      <sz val="8"/>
      <name val="EDF 2020"/>
      <family val="2"/>
    </font>
    <font>
      <sz val="7"/>
      <name val="EDF 2020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/>
  </cellStyleXfs>
  <cellXfs count="51">
    <xf numFmtId="0" fontId="0" fillId="0" borderId="0" xfId="0"/>
    <xf numFmtId="0" fontId="2" fillId="3" borderId="0" xfId="2"/>
    <xf numFmtId="0" fontId="0" fillId="0" borderId="0" xfId="0" applyAlignment="1">
      <alignment wrapText="1"/>
    </xf>
    <xf numFmtId="0" fontId="3" fillId="0" borderId="0" xfId="0" applyFont="1"/>
    <xf numFmtId="0" fontId="1" fillId="2" borderId="0" xfId="1"/>
    <xf numFmtId="14" fontId="0" fillId="0" borderId="0" xfId="0" quotePrefix="1" applyNumberFormat="1"/>
    <xf numFmtId="0" fontId="0" fillId="0" borderId="0" xfId="0" quotePrefix="1"/>
    <xf numFmtId="0" fontId="3" fillId="0" borderId="0" xfId="0" applyFont="1" applyAlignment="1">
      <alignment wrapText="1"/>
    </xf>
    <xf numFmtId="0" fontId="6" fillId="4" borderId="0" xfId="3"/>
    <xf numFmtId="0" fontId="8" fillId="0" borderId="0" xfId="0" applyFont="1"/>
    <xf numFmtId="14" fontId="0" fillId="0" borderId="0" xfId="0" applyNumberFormat="1"/>
    <xf numFmtId="2" fontId="1" fillId="2" borderId="0" xfId="1" applyNumberFormat="1"/>
    <xf numFmtId="2" fontId="6" fillId="4" borderId="0" xfId="3" applyNumberFormat="1"/>
    <xf numFmtId="2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 applyProtection="1">
      <protection locked="0"/>
    </xf>
    <xf numFmtId="0" fontId="12" fillId="0" borderId="0" xfId="0" applyFont="1"/>
    <xf numFmtId="0" fontId="13" fillId="0" borderId="0" xfId="0" applyFont="1" applyProtection="1">
      <protection locked="0"/>
    </xf>
    <xf numFmtId="0" fontId="14" fillId="0" borderId="0" xfId="4" applyFont="1" applyAlignment="1">
      <alignment vertical="center"/>
    </xf>
    <xf numFmtId="0" fontId="1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3" fillId="0" borderId="0" xfId="0" applyFont="1"/>
    <xf numFmtId="0" fontId="19" fillId="0" borderId="0" xfId="0" applyFont="1" applyAlignment="1" applyProtection="1">
      <alignment horizontal="center" wrapText="1"/>
      <protection locked="0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11" fontId="0" fillId="0" borderId="0" xfId="0" applyNumberFormat="1"/>
    <xf numFmtId="168" fontId="5" fillId="0" borderId="0" xfId="0" applyNumberFormat="1" applyFont="1"/>
    <xf numFmtId="167" fontId="5" fillId="0" borderId="0" xfId="0" applyNumberFormat="1" applyFont="1"/>
    <xf numFmtId="167" fontId="6" fillId="4" borderId="0" xfId="3" applyNumberFormat="1"/>
    <xf numFmtId="165" fontId="1" fillId="2" borderId="0" xfId="1" applyNumberFormat="1"/>
    <xf numFmtId="1" fontId="1" fillId="2" borderId="0" xfId="1" applyNumberFormat="1"/>
    <xf numFmtId="1" fontId="0" fillId="0" borderId="0" xfId="0" applyNumberFormat="1"/>
    <xf numFmtId="0" fontId="4" fillId="0" borderId="0" xfId="0" applyFont="1" applyAlignment="1">
      <alignment wrapText="1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6" fillId="0" borderId="0" xfId="0" applyFont="1" applyAlignment="1" applyProtection="1">
      <alignment vertical="center"/>
      <protection locked="0"/>
    </xf>
    <xf numFmtId="0" fontId="17" fillId="0" borderId="0" xfId="4" applyFont="1" applyAlignment="1">
      <alignment vertical="center"/>
    </xf>
    <xf numFmtId="0" fontId="21" fillId="0" borderId="0" xfId="0" applyFont="1" applyProtection="1">
      <protection locked="0"/>
    </xf>
    <xf numFmtId="0" fontId="20" fillId="0" borderId="0" xfId="0" applyFont="1"/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</cellXfs>
  <cellStyles count="5">
    <cellStyle name="Bad" xfId="1" builtinId="27"/>
    <cellStyle name="Good" xfId="3" builtinId="26"/>
    <cellStyle name="Neutral" xfId="2" builtinId="28"/>
    <cellStyle name="Normal" xfId="0" builtinId="0"/>
    <cellStyle name="Normal 4" xfId="4" xr:uid="{3A5CD27C-3602-460B-A9D4-8B27C32D27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0A872-AD29-46CB-A98A-93DFD6FCC5B0}">
  <dimension ref="A1:F34"/>
  <sheetViews>
    <sheetView tabSelected="1" view="pageLayout" zoomScaleNormal="100" workbookViewId="0">
      <selection activeCell="E65" sqref="E65"/>
    </sheetView>
  </sheetViews>
  <sheetFormatPr defaultRowHeight="14" x14ac:dyDescent="0.3"/>
  <cols>
    <col min="1" max="1" width="26.6328125" style="18" customWidth="1"/>
    <col min="2" max="2" width="11.90625" style="18" customWidth="1"/>
    <col min="3" max="3" width="9.453125" style="18" customWidth="1"/>
    <col min="4" max="4" width="13.6328125" style="18" customWidth="1"/>
    <col min="5" max="5" width="13.1796875" style="18" customWidth="1"/>
    <col min="6" max="6" width="14.81640625" style="18" customWidth="1"/>
    <col min="7" max="7" width="8.7265625" style="18" customWidth="1"/>
    <col min="8" max="8" width="7.453125" style="18" customWidth="1"/>
    <col min="9" max="9" width="12.26953125" style="18" customWidth="1"/>
    <col min="10" max="10" width="11.453125" style="18" customWidth="1"/>
    <col min="11" max="11" width="12.7265625" style="18" customWidth="1"/>
    <col min="12" max="12" width="16.54296875" style="18" customWidth="1"/>
    <col min="13" max="14" width="12.7265625" style="18" customWidth="1"/>
    <col min="15" max="16384" width="8.7265625" style="18"/>
  </cols>
  <sheetData>
    <row r="1" spans="1:6" s="44" customFormat="1" ht="20.5" x14ac:dyDescent="0.45">
      <c r="A1" s="41"/>
      <c r="B1" s="42"/>
      <c r="C1" s="43"/>
      <c r="D1" s="43"/>
      <c r="E1" s="43"/>
      <c r="F1" s="43"/>
    </row>
    <row r="2" spans="1:6" x14ac:dyDescent="0.3">
      <c r="A2" s="21"/>
      <c r="B2" s="19"/>
      <c r="C2" s="20"/>
      <c r="D2" s="20"/>
      <c r="E2" s="20"/>
      <c r="F2" s="20"/>
    </row>
    <row r="3" spans="1:6" x14ac:dyDescent="0.3">
      <c r="A3" s="22"/>
      <c r="B3" s="19"/>
      <c r="C3" s="20"/>
      <c r="D3" s="20"/>
      <c r="E3" s="20"/>
      <c r="F3" s="20"/>
    </row>
    <row r="4" spans="1:6" x14ac:dyDescent="0.3">
      <c r="A4" s="22"/>
      <c r="B4" s="19"/>
      <c r="D4" s="20"/>
      <c r="E4" s="20"/>
      <c r="F4" s="20"/>
    </row>
    <row r="5" spans="1:6" x14ac:dyDescent="0.3">
      <c r="A5" s="23"/>
      <c r="B5" s="19"/>
      <c r="D5" s="20"/>
      <c r="E5" s="20"/>
      <c r="F5" s="20"/>
    </row>
    <row r="6" spans="1:6" x14ac:dyDescent="0.3">
      <c r="A6" s="23"/>
      <c r="B6" s="23"/>
    </row>
    <row r="7" spans="1:6" x14ac:dyDescent="0.3">
      <c r="A7" s="23"/>
      <c r="B7" s="23"/>
    </row>
    <row r="8" spans="1:6" x14ac:dyDescent="0.3">
      <c r="A8" s="24"/>
      <c r="B8" s="25"/>
      <c r="C8" s="26"/>
      <c r="D8" s="26"/>
      <c r="E8" s="26"/>
      <c r="F8" s="26"/>
    </row>
    <row r="9" spans="1:6" x14ac:dyDescent="0.3">
      <c r="A9" s="19"/>
      <c r="B9" s="19"/>
      <c r="C9" s="20"/>
      <c r="D9" s="20"/>
      <c r="E9" s="20"/>
      <c r="F9" s="20"/>
    </row>
    <row r="10" spans="1:6" x14ac:dyDescent="0.3">
      <c r="A10" s="19"/>
      <c r="B10" s="19"/>
      <c r="C10" s="20"/>
      <c r="D10" s="20"/>
      <c r="E10" s="20"/>
      <c r="F10" s="20"/>
    </row>
    <row r="11" spans="1:6" x14ac:dyDescent="0.3">
      <c r="A11" s="21"/>
      <c r="B11" s="25"/>
      <c r="C11" s="27"/>
      <c r="D11" s="26"/>
      <c r="E11" s="26"/>
      <c r="F11" s="26"/>
    </row>
    <row r="12" spans="1:6" ht="30.5" x14ac:dyDescent="0.3">
      <c r="A12" s="45" t="s">
        <v>172</v>
      </c>
      <c r="B12" s="46"/>
      <c r="C12" s="27"/>
      <c r="D12" s="26"/>
      <c r="E12" s="26"/>
      <c r="F12" s="26"/>
    </row>
    <row r="13" spans="1:6" x14ac:dyDescent="0.3">
      <c r="A13" s="21"/>
      <c r="B13" s="25"/>
      <c r="C13" s="27"/>
      <c r="D13" s="26"/>
      <c r="E13" s="26"/>
      <c r="F13" s="26"/>
    </row>
    <row r="14" spans="1:6" ht="37" customHeight="1" x14ac:dyDescent="0.6">
      <c r="A14" s="49" t="s">
        <v>176</v>
      </c>
      <c r="B14" s="49"/>
      <c r="C14" s="49"/>
      <c r="D14" s="49"/>
      <c r="E14" s="49"/>
      <c r="F14" s="49"/>
    </row>
    <row r="15" spans="1:6" x14ac:dyDescent="0.3">
      <c r="B15" s="21"/>
      <c r="C15" s="27"/>
      <c r="D15" s="27"/>
      <c r="F15" s="26"/>
    </row>
    <row r="16" spans="1:6" ht="59.5" customHeight="1" x14ac:dyDescent="0.55000000000000004">
      <c r="A16" s="50" t="s">
        <v>175</v>
      </c>
      <c r="B16" s="50"/>
      <c r="C16" s="50"/>
      <c r="D16" s="50"/>
      <c r="E16" s="50"/>
      <c r="F16" s="50"/>
    </row>
    <row r="17" spans="1:6" ht="25.5" x14ac:dyDescent="0.55000000000000004">
      <c r="A17" s="28"/>
      <c r="B17" s="28"/>
      <c r="C17" s="27"/>
      <c r="D17" s="26"/>
      <c r="E17" s="26"/>
    </row>
    <row r="18" spans="1:6" ht="25.5" x14ac:dyDescent="0.55000000000000004">
      <c r="A18" s="28"/>
      <c r="B18" s="28"/>
    </row>
    <row r="19" spans="1:6" x14ac:dyDescent="0.3">
      <c r="A19" s="23"/>
      <c r="B19" s="23"/>
    </row>
    <row r="20" spans="1:6" x14ac:dyDescent="0.3">
      <c r="A20" s="21"/>
      <c r="B20" s="25"/>
      <c r="C20" s="27"/>
      <c r="D20" s="26"/>
      <c r="E20" s="26"/>
    </row>
    <row r="21" spans="1:6" x14ac:dyDescent="0.3">
      <c r="A21" s="21"/>
      <c r="B21" s="25"/>
      <c r="C21" s="27"/>
      <c r="D21" s="26"/>
      <c r="E21" s="26"/>
    </row>
    <row r="22" spans="1:6" x14ac:dyDescent="0.3">
      <c r="C22" s="27"/>
      <c r="D22" s="26"/>
      <c r="E22" s="26"/>
    </row>
    <row r="23" spans="1:6" x14ac:dyDescent="0.3">
      <c r="C23" s="27"/>
      <c r="D23" s="26"/>
      <c r="E23" s="26"/>
    </row>
    <row r="24" spans="1:6" x14ac:dyDescent="0.3">
      <c r="A24" s="48" t="s">
        <v>173</v>
      </c>
      <c r="B24" s="48"/>
      <c r="C24" s="27"/>
      <c r="D24" s="26"/>
      <c r="E24" s="26"/>
    </row>
    <row r="25" spans="1:6" x14ac:dyDescent="0.3">
      <c r="A25" s="47" t="s">
        <v>174</v>
      </c>
      <c r="B25" s="47"/>
      <c r="D25" s="20"/>
      <c r="E25" s="20"/>
      <c r="F25" s="20"/>
    </row>
    <row r="26" spans="1:6" x14ac:dyDescent="0.3">
      <c r="A26" s="23"/>
      <c r="B26" s="19"/>
      <c r="D26" s="20"/>
      <c r="E26" s="20"/>
      <c r="F26" s="20"/>
    </row>
    <row r="27" spans="1:6" x14ac:dyDescent="0.3">
      <c r="A27" s="23"/>
      <c r="B27" s="23"/>
    </row>
    <row r="28" spans="1:6" x14ac:dyDescent="0.3">
      <c r="A28" s="23"/>
      <c r="B28" s="23"/>
    </row>
    <row r="29" spans="1:6" x14ac:dyDescent="0.3">
      <c r="A29" s="23"/>
      <c r="B29" s="23"/>
    </row>
    <row r="30" spans="1:6" x14ac:dyDescent="0.3">
      <c r="A30" s="23"/>
      <c r="B30" s="23"/>
    </row>
    <row r="31" spans="1:6" x14ac:dyDescent="0.3">
      <c r="A31" s="23"/>
      <c r="B31" s="23"/>
    </row>
    <row r="32" spans="1:6" x14ac:dyDescent="0.3">
      <c r="A32" s="23"/>
      <c r="B32" s="23"/>
    </row>
    <row r="33" spans="1:2" x14ac:dyDescent="0.3">
      <c r="A33" s="23"/>
      <c r="B33" s="23"/>
    </row>
    <row r="34" spans="1:2" x14ac:dyDescent="0.3">
      <c r="A34" s="23"/>
      <c r="B34" s="23"/>
    </row>
  </sheetData>
  <mergeCells count="2">
    <mergeCell ref="A14:F14"/>
    <mergeCell ref="A16:F16"/>
  </mergeCells>
  <printOptions horizontalCentered="1"/>
  <pageMargins left="0.62992125984251968" right="0.55118110236220474" top="1.2204724409448819" bottom="0.9055118110236221" header="0" footer="0.23622047244094491"/>
  <pageSetup paperSize="9" orientation="portrait" r:id="rId1"/>
  <headerFooter alignWithMargins="0">
    <oddHeader>&amp;C&amp;"Frutiger LT 45 Light,Bold"&amp;14
&amp;KFFA02FCompany Document&amp;K000000
NOT PROTECTIVELY MARKED&amp;R&amp;"Frutiger LT 45 Light,Regular"&amp;8&amp;K000000 101274453
V001</oddHeader>
    <oddFooter xml:space="preserve">&amp;L&amp;"Frutiger LT 45 Light,Regular"&amp;7Template No:
NNB-NNBGEN-XX-000-TEM-100124
Template Revision: 02
Parent procedure: NNB-301-PRO-000015&amp;C&amp;"Arial,Bold"&amp;12UNCONTROLLED WHEN PRINTED
NOT PROTECTIVELY MARKED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94D07-A450-4987-9966-E0D33D00088E}">
  <dimension ref="A1:C14"/>
  <sheetViews>
    <sheetView view="pageLayout" zoomScaleNormal="100" workbookViewId="0">
      <selection activeCell="B5" sqref="B5"/>
    </sheetView>
  </sheetViews>
  <sheetFormatPr defaultRowHeight="14.5" x14ac:dyDescent="0.35"/>
  <cols>
    <col min="1" max="1" width="27.26953125" customWidth="1"/>
    <col min="2" max="2" width="29" bestFit="1" customWidth="1"/>
    <col min="3" max="3" width="15.7265625" customWidth="1"/>
  </cols>
  <sheetData>
    <row r="1" spans="1:3" x14ac:dyDescent="0.35">
      <c r="A1" s="3" t="s">
        <v>160</v>
      </c>
      <c r="B1" s="3" t="s">
        <v>161</v>
      </c>
      <c r="C1" s="3" t="s">
        <v>162</v>
      </c>
    </row>
    <row r="2" spans="1:3" x14ac:dyDescent="0.35">
      <c r="A2" t="s">
        <v>163</v>
      </c>
      <c r="B2">
        <v>145</v>
      </c>
      <c r="C2">
        <f>(B2/B14)*100</f>
        <v>8.7274740884303786E-2</v>
      </c>
    </row>
    <row r="3" spans="1:3" x14ac:dyDescent="0.35">
      <c r="A3" t="s">
        <v>164</v>
      </c>
      <c r="B3">
        <f>47+380</f>
        <v>427</v>
      </c>
      <c r="C3">
        <f>(B3/B14)*100</f>
        <v>0.25700906453515665</v>
      </c>
    </row>
    <row r="4" spans="1:3" x14ac:dyDescent="0.35">
      <c r="A4" t="s">
        <v>165</v>
      </c>
      <c r="B4">
        <v>1092</v>
      </c>
      <c r="C4">
        <f>(B4/B14)*100</f>
        <v>0.65726908307351539</v>
      </c>
    </row>
    <row r="5" spans="1:3" x14ac:dyDescent="0.35">
      <c r="A5" t="s">
        <v>166</v>
      </c>
      <c r="B5">
        <v>3324</v>
      </c>
      <c r="C5">
        <f>(B5/B14)*100</f>
        <v>2.0006981979270746</v>
      </c>
    </row>
    <row r="6" spans="1:3" x14ac:dyDescent="0.35">
      <c r="A6" t="s">
        <v>167</v>
      </c>
      <c r="B6">
        <v>3355</v>
      </c>
      <c r="C6">
        <f>(B6/B14)*100</f>
        <v>2.019356935633374</v>
      </c>
    </row>
    <row r="7" spans="1:3" x14ac:dyDescent="0.35">
      <c r="A7" t="s">
        <v>168</v>
      </c>
      <c r="B7">
        <v>1918</v>
      </c>
      <c r="C7">
        <f>(B7/B14)*100</f>
        <v>1.1544341587316873</v>
      </c>
    </row>
    <row r="8" spans="1:3" x14ac:dyDescent="0.35">
      <c r="A8" t="s">
        <v>169</v>
      </c>
      <c r="B8">
        <v>713</v>
      </c>
      <c r="C8">
        <f>(B8/B14)*100</f>
        <v>0.42915096724488688</v>
      </c>
    </row>
    <row r="9" spans="1:3" x14ac:dyDescent="0.35">
      <c r="A9" t="s">
        <v>170</v>
      </c>
      <c r="C9">
        <f>100-(SUM(C2:C8))</f>
        <v>93.394806851970003</v>
      </c>
    </row>
    <row r="14" spans="1:3" x14ac:dyDescent="0.35">
      <c r="A14" t="s">
        <v>171</v>
      </c>
      <c r="B14">
        <f>520168-365000+145+427+1092+3324+3355+1918+713</f>
        <v>166142</v>
      </c>
    </row>
  </sheetData>
  <printOptions horizontalCentered="1"/>
  <pageMargins left="0.62992125984251968" right="0.55118110236220474" top="1.2204724409448819" bottom="0.9055118110236221" header="0" footer="0.23622047244094491"/>
  <pageSetup paperSize="9" orientation="portrait" r:id="rId1"/>
  <headerFooter alignWithMargins="0">
    <oddHeader xml:space="preserve">&amp;C&amp;"Frutiger LT 45 Light,Bold"&amp;14
&amp;KFFA02FCompany Document&amp;K000000
PROTECT-PRIVATE&amp;R&amp;"Frutiger LT 45 Light,Regular"&amp;8&amp;K000000 
</oddHeader>
    <oddFooter>&amp;L&amp;"Frutiger LT 45 Light,Regular"&amp;7Template No:
NNB-NNBGEN-XX-000-TEM-100124
Template Revision: 02
Parent procedure: NNB-301-PRO-000015&amp;C&amp;"Arial,Bold"&amp;12UNCONTROLLED WHEN PRINTED
PROTECT-PRIVATE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56B-863F-4C94-943A-37F8C81B1A68}">
  <sheetPr>
    <tabColor theme="0"/>
  </sheetPr>
  <dimension ref="A1:P23"/>
  <sheetViews>
    <sheetView view="pageLayout" zoomScaleNormal="115" workbookViewId="0">
      <selection activeCell="H15" sqref="H15"/>
    </sheetView>
  </sheetViews>
  <sheetFormatPr defaultRowHeight="15" customHeight="1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1" max="11" width="9.81640625" customWidth="1"/>
    <col min="12" max="12" width="16.54296875" customWidth="1"/>
    <col min="13" max="13" width="19.7265625" customWidth="1"/>
    <col min="14" max="14" width="35.1796875" customWidth="1"/>
    <col min="16" max="16" width="15.81640625" customWidth="1"/>
  </cols>
  <sheetData>
    <row r="1" spans="1:16" s="2" customFormat="1" ht="29.5" customHeight="1" x14ac:dyDescent="0.3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/>
    </row>
    <row r="2" spans="1:16" ht="14.5" x14ac:dyDescent="0.35">
      <c r="A2" t="s">
        <v>13</v>
      </c>
      <c r="B2" s="6" t="s">
        <v>14</v>
      </c>
      <c r="C2" s="6">
        <v>15</v>
      </c>
      <c r="D2">
        <v>25</v>
      </c>
      <c r="E2">
        <f>C2*10000</f>
        <v>150000</v>
      </c>
      <c r="F2">
        <f>D2*10000</f>
        <v>250000</v>
      </c>
      <c r="G2" s="31">
        <f>($B$8/100)*C2</f>
        <v>1.3091211132645568E-2</v>
      </c>
      <c r="H2" s="31">
        <f>(B8/100)*D2</f>
        <v>2.1818685221075947E-2</v>
      </c>
      <c r="I2" s="11">
        <f>G2*10000</f>
        <v>130.91211132645569</v>
      </c>
      <c r="J2" s="11">
        <f>H2*10000</f>
        <v>218.18685221075947</v>
      </c>
      <c r="K2" s="4">
        <v>40</v>
      </c>
      <c r="L2" t="s">
        <v>15</v>
      </c>
      <c r="M2" s="10">
        <v>45294</v>
      </c>
    </row>
    <row r="3" spans="1:16" ht="29" x14ac:dyDescent="0.35">
      <c r="A3" t="s">
        <v>16</v>
      </c>
      <c r="B3" s="6" t="s">
        <v>17</v>
      </c>
      <c r="C3" s="6">
        <v>3</v>
      </c>
      <c r="D3">
        <v>10</v>
      </c>
      <c r="E3">
        <f t="shared" ref="E3:E4" si="0">C3*10000</f>
        <v>30000</v>
      </c>
      <c r="F3">
        <f t="shared" ref="F3:F4" si="1">D3*10000</f>
        <v>100000</v>
      </c>
      <c r="G3" s="31">
        <f>(B8/100)*C3</f>
        <v>2.6182422265291138E-3</v>
      </c>
      <c r="H3" s="31">
        <f>(B8/100)*D3</f>
        <v>8.7274740884303783E-3</v>
      </c>
      <c r="I3" s="11">
        <f t="shared" ref="I3:I4" si="2">G3*10000</f>
        <v>26.182422265291137</v>
      </c>
      <c r="J3" s="11">
        <f t="shared" ref="J3:J4" si="3">H3*10000</f>
        <v>87.274740884303782</v>
      </c>
      <c r="K3" s="4">
        <v>0.08</v>
      </c>
      <c r="L3" s="2" t="s">
        <v>18</v>
      </c>
      <c r="M3" s="10">
        <v>45295</v>
      </c>
    </row>
    <row r="4" spans="1:16" ht="14.5" x14ac:dyDescent="0.35">
      <c r="A4" t="s">
        <v>19</v>
      </c>
      <c r="B4" t="s">
        <v>20</v>
      </c>
      <c r="C4">
        <v>3</v>
      </c>
      <c r="D4">
        <v>10</v>
      </c>
      <c r="E4">
        <f t="shared" si="0"/>
        <v>30000</v>
      </c>
      <c r="F4">
        <f t="shared" si="1"/>
        <v>100000</v>
      </c>
      <c r="G4" s="31">
        <f>(B8/100)*C4</f>
        <v>2.6182422265291138E-3</v>
      </c>
      <c r="H4" s="31">
        <f>(B8/100)*D4</f>
        <v>8.7274740884303783E-3</v>
      </c>
      <c r="I4" s="13">
        <f t="shared" si="2"/>
        <v>26.182422265291137</v>
      </c>
      <c r="J4" s="13">
        <f t="shared" si="3"/>
        <v>87.274740884303782</v>
      </c>
    </row>
    <row r="5" spans="1:16" ht="14.5" x14ac:dyDescent="0.35">
      <c r="A5" t="s">
        <v>21</v>
      </c>
      <c r="B5" s="6" t="s">
        <v>22</v>
      </c>
      <c r="C5" s="6">
        <v>55</v>
      </c>
      <c r="D5">
        <v>79</v>
      </c>
    </row>
    <row r="8" spans="1:16" ht="14.5" x14ac:dyDescent="0.35">
      <c r="A8" s="3" t="s">
        <v>23</v>
      </c>
      <c r="B8" s="30">
        <v>8.7274740884303786E-2</v>
      </c>
    </row>
    <row r="13" spans="1:16" ht="15" customHeight="1" x14ac:dyDescent="0.35">
      <c r="F13">
        <f>($B$20/100)*D13</f>
        <v>0</v>
      </c>
    </row>
    <row r="14" spans="1:16" ht="120.75" customHeight="1" x14ac:dyDescent="0.35">
      <c r="B14" s="3" t="s">
        <v>24</v>
      </c>
      <c r="D14">
        <v>2.4000000000000001E-4</v>
      </c>
      <c r="F14">
        <f t="shared" ref="F14:F15" si="4">($B$20/100)*D14</f>
        <v>9.6000000000000002E-5</v>
      </c>
      <c r="P14" s="2"/>
    </row>
    <row r="15" spans="1:16" ht="14.5" x14ac:dyDescent="0.35">
      <c r="B15" t="s">
        <v>25</v>
      </c>
      <c r="D15">
        <v>2.4000000000000001E-4</v>
      </c>
      <c r="F15">
        <f t="shared" si="4"/>
        <v>9.6000000000000002E-5</v>
      </c>
    </row>
    <row r="16" spans="1:16" ht="14.5" x14ac:dyDescent="0.35">
      <c r="A16" t="s">
        <v>26</v>
      </c>
      <c r="B16">
        <v>7.0000000000000007E-2</v>
      </c>
    </row>
    <row r="17" spans="1:4" ht="14.5" x14ac:dyDescent="0.35">
      <c r="A17" t="s">
        <v>27</v>
      </c>
      <c r="B17" s="13">
        <f>J2</f>
        <v>218.18685221075947</v>
      </c>
      <c r="D17" s="13">
        <f>J3</f>
        <v>87.274740884303782</v>
      </c>
    </row>
    <row r="18" spans="1:4" ht="14.5" x14ac:dyDescent="0.35">
      <c r="A18" t="s">
        <v>28</v>
      </c>
      <c r="B18" s="13">
        <f>B16*B17</f>
        <v>15.273079654753165</v>
      </c>
      <c r="D18" s="13">
        <f>D17*D16</f>
        <v>0</v>
      </c>
    </row>
    <row r="19" spans="1:4" ht="14.5" x14ac:dyDescent="0.35">
      <c r="A19" t="s">
        <v>29</v>
      </c>
      <c r="B19">
        <v>0</v>
      </c>
      <c r="D19">
        <v>0</v>
      </c>
    </row>
    <row r="20" spans="1:4" ht="14.5" x14ac:dyDescent="0.35">
      <c r="A20" t="s">
        <v>30</v>
      </c>
      <c r="B20">
        <v>40</v>
      </c>
      <c r="D20">
        <v>2.8</v>
      </c>
    </row>
    <row r="21" spans="1:4" ht="14.5" x14ac:dyDescent="0.35">
      <c r="A21" t="s">
        <v>31</v>
      </c>
      <c r="B21">
        <v>40</v>
      </c>
      <c r="D21">
        <v>2.8</v>
      </c>
    </row>
    <row r="22" spans="1:4" ht="14.5" x14ac:dyDescent="0.35">
      <c r="A22" t="s">
        <v>32</v>
      </c>
      <c r="B22" s="13">
        <f>B18/B21</f>
        <v>0.38182699136882914</v>
      </c>
      <c r="D22" s="31">
        <f>D18/D20</f>
        <v>0</v>
      </c>
    </row>
    <row r="23" spans="1:4" ht="14.5" x14ac:dyDescent="0.35">
      <c r="A23" t="s">
        <v>33</v>
      </c>
      <c r="B23" s="8" t="s">
        <v>34</v>
      </c>
      <c r="C23" s="8"/>
      <c r="D23" s="8" t="s">
        <v>34</v>
      </c>
    </row>
  </sheetData>
  <phoneticPr fontId="7" type="noConversion"/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&amp;L&amp;G&amp;C&amp;"Frutiger LT 45 Light,Bold"&amp;14
&amp;KFFA02FCompany Document&amp;K000000
PROTECT-PRIVATE&amp;R&amp;"Frutiger LT 45 Light,Regular"&amp;8&amp;K000000 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E499-D1BE-46E8-8D07-49504479CFC6}">
  <sheetPr>
    <tabColor theme="0"/>
  </sheetPr>
  <dimension ref="A1:M25"/>
  <sheetViews>
    <sheetView view="pageLayout" zoomScaleNormal="77" workbookViewId="0">
      <selection activeCell="B5" sqref="B5"/>
    </sheetView>
  </sheetViews>
  <sheetFormatPr defaultRowHeight="14.5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1" max="11" width="11.1796875" customWidth="1"/>
    <col min="12" max="12" width="16.54296875" customWidth="1"/>
    <col min="13" max="13" width="11.54296875" customWidth="1"/>
    <col min="14" max="14" width="38.81640625" customWidth="1"/>
  </cols>
  <sheetData>
    <row r="1" spans="1:13" s="2" customFormat="1" ht="29" x14ac:dyDescent="0.35">
      <c r="A1" s="7" t="s">
        <v>0</v>
      </c>
      <c r="B1" s="7" t="s">
        <v>1</v>
      </c>
      <c r="C1" s="7" t="s">
        <v>35</v>
      </c>
      <c r="D1" s="7" t="s">
        <v>3</v>
      </c>
      <c r="E1" s="7" t="s">
        <v>4</v>
      </c>
      <c r="F1" s="7" t="s">
        <v>36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37</v>
      </c>
      <c r="L1" s="7" t="s">
        <v>11</v>
      </c>
      <c r="M1" s="7" t="s">
        <v>12</v>
      </c>
    </row>
    <row r="2" spans="1:13" ht="72.5" x14ac:dyDescent="0.35">
      <c r="A2" s="2" t="s">
        <v>38</v>
      </c>
      <c r="B2" t="s">
        <v>39</v>
      </c>
      <c r="C2">
        <v>1</v>
      </c>
      <c r="D2">
        <v>3</v>
      </c>
      <c r="E2">
        <f>C2*10000</f>
        <v>10000</v>
      </c>
      <c r="F2">
        <f>D2*10000</f>
        <v>30000</v>
      </c>
      <c r="G2" s="31">
        <f>(B12/100)*C2</f>
        <v>2.5700906453515666E-3</v>
      </c>
      <c r="H2" s="35">
        <f>(B12/100)*D2</f>
        <v>7.7102719360547002E-3</v>
      </c>
      <c r="I2" s="12">
        <f>G2*10000</f>
        <v>25.700906453515667</v>
      </c>
      <c r="J2" s="11">
        <f>H2*10000</f>
        <v>77.102719360546999</v>
      </c>
      <c r="K2" s="1">
        <v>3.39</v>
      </c>
      <c r="L2" t="s">
        <v>15</v>
      </c>
      <c r="M2" s="10">
        <v>45294</v>
      </c>
    </row>
    <row r="3" spans="1:13" x14ac:dyDescent="0.35">
      <c r="A3" s="2" t="s">
        <v>40</v>
      </c>
      <c r="B3" s="6" t="s">
        <v>41</v>
      </c>
      <c r="C3" s="6">
        <v>0.01</v>
      </c>
      <c r="D3">
        <v>0.1</v>
      </c>
      <c r="E3">
        <f>C3*10000</f>
        <v>100</v>
      </c>
      <c r="F3">
        <f>D3*10000</f>
        <v>1000</v>
      </c>
      <c r="G3" s="33">
        <f>(B12/100)*C3</f>
        <v>2.5700906453515666E-5</v>
      </c>
      <c r="H3" s="34">
        <f>(B12/100)*D3</f>
        <v>2.5700906453515667E-4</v>
      </c>
      <c r="I3" s="36">
        <f>G3*10000</f>
        <v>0.25700906453515665</v>
      </c>
      <c r="J3" s="12">
        <f>H3*10000</f>
        <v>2.5700906453515668</v>
      </c>
      <c r="K3" s="8">
        <v>5.2</v>
      </c>
      <c r="L3" t="s">
        <v>15</v>
      </c>
      <c r="M3" s="10">
        <v>45294</v>
      </c>
    </row>
    <row r="4" spans="1:13" x14ac:dyDescent="0.35">
      <c r="A4" t="s">
        <v>21</v>
      </c>
      <c r="B4" s="6" t="s">
        <v>42</v>
      </c>
      <c r="C4" s="6">
        <v>96.9</v>
      </c>
      <c r="D4">
        <v>98.9</v>
      </c>
    </row>
    <row r="12" spans="1:13" x14ac:dyDescent="0.35">
      <c r="A12" s="3" t="s">
        <v>23</v>
      </c>
      <c r="B12" s="13">
        <v>0.25700906453515665</v>
      </c>
    </row>
    <row r="13" spans="1:13" x14ac:dyDescent="0.35">
      <c r="F13">
        <f>($B$20/100)*D13</f>
        <v>0</v>
      </c>
    </row>
    <row r="14" spans="1:13" x14ac:dyDescent="0.35">
      <c r="D14">
        <v>2.4000000000000001E-4</v>
      </c>
      <c r="F14">
        <f t="shared" ref="F14:F15" si="0">($B$20/100)*D14</f>
        <v>1.2953256852571897E-5</v>
      </c>
    </row>
    <row r="15" spans="1:13" x14ac:dyDescent="0.35">
      <c r="D15">
        <v>2.4000000000000001E-4</v>
      </c>
      <c r="F15">
        <f t="shared" si="0"/>
        <v>1.2953256852571897E-5</v>
      </c>
    </row>
    <row r="16" spans="1:13" x14ac:dyDescent="0.35">
      <c r="A16" t="s">
        <v>43</v>
      </c>
    </row>
    <row r="17" spans="1:2" x14ac:dyDescent="0.35">
      <c r="A17" t="s">
        <v>25</v>
      </c>
      <c r="B17">
        <v>3</v>
      </c>
    </row>
    <row r="18" spans="1:2" x14ac:dyDescent="0.35">
      <c r="A18" t="s">
        <v>26</v>
      </c>
      <c r="B18">
        <v>7.0000000000000007E-2</v>
      </c>
    </row>
    <row r="19" spans="1:2" x14ac:dyDescent="0.35">
      <c r="A19" t="s">
        <v>44</v>
      </c>
      <c r="B19" s="13">
        <f>J2</f>
        <v>77.102719360546999</v>
      </c>
    </row>
    <row r="20" spans="1:2" x14ac:dyDescent="0.35">
      <c r="A20" t="s">
        <v>28</v>
      </c>
      <c r="B20" s="30">
        <f>B18*B19</f>
        <v>5.3971903552382905</v>
      </c>
    </row>
    <row r="21" spans="1:2" x14ac:dyDescent="0.35">
      <c r="A21" t="s">
        <v>29</v>
      </c>
      <c r="B21">
        <v>0</v>
      </c>
    </row>
    <row r="22" spans="1:2" x14ac:dyDescent="0.35">
      <c r="A22" t="s">
        <v>45</v>
      </c>
      <c r="B22">
        <v>3.39</v>
      </c>
    </row>
    <row r="23" spans="1:2" x14ac:dyDescent="0.35">
      <c r="A23" t="s">
        <v>31</v>
      </c>
      <c r="B23">
        <v>3.39</v>
      </c>
    </row>
    <row r="24" spans="1:2" x14ac:dyDescent="0.35">
      <c r="A24" t="s">
        <v>32</v>
      </c>
      <c r="B24" s="30">
        <f>B20/B23</f>
        <v>1.5920915502177848</v>
      </c>
    </row>
    <row r="25" spans="1:2" x14ac:dyDescent="0.35">
      <c r="A25" t="s">
        <v>33</v>
      </c>
      <c r="B25" s="8" t="s">
        <v>34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25CE-8495-467D-9A6A-874F765A9BD3}">
  <sheetPr>
    <tabColor theme="0"/>
  </sheetPr>
  <dimension ref="A1:M23"/>
  <sheetViews>
    <sheetView view="pageLayout" zoomScaleNormal="100" workbookViewId="0">
      <selection activeCell="H15" sqref="H15"/>
    </sheetView>
  </sheetViews>
  <sheetFormatPr defaultRowHeight="14.5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" customWidth="1"/>
    <col min="10" max="10" width="11.453125" customWidth="1"/>
    <col min="12" max="12" width="16.08984375" customWidth="1"/>
    <col min="13" max="13" width="11.453125" customWidth="1"/>
  </cols>
  <sheetData>
    <row r="1" spans="1:13" s="2" customFormat="1" ht="29" x14ac:dyDescent="0.35">
      <c r="A1" s="7" t="s">
        <v>0</v>
      </c>
      <c r="B1" s="7" t="s">
        <v>1</v>
      </c>
      <c r="C1" s="7" t="s">
        <v>35</v>
      </c>
      <c r="D1" s="7" t="s">
        <v>3</v>
      </c>
      <c r="E1" s="7" t="s">
        <v>4</v>
      </c>
      <c r="F1" s="7" t="s">
        <v>5</v>
      </c>
      <c r="G1" s="40" t="s">
        <v>46</v>
      </c>
      <c r="H1" s="40" t="s">
        <v>7</v>
      </c>
      <c r="I1" s="7" t="s">
        <v>8</v>
      </c>
      <c r="J1" s="7" t="s">
        <v>9</v>
      </c>
      <c r="K1" s="40" t="s">
        <v>47</v>
      </c>
      <c r="L1" s="40" t="s">
        <v>11</v>
      </c>
      <c r="M1" s="40" t="s">
        <v>12</v>
      </c>
    </row>
    <row r="2" spans="1:13" x14ac:dyDescent="0.35">
      <c r="A2" t="s">
        <v>48</v>
      </c>
      <c r="B2" t="s">
        <v>49</v>
      </c>
      <c r="C2">
        <v>35</v>
      </c>
      <c r="D2">
        <v>40</v>
      </c>
      <c r="E2">
        <f>C2*10000</f>
        <v>350000</v>
      </c>
      <c r="F2">
        <f>D2*10000</f>
        <v>400000</v>
      </c>
      <c r="G2" s="30">
        <f>(B12/100)*C2</f>
        <v>0.23004417907573041</v>
      </c>
      <c r="H2" s="30">
        <f>(B12/100)*D2</f>
        <v>0.26290763322940619</v>
      </c>
      <c r="I2" s="38">
        <f>G2*10000</f>
        <v>2300.4417907573043</v>
      </c>
      <c r="J2" s="38">
        <f>H2*10000</f>
        <v>2629.076332294062</v>
      </c>
      <c r="K2" s="4">
        <v>110</v>
      </c>
      <c r="L2" t="s">
        <v>50</v>
      </c>
      <c r="M2" s="10">
        <v>45294</v>
      </c>
    </row>
    <row r="3" spans="1:13" x14ac:dyDescent="0.35">
      <c r="A3" t="s">
        <v>21</v>
      </c>
      <c r="B3" s="6" t="s">
        <v>22</v>
      </c>
      <c r="C3" s="6">
        <v>60</v>
      </c>
      <c r="D3">
        <v>65</v>
      </c>
    </row>
    <row r="12" spans="1:13" x14ac:dyDescent="0.35">
      <c r="A12" s="3" t="s">
        <v>23</v>
      </c>
      <c r="B12" s="30">
        <v>0.65726908307351539</v>
      </c>
    </row>
    <row r="13" spans="1:13" x14ac:dyDescent="0.35">
      <c r="F13">
        <f>($B$20/100)*D13</f>
        <v>0</v>
      </c>
    </row>
    <row r="14" spans="1:13" x14ac:dyDescent="0.35">
      <c r="B14" s="3" t="s">
        <v>51</v>
      </c>
      <c r="D14">
        <v>2.4000000000000001E-4</v>
      </c>
      <c r="F14">
        <f t="shared" ref="F14:F15" si="0">($B$20/100)*D14</f>
        <v>2.6400000000000002E-4</v>
      </c>
    </row>
    <row r="15" spans="1:13" x14ac:dyDescent="0.35">
      <c r="B15" t="s">
        <v>25</v>
      </c>
      <c r="D15">
        <v>2.4000000000000001E-4</v>
      </c>
      <c r="F15">
        <f t="shared" si="0"/>
        <v>2.6400000000000002E-4</v>
      </c>
    </row>
    <row r="16" spans="1:13" x14ac:dyDescent="0.35">
      <c r="A16" t="s">
        <v>26</v>
      </c>
      <c r="B16">
        <v>7.0000000000000007E-2</v>
      </c>
    </row>
    <row r="17" spans="1:2" x14ac:dyDescent="0.35">
      <c r="A17" t="s">
        <v>44</v>
      </c>
      <c r="B17" s="39">
        <f>J2</f>
        <v>2629.076332294062</v>
      </c>
    </row>
    <row r="18" spans="1:2" x14ac:dyDescent="0.35">
      <c r="A18" t="s">
        <v>28</v>
      </c>
      <c r="B18" s="13">
        <f>B17*B16</f>
        <v>184.03534326058437</v>
      </c>
    </row>
    <row r="19" spans="1:2" x14ac:dyDescent="0.35">
      <c r="A19" t="s">
        <v>29</v>
      </c>
      <c r="B19">
        <v>0</v>
      </c>
    </row>
    <row r="20" spans="1:2" x14ac:dyDescent="0.35">
      <c r="A20" t="s">
        <v>45</v>
      </c>
      <c r="B20">
        <v>110</v>
      </c>
    </row>
    <row r="21" spans="1:2" x14ac:dyDescent="0.35">
      <c r="A21" t="s">
        <v>31</v>
      </c>
      <c r="B21">
        <v>110</v>
      </c>
    </row>
    <row r="22" spans="1:2" x14ac:dyDescent="0.35">
      <c r="A22" t="s">
        <v>32</v>
      </c>
      <c r="B22" s="31">
        <f>B18/B21</f>
        <v>1.6730485750962216</v>
      </c>
    </row>
    <row r="23" spans="1:2" x14ac:dyDescent="0.35">
      <c r="A23" t="s">
        <v>33</v>
      </c>
      <c r="B23" s="8" t="s">
        <v>34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1BF0-726C-413E-953F-A2FD70FF2970}">
  <sheetPr>
    <tabColor theme="0"/>
  </sheetPr>
  <dimension ref="A1:M37"/>
  <sheetViews>
    <sheetView view="pageLayout" zoomScaleNormal="100" workbookViewId="0">
      <selection activeCell="H15" sqref="H15"/>
    </sheetView>
  </sheetViews>
  <sheetFormatPr defaultRowHeight="14.5" x14ac:dyDescent="0.35"/>
  <cols>
    <col min="1" max="1" width="26.6328125" customWidth="1"/>
    <col min="2" max="2" width="11.6328125" customWidth="1"/>
    <col min="3" max="3" width="9.453125" customWidth="1"/>
    <col min="4" max="4" width="13.26953125" customWidth="1"/>
    <col min="5" max="5" width="12.81640625" customWidth="1"/>
    <col min="6" max="6" width="14.453125" customWidth="1"/>
    <col min="7" max="7" width="8.54296875" customWidth="1"/>
    <col min="8" max="8" width="7.26953125" customWidth="1"/>
    <col min="9" max="9" width="12.26953125" customWidth="1"/>
    <col min="10" max="10" width="11.1796875" customWidth="1"/>
    <col min="11" max="11" width="14" customWidth="1"/>
    <col min="12" max="12" width="16.54296875" customWidth="1"/>
    <col min="13" max="13" width="14" customWidth="1"/>
  </cols>
  <sheetData>
    <row r="1" spans="1:13" s="2" customFormat="1" ht="29" x14ac:dyDescent="0.35">
      <c r="A1" s="7" t="s">
        <v>0</v>
      </c>
      <c r="B1" s="7" t="s">
        <v>1</v>
      </c>
      <c r="C1" s="7" t="s">
        <v>52</v>
      </c>
      <c r="D1" s="7" t="s">
        <v>53</v>
      </c>
      <c r="E1" s="7" t="s">
        <v>4</v>
      </c>
      <c r="F1" s="7" t="s">
        <v>36</v>
      </c>
      <c r="G1" s="7" t="s">
        <v>46</v>
      </c>
      <c r="H1" s="7" t="s">
        <v>7</v>
      </c>
      <c r="I1" s="7" t="s">
        <v>8</v>
      </c>
      <c r="J1" s="7" t="s">
        <v>54</v>
      </c>
      <c r="K1" s="7" t="s">
        <v>55</v>
      </c>
      <c r="L1" s="7" t="s">
        <v>11</v>
      </c>
      <c r="M1" s="7" t="s">
        <v>12</v>
      </c>
    </row>
    <row r="2" spans="1:13" x14ac:dyDescent="0.35">
      <c r="A2" t="s">
        <v>56</v>
      </c>
      <c r="B2" t="s">
        <v>57</v>
      </c>
      <c r="C2">
        <v>5</v>
      </c>
      <c r="D2">
        <v>15</v>
      </c>
      <c r="E2">
        <f>C2*10000</f>
        <v>50000</v>
      </c>
      <c r="F2">
        <f>D2*10000</f>
        <v>150000</v>
      </c>
      <c r="G2" s="30">
        <f>(B13/100)*(C2)</f>
        <v>0.10003490989635372</v>
      </c>
      <c r="H2" s="30">
        <f>(B13/100)*D2</f>
        <v>0.30010472968906116</v>
      </c>
      <c r="I2" s="38">
        <f t="shared" ref="I2:J4" si="0">G2*10000</f>
        <v>1000.3490989635371</v>
      </c>
      <c r="J2" s="38">
        <f t="shared" si="0"/>
        <v>3001.0472968906115</v>
      </c>
      <c r="K2" s="4">
        <v>283</v>
      </c>
      <c r="L2" t="s">
        <v>15</v>
      </c>
      <c r="M2" s="10">
        <v>45313</v>
      </c>
    </row>
    <row r="3" spans="1:13" x14ac:dyDescent="0.35">
      <c r="A3" t="s">
        <v>58</v>
      </c>
      <c r="B3" t="s">
        <v>59</v>
      </c>
      <c r="C3">
        <v>3</v>
      </c>
      <c r="D3">
        <v>10</v>
      </c>
      <c r="E3">
        <f t="shared" ref="E3:E4" si="1">C3*10000</f>
        <v>30000</v>
      </c>
      <c r="F3">
        <f>D3*10000</f>
        <v>100000</v>
      </c>
      <c r="G3" s="30">
        <f>(B13/100)*C3</f>
        <v>6.0020945937812237E-2</v>
      </c>
      <c r="H3" s="30">
        <f>(B13/100)*D3</f>
        <v>0.20006981979270744</v>
      </c>
      <c r="I3" s="29">
        <f t="shared" si="0"/>
        <v>600.20945937812235</v>
      </c>
      <c r="J3" s="39">
        <f t="shared" si="0"/>
        <v>2000.6981979270743</v>
      </c>
    </row>
    <row r="4" spans="1:13" x14ac:dyDescent="0.35">
      <c r="A4" t="s">
        <v>60</v>
      </c>
      <c r="B4" t="s">
        <v>61</v>
      </c>
      <c r="C4">
        <v>1</v>
      </c>
      <c r="D4">
        <v>3</v>
      </c>
      <c r="E4">
        <f t="shared" si="1"/>
        <v>10000</v>
      </c>
      <c r="F4">
        <f>D4*10000</f>
        <v>30000</v>
      </c>
      <c r="G4" s="30">
        <f>(B13/100)*C4</f>
        <v>2.0006981979270744E-2</v>
      </c>
      <c r="H4" s="30">
        <f>(B13/100)*D4</f>
        <v>6.0020945937812237E-2</v>
      </c>
      <c r="I4" s="37">
        <f t="shared" si="0"/>
        <v>200.06981979270745</v>
      </c>
      <c r="J4" s="37">
        <f t="shared" si="0"/>
        <v>600.20945937812235</v>
      </c>
      <c r="K4" s="4">
        <v>13.57</v>
      </c>
      <c r="L4" t="s">
        <v>15</v>
      </c>
      <c r="M4" s="10">
        <v>45313</v>
      </c>
    </row>
    <row r="5" spans="1:13" x14ac:dyDescent="0.35">
      <c r="A5" t="s">
        <v>21</v>
      </c>
      <c r="B5" s="6" t="s">
        <v>42</v>
      </c>
      <c r="C5" s="6">
        <v>72</v>
      </c>
      <c r="D5">
        <v>91</v>
      </c>
    </row>
    <row r="13" spans="1:13" x14ac:dyDescent="0.35">
      <c r="A13" s="3" t="s">
        <v>23</v>
      </c>
      <c r="B13" s="13">
        <v>2.0006981979270746</v>
      </c>
      <c r="F13">
        <f>($B$20/100)*D13</f>
        <v>0</v>
      </c>
    </row>
    <row r="14" spans="1:13" x14ac:dyDescent="0.35">
      <c r="D14">
        <v>2.4000000000000001E-4</v>
      </c>
      <c r="F14">
        <f t="shared" ref="F14:F15" si="2">($B$20/100)*D14</f>
        <v>0</v>
      </c>
    </row>
    <row r="15" spans="1:13" x14ac:dyDescent="0.35">
      <c r="B15" s="3" t="s">
        <v>62</v>
      </c>
      <c r="D15">
        <v>2.4000000000000001E-4</v>
      </c>
      <c r="F15">
        <f t="shared" si="2"/>
        <v>0</v>
      </c>
    </row>
    <row r="16" spans="1:13" x14ac:dyDescent="0.35">
      <c r="A16" t="s">
        <v>25</v>
      </c>
      <c r="B16">
        <v>3</v>
      </c>
      <c r="E16" s="3"/>
    </row>
    <row r="17" spans="1:2" x14ac:dyDescent="0.35">
      <c r="A17" t="s">
        <v>26</v>
      </c>
      <c r="B17">
        <v>7.0000000000000007E-2</v>
      </c>
    </row>
    <row r="18" spans="1:2" x14ac:dyDescent="0.35">
      <c r="A18" t="s">
        <v>44</v>
      </c>
      <c r="B18" s="39">
        <f>J2</f>
        <v>3001.0472968906115</v>
      </c>
    </row>
    <row r="19" spans="1:2" x14ac:dyDescent="0.35">
      <c r="A19" t="s">
        <v>28</v>
      </c>
      <c r="B19" s="29">
        <f>B18*B17</f>
        <v>210.07331078234282</v>
      </c>
    </row>
    <row r="20" spans="1:2" x14ac:dyDescent="0.35">
      <c r="A20" t="s">
        <v>29</v>
      </c>
      <c r="B20">
        <v>0</v>
      </c>
    </row>
    <row r="21" spans="1:2" x14ac:dyDescent="0.35">
      <c r="A21" t="s">
        <v>45</v>
      </c>
      <c r="B21">
        <f>K2</f>
        <v>283</v>
      </c>
    </row>
    <row r="22" spans="1:2" x14ac:dyDescent="0.35">
      <c r="A22" t="s">
        <v>31</v>
      </c>
      <c r="B22">
        <v>283</v>
      </c>
    </row>
    <row r="23" spans="1:2" x14ac:dyDescent="0.35">
      <c r="A23" t="s">
        <v>32</v>
      </c>
      <c r="B23" s="31">
        <f>B19/B22</f>
        <v>0.74230851866552228</v>
      </c>
    </row>
    <row r="24" spans="1:2" x14ac:dyDescent="0.35">
      <c r="A24" t="s">
        <v>33</v>
      </c>
      <c r="B24" s="8" t="s">
        <v>34</v>
      </c>
    </row>
    <row r="26" spans="1:2" x14ac:dyDescent="0.35">
      <c r="A26" s="3" t="s">
        <v>63</v>
      </c>
    </row>
    <row r="27" spans="1:2" x14ac:dyDescent="0.35">
      <c r="A27" t="s">
        <v>25</v>
      </c>
      <c r="B27">
        <v>3</v>
      </c>
    </row>
    <row r="28" spans="1:2" x14ac:dyDescent="0.35">
      <c r="A28" t="s">
        <v>26</v>
      </c>
      <c r="B28">
        <v>7.0000000000000007E-2</v>
      </c>
    </row>
    <row r="29" spans="1:2" x14ac:dyDescent="0.35">
      <c r="A29" t="s">
        <v>44</v>
      </c>
      <c r="B29" s="29">
        <f>J4</f>
        <v>600.20945937812235</v>
      </c>
    </row>
    <row r="30" spans="1:2" x14ac:dyDescent="0.35">
      <c r="A30" t="s">
        <v>28</v>
      </c>
      <c r="B30" s="13">
        <f>B29*B28</f>
        <v>42.014662156468567</v>
      </c>
    </row>
    <row r="31" spans="1:2" x14ac:dyDescent="0.35">
      <c r="A31" t="s">
        <v>29</v>
      </c>
      <c r="B31">
        <v>0</v>
      </c>
    </row>
    <row r="32" spans="1:2" x14ac:dyDescent="0.35">
      <c r="A32" t="s">
        <v>45</v>
      </c>
      <c r="B32">
        <f>K4</f>
        <v>13.57</v>
      </c>
    </row>
    <row r="33" spans="1:2" x14ac:dyDescent="0.35">
      <c r="A33" t="s">
        <v>31</v>
      </c>
      <c r="B33">
        <v>13.57</v>
      </c>
    </row>
    <row r="34" spans="1:2" x14ac:dyDescent="0.35">
      <c r="A34" t="s">
        <v>32</v>
      </c>
      <c r="B34" s="30">
        <f>B30/B33</f>
        <v>3.096143121331508</v>
      </c>
    </row>
    <row r="35" spans="1:2" x14ac:dyDescent="0.35">
      <c r="A35" t="s">
        <v>33</v>
      </c>
      <c r="B35" s="4" t="s">
        <v>64</v>
      </c>
    </row>
    <row r="37" spans="1:2" x14ac:dyDescent="0.35">
      <c r="A37" t="s">
        <v>65</v>
      </c>
      <c r="B37" s="13">
        <f>B29/B32</f>
        <v>44.230616019021539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54F7-2D2D-454C-8D2D-B6BD26D54E4F}">
  <sheetPr>
    <tabColor theme="0"/>
  </sheetPr>
  <dimension ref="A1:M26"/>
  <sheetViews>
    <sheetView view="pageLayout" zoomScaleNormal="100" workbookViewId="0">
      <selection activeCell="H15" sqref="H15"/>
    </sheetView>
  </sheetViews>
  <sheetFormatPr defaultRowHeight="14.5" x14ac:dyDescent="0.35"/>
  <cols>
    <col min="1" max="1" width="26" customWidth="1"/>
    <col min="2" max="2" width="11.90625" customWidth="1"/>
    <col min="3" max="3" width="9.179687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1" max="11" width="25.1796875" customWidth="1"/>
    <col min="12" max="12" width="16.54296875" customWidth="1"/>
    <col min="13" max="13" width="25.1796875" customWidth="1"/>
  </cols>
  <sheetData>
    <row r="1" spans="1:13" s="2" customFormat="1" ht="43.5" x14ac:dyDescent="0.35">
      <c r="A1" s="7" t="s">
        <v>0</v>
      </c>
      <c r="B1" s="7" t="s">
        <v>1</v>
      </c>
      <c r="C1" s="7" t="s">
        <v>52</v>
      </c>
      <c r="D1" s="7" t="s">
        <v>53</v>
      </c>
      <c r="E1" s="7" t="s">
        <v>4</v>
      </c>
      <c r="F1" s="7" t="s">
        <v>36</v>
      </c>
      <c r="G1" s="7" t="s">
        <v>2</v>
      </c>
      <c r="H1" s="7" t="s">
        <v>66</v>
      </c>
      <c r="I1" s="7" t="s">
        <v>8</v>
      </c>
      <c r="J1" s="7" t="s">
        <v>9</v>
      </c>
      <c r="K1" s="7" t="s">
        <v>55</v>
      </c>
      <c r="L1" s="7" t="s">
        <v>11</v>
      </c>
      <c r="M1" s="7" t="s">
        <v>12</v>
      </c>
    </row>
    <row r="2" spans="1:13" x14ac:dyDescent="0.35">
      <c r="A2" t="s">
        <v>67</v>
      </c>
      <c r="B2" t="s">
        <v>68</v>
      </c>
      <c r="C2">
        <v>5</v>
      </c>
      <c r="D2">
        <v>15</v>
      </c>
      <c r="E2">
        <f>C2*10000</f>
        <v>50000</v>
      </c>
      <c r="F2">
        <f>D2*10000</f>
        <v>150000</v>
      </c>
      <c r="G2" s="31">
        <f>(B11/100)*C2</f>
        <v>0.1009678467816687</v>
      </c>
      <c r="H2" s="31">
        <f>(B11/100)*D2</f>
        <v>0.30290354034500611</v>
      </c>
      <c r="I2" s="38">
        <f>G2*10000</f>
        <v>1009.678467816687</v>
      </c>
      <c r="J2" s="38">
        <f>H2*10000</f>
        <v>3029.035403450061</v>
      </c>
      <c r="K2" s="4">
        <v>36</v>
      </c>
      <c r="L2" t="s">
        <v>69</v>
      </c>
      <c r="M2" s="10">
        <v>45294</v>
      </c>
    </row>
    <row r="3" spans="1:13" x14ac:dyDescent="0.35">
      <c r="A3" t="s">
        <v>70</v>
      </c>
      <c r="B3" t="s">
        <v>71</v>
      </c>
      <c r="C3">
        <v>3</v>
      </c>
      <c r="D3">
        <v>10</v>
      </c>
      <c r="E3">
        <f t="shared" ref="E3:E4" si="0">C3*10000</f>
        <v>30000</v>
      </c>
      <c r="F3">
        <f t="shared" ref="F3:F4" si="1">D3*10000</f>
        <v>100000</v>
      </c>
      <c r="G3" s="31">
        <f>(B11/100)*C3</f>
        <v>6.0580708069001225E-2</v>
      </c>
      <c r="H3" s="31">
        <f>(B11/100)*D3</f>
        <v>0.2019356935633374</v>
      </c>
      <c r="I3" s="37">
        <f>G3*10000</f>
        <v>605.8070806900123</v>
      </c>
      <c r="J3" s="38">
        <f t="shared" ref="J3:J4" si="2">H3*10000</f>
        <v>2019.356935633374</v>
      </c>
      <c r="K3" s="4">
        <v>180</v>
      </c>
      <c r="L3" t="s">
        <v>15</v>
      </c>
      <c r="M3" s="10">
        <v>45313</v>
      </c>
    </row>
    <row r="4" spans="1:13" x14ac:dyDescent="0.35">
      <c r="A4" t="s">
        <v>72</v>
      </c>
      <c r="B4" s="5" t="s">
        <v>73</v>
      </c>
      <c r="C4" s="6">
        <v>1</v>
      </c>
      <c r="D4">
        <v>5</v>
      </c>
      <c r="E4">
        <f t="shared" si="0"/>
        <v>10000</v>
      </c>
      <c r="F4">
        <f t="shared" si="1"/>
        <v>50000</v>
      </c>
      <c r="G4" s="31">
        <f>(B11/100)*C4</f>
        <v>2.0193569356333742E-2</v>
      </c>
      <c r="H4" s="31">
        <f>(B11/100)*D4</f>
        <v>0.1009678467816687</v>
      </c>
      <c r="I4" s="29">
        <f>G4*10000</f>
        <v>201.93569356333742</v>
      </c>
      <c r="J4" s="39">
        <f t="shared" si="2"/>
        <v>1009.678467816687</v>
      </c>
    </row>
    <row r="5" spans="1:13" x14ac:dyDescent="0.35">
      <c r="A5" t="s">
        <v>21</v>
      </c>
      <c r="B5" s="6" t="s">
        <v>42</v>
      </c>
      <c r="C5" s="6">
        <v>70</v>
      </c>
      <c r="D5">
        <v>91</v>
      </c>
    </row>
    <row r="11" spans="1:13" x14ac:dyDescent="0.35">
      <c r="A11" s="3" t="s">
        <v>23</v>
      </c>
      <c r="B11">
        <v>2.019356935633374</v>
      </c>
    </row>
    <row r="13" spans="1:13" x14ac:dyDescent="0.35">
      <c r="F13">
        <f>($B$20/100)*D13</f>
        <v>0</v>
      </c>
    </row>
    <row r="14" spans="1:13" x14ac:dyDescent="0.35">
      <c r="D14">
        <v>2.4000000000000001E-4</v>
      </c>
      <c r="F14">
        <f t="shared" ref="F14:F15" si="3">($B$20/100)*D14</f>
        <v>0</v>
      </c>
    </row>
    <row r="15" spans="1:13" x14ac:dyDescent="0.35">
      <c r="B15" s="3" t="s">
        <v>74</v>
      </c>
      <c r="D15">
        <v>2.4000000000000001E-4</v>
      </c>
      <c r="F15">
        <f t="shared" si="3"/>
        <v>0</v>
      </c>
    </row>
    <row r="16" spans="1:13" x14ac:dyDescent="0.35">
      <c r="A16" t="s">
        <v>25</v>
      </c>
      <c r="B16">
        <v>3</v>
      </c>
    </row>
    <row r="17" spans="1:5" x14ac:dyDescent="0.35">
      <c r="A17" t="s">
        <v>26</v>
      </c>
      <c r="B17">
        <v>7.0000000000000007E-2</v>
      </c>
      <c r="D17">
        <v>7.0000000000000007E-2</v>
      </c>
    </row>
    <row r="18" spans="1:5" x14ac:dyDescent="0.35">
      <c r="A18" t="s">
        <v>44</v>
      </c>
      <c r="B18">
        <f>J2</f>
        <v>3029.035403450061</v>
      </c>
      <c r="D18">
        <f>I3</f>
        <v>605.8070806900123</v>
      </c>
    </row>
    <row r="19" spans="1:5" x14ac:dyDescent="0.35">
      <c r="A19" s="9" t="s">
        <v>75</v>
      </c>
      <c r="B19">
        <f>B17*B18</f>
        <v>212.03247824150429</v>
      </c>
      <c r="D19">
        <f>D17*D18</f>
        <v>42.406495648300861</v>
      </c>
      <c r="E19" s="9"/>
    </row>
    <row r="20" spans="1:5" x14ac:dyDescent="0.35">
      <c r="A20" t="s">
        <v>29</v>
      </c>
      <c r="B20">
        <v>0</v>
      </c>
      <c r="D20">
        <v>0</v>
      </c>
    </row>
    <row r="21" spans="1:5" x14ac:dyDescent="0.35">
      <c r="A21" t="s">
        <v>45</v>
      </c>
      <c r="B21">
        <v>36</v>
      </c>
      <c r="D21">
        <v>180</v>
      </c>
    </row>
    <row r="22" spans="1:5" x14ac:dyDescent="0.35">
      <c r="A22" s="9" t="s">
        <v>76</v>
      </c>
      <c r="B22">
        <v>36</v>
      </c>
      <c r="D22">
        <v>180</v>
      </c>
      <c r="E22" s="9"/>
    </row>
    <row r="23" spans="1:5" x14ac:dyDescent="0.35">
      <c r="A23" s="9" t="s">
        <v>77</v>
      </c>
      <c r="B23">
        <f>B19/B22</f>
        <v>5.8897910622640079</v>
      </c>
      <c r="D23">
        <f>D19/D22</f>
        <v>0.23559164249056033</v>
      </c>
      <c r="E23" s="9"/>
    </row>
    <row r="24" spans="1:5" x14ac:dyDescent="0.35">
      <c r="A24" t="s">
        <v>33</v>
      </c>
      <c r="B24" s="4" t="s">
        <v>64</v>
      </c>
      <c r="D24" s="8" t="s">
        <v>34</v>
      </c>
    </row>
    <row r="26" spans="1:5" x14ac:dyDescent="0.35">
      <c r="A26" t="s">
        <v>65</v>
      </c>
      <c r="B26">
        <f>B18/B21</f>
        <v>84.139872318057257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8F1F-5BE2-4F26-A96C-95CCC3F0A508}">
  <sheetPr>
    <tabColor theme="0"/>
  </sheetPr>
  <dimension ref="A1:N34"/>
  <sheetViews>
    <sheetView view="pageLayout" topLeftCell="A12" zoomScaleNormal="100" workbookViewId="0">
      <selection activeCell="H15" sqref="H15"/>
    </sheetView>
  </sheetViews>
  <sheetFormatPr defaultRowHeight="14.5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1" max="11" width="10.1796875" customWidth="1"/>
    <col min="12" max="12" width="16.54296875" customWidth="1"/>
    <col min="13" max="13" width="20.453125" customWidth="1"/>
    <col min="14" max="14" width="106.7265625" customWidth="1"/>
    <col min="15" max="15" width="12" customWidth="1"/>
  </cols>
  <sheetData>
    <row r="1" spans="1:14" s="2" customFormat="1" ht="43.5" x14ac:dyDescent="0.35">
      <c r="A1" s="7" t="s">
        <v>0</v>
      </c>
      <c r="B1" s="7" t="s">
        <v>1</v>
      </c>
      <c r="C1" s="7" t="s">
        <v>78</v>
      </c>
      <c r="D1" s="7" t="s">
        <v>79</v>
      </c>
      <c r="E1" s="7" t="s">
        <v>4</v>
      </c>
      <c r="F1" s="7" t="s">
        <v>36</v>
      </c>
      <c r="G1" s="7" t="s">
        <v>80</v>
      </c>
      <c r="H1" s="7" t="s">
        <v>81</v>
      </c>
      <c r="I1" s="40" t="s">
        <v>82</v>
      </c>
      <c r="J1" s="40" t="s">
        <v>10</v>
      </c>
      <c r="K1" s="40" t="s">
        <v>83</v>
      </c>
      <c r="L1" s="40" t="s">
        <v>11</v>
      </c>
      <c r="M1" s="40" t="s">
        <v>12</v>
      </c>
    </row>
    <row r="2" spans="1:14" x14ac:dyDescent="0.35">
      <c r="A2" t="s">
        <v>84</v>
      </c>
      <c r="B2" t="s">
        <v>85</v>
      </c>
      <c r="C2" t="s">
        <v>86</v>
      </c>
      <c r="E2">
        <v>940000</v>
      </c>
      <c r="F2">
        <v>990000</v>
      </c>
      <c r="G2" s="31">
        <f>(B21/100)*94</f>
        <v>0.4034019092101937</v>
      </c>
      <c r="H2" s="31">
        <f>(B21/100)*99</f>
        <v>0.42485945757243804</v>
      </c>
      <c r="I2" s="38">
        <f>H2*10000</f>
        <v>4248.5945757243808</v>
      </c>
      <c r="J2" s="4">
        <v>0.25</v>
      </c>
      <c r="L2" t="s">
        <v>87</v>
      </c>
      <c r="M2" s="10">
        <v>45294</v>
      </c>
    </row>
    <row r="3" spans="1:14" ht="14.25" customHeight="1" x14ac:dyDescent="0.35">
      <c r="A3" t="s">
        <v>88</v>
      </c>
      <c r="C3" t="s">
        <v>89</v>
      </c>
      <c r="D3">
        <v>0.05</v>
      </c>
      <c r="F3">
        <f t="shared" ref="F3:F12" si="0">D3*10000</f>
        <v>500</v>
      </c>
      <c r="H3" s="31">
        <f>(B21/100)*D3</f>
        <v>2.1457548362244347E-4</v>
      </c>
      <c r="I3" s="36">
        <f t="shared" ref="I3:I14" si="1">H3*10000</f>
        <v>2.1457548362244347</v>
      </c>
    </row>
    <row r="4" spans="1:14" x14ac:dyDescent="0.35">
      <c r="A4" t="s">
        <v>90</v>
      </c>
      <c r="B4" s="5" t="s">
        <v>91</v>
      </c>
      <c r="C4" t="s">
        <v>92</v>
      </c>
      <c r="D4">
        <v>0.01</v>
      </c>
      <c r="F4">
        <f t="shared" si="0"/>
        <v>100</v>
      </c>
      <c r="H4" s="32">
        <f>(B21/100)*D4</f>
        <v>4.2915096724488687E-5</v>
      </c>
      <c r="I4" s="36">
        <f t="shared" si="1"/>
        <v>0.42915096724488688</v>
      </c>
    </row>
    <row r="5" spans="1:14" x14ac:dyDescent="0.35">
      <c r="A5" t="s">
        <v>93</v>
      </c>
      <c r="B5" s="6" t="s">
        <v>94</v>
      </c>
      <c r="C5" t="s">
        <v>95</v>
      </c>
      <c r="D5">
        <v>2.5000000000000001E-3</v>
      </c>
      <c r="F5">
        <f t="shared" si="0"/>
        <v>25</v>
      </c>
      <c r="H5" s="32">
        <f>(B21/100)*D5</f>
        <v>1.0728774181122172E-5</v>
      </c>
      <c r="I5" s="36">
        <f t="shared" si="1"/>
        <v>0.10728774181122172</v>
      </c>
    </row>
    <row r="6" spans="1:14" x14ac:dyDescent="0.35">
      <c r="A6" t="s">
        <v>96</v>
      </c>
      <c r="B6" s="6" t="s">
        <v>97</v>
      </c>
      <c r="C6" t="s">
        <v>98</v>
      </c>
      <c r="D6">
        <v>1.5E-3</v>
      </c>
      <c r="F6">
        <f t="shared" si="0"/>
        <v>15</v>
      </c>
      <c r="H6" s="32">
        <f>(B21/100)*D6</f>
        <v>6.4372645086733037E-6</v>
      </c>
      <c r="I6" s="36">
        <f t="shared" si="1"/>
        <v>6.4372645086733044E-2</v>
      </c>
    </row>
    <row r="7" spans="1:14" x14ac:dyDescent="0.35">
      <c r="A7" t="s">
        <v>99</v>
      </c>
      <c r="B7" s="6" t="s">
        <v>100</v>
      </c>
      <c r="C7" t="s">
        <v>101</v>
      </c>
      <c r="D7">
        <v>5.0000000000000001E-4</v>
      </c>
      <c r="F7">
        <f t="shared" si="0"/>
        <v>5</v>
      </c>
      <c r="H7" s="32">
        <f>(B21/100)*D7</f>
        <v>2.1457548362244344E-6</v>
      </c>
      <c r="I7" s="36">
        <f t="shared" si="1"/>
        <v>2.1457548362244346E-2</v>
      </c>
      <c r="K7" s="8">
        <v>23</v>
      </c>
      <c r="L7" t="s">
        <v>102</v>
      </c>
      <c r="M7" s="10">
        <v>44930</v>
      </c>
      <c r="N7" s="3"/>
    </row>
    <row r="8" spans="1:14" x14ac:dyDescent="0.35">
      <c r="A8" t="s">
        <v>103</v>
      </c>
      <c r="B8" t="s">
        <v>104</v>
      </c>
      <c r="C8" t="s">
        <v>105</v>
      </c>
      <c r="D8">
        <v>4.0000000000000001E-3</v>
      </c>
      <c r="F8">
        <f t="shared" si="0"/>
        <v>40</v>
      </c>
      <c r="H8" s="32">
        <f>(B21/100)*D8</f>
        <v>1.7166038689795475E-5</v>
      </c>
      <c r="I8" s="36">
        <f t="shared" si="1"/>
        <v>0.17166038689795476</v>
      </c>
      <c r="K8" s="8">
        <v>1000</v>
      </c>
      <c r="L8" t="s">
        <v>102</v>
      </c>
      <c r="M8" s="10">
        <v>45294</v>
      </c>
    </row>
    <row r="9" spans="1:14" x14ac:dyDescent="0.35">
      <c r="A9" t="s">
        <v>106</v>
      </c>
      <c r="B9" t="s">
        <v>107</v>
      </c>
      <c r="C9" t="s">
        <v>108</v>
      </c>
      <c r="D9">
        <v>1E-4</v>
      </c>
      <c r="F9">
        <f t="shared" si="0"/>
        <v>1</v>
      </c>
      <c r="H9" s="32">
        <f>(B21/100)*D9</f>
        <v>4.2915096724488693E-7</v>
      </c>
      <c r="I9" s="36">
        <f t="shared" si="1"/>
        <v>4.2915096724488689E-3</v>
      </c>
      <c r="J9" s="8">
        <v>11.3</v>
      </c>
      <c r="L9" t="s">
        <v>15</v>
      </c>
      <c r="M9" s="10">
        <v>45294</v>
      </c>
      <c r="N9" s="10"/>
    </row>
    <row r="10" spans="1:14" x14ac:dyDescent="0.35">
      <c r="A10" t="s">
        <v>109</v>
      </c>
      <c r="B10" t="s">
        <v>110</v>
      </c>
      <c r="C10" t="s">
        <v>108</v>
      </c>
      <c r="D10">
        <v>1E-4</v>
      </c>
      <c r="F10">
        <f t="shared" si="0"/>
        <v>1</v>
      </c>
      <c r="H10" s="32">
        <f>(B21/100)*D10</f>
        <v>4.2915096724488693E-7</v>
      </c>
      <c r="I10" s="36">
        <f t="shared" si="1"/>
        <v>4.2915096724488689E-3</v>
      </c>
      <c r="J10" s="8">
        <v>4.7</v>
      </c>
      <c r="L10" t="s">
        <v>15</v>
      </c>
      <c r="M10" s="10">
        <v>45294</v>
      </c>
      <c r="N10" s="10"/>
    </row>
    <row r="11" spans="1:14" x14ac:dyDescent="0.35">
      <c r="A11" t="s">
        <v>111</v>
      </c>
      <c r="B11" t="s">
        <v>112</v>
      </c>
      <c r="C11" t="s">
        <v>113</v>
      </c>
      <c r="D11">
        <v>5.0000000000000004E-6</v>
      </c>
      <c r="F11">
        <f t="shared" si="0"/>
        <v>0.05</v>
      </c>
      <c r="H11" s="32">
        <f>(B21/100)*D11</f>
        <v>2.1457548362244348E-8</v>
      </c>
      <c r="I11" s="36">
        <f>H11*10000</f>
        <v>2.1457548362244347E-4</v>
      </c>
      <c r="J11" s="8">
        <v>0.2</v>
      </c>
      <c r="L11" t="s">
        <v>114</v>
      </c>
      <c r="M11" s="10">
        <v>45294</v>
      </c>
    </row>
    <row r="12" spans="1:14" x14ac:dyDescent="0.35">
      <c r="A12" t="s">
        <v>115</v>
      </c>
      <c r="B12" t="s">
        <v>116</v>
      </c>
      <c r="C12" t="s">
        <v>101</v>
      </c>
      <c r="D12">
        <v>5.0000000000000001E-4</v>
      </c>
      <c r="F12">
        <f t="shared" si="0"/>
        <v>5</v>
      </c>
      <c r="H12" s="32">
        <f>(B21/100)*D12</f>
        <v>2.1457548362244344E-6</v>
      </c>
      <c r="I12" s="36">
        <f t="shared" si="1"/>
        <v>2.1457548362244346E-2</v>
      </c>
      <c r="J12" s="8">
        <v>3.3</v>
      </c>
      <c r="L12" t="s">
        <v>15</v>
      </c>
      <c r="M12" s="10">
        <v>45294</v>
      </c>
    </row>
    <row r="13" spans="1:14" x14ac:dyDescent="0.35">
      <c r="A13" t="s">
        <v>117</v>
      </c>
      <c r="B13" t="s">
        <v>118</v>
      </c>
      <c r="C13" t="s">
        <v>119</v>
      </c>
      <c r="D13">
        <v>6.9999999999999994E-5</v>
      </c>
      <c r="F13">
        <f>($B$20/100)*D13</f>
        <v>0</v>
      </c>
      <c r="H13" s="32">
        <f>(B21/100)*D13</f>
        <v>3.0040567707142078E-7</v>
      </c>
      <c r="I13" s="36">
        <f t="shared" si="1"/>
        <v>3.0040567707142079E-3</v>
      </c>
      <c r="J13" s="8">
        <v>6.7000000000000004E-2</v>
      </c>
      <c r="L13" t="s">
        <v>114</v>
      </c>
      <c r="M13" s="10">
        <v>45294</v>
      </c>
    </row>
    <row r="14" spans="1:14" x14ac:dyDescent="0.35">
      <c r="B14" t="s">
        <v>120</v>
      </c>
      <c r="C14" t="s">
        <v>101</v>
      </c>
      <c r="D14">
        <v>2.4000000000000001E-4</v>
      </c>
      <c r="F14">
        <f t="shared" ref="F14:F15" si="2">($B$20/100)*D14</f>
        <v>0</v>
      </c>
      <c r="H14" s="32" t="e">
        <f>(B21/100)*#REF!</f>
        <v>#REF!</v>
      </c>
      <c r="I14" s="36" t="e">
        <f t="shared" si="1"/>
        <v>#REF!</v>
      </c>
      <c r="J14" s="8">
        <v>2</v>
      </c>
      <c r="L14" t="s">
        <v>15</v>
      </c>
      <c r="M14" s="10">
        <v>45294</v>
      </c>
    </row>
    <row r="15" spans="1:14" x14ac:dyDescent="0.35">
      <c r="D15">
        <v>2.4000000000000001E-4</v>
      </c>
      <c r="F15">
        <f t="shared" si="2"/>
        <v>0</v>
      </c>
    </row>
    <row r="21" spans="1:2" x14ac:dyDescent="0.35">
      <c r="A21" s="3" t="s">
        <v>23</v>
      </c>
      <c r="B21" s="30">
        <v>0.42915096724488688</v>
      </c>
    </row>
    <row r="23" spans="1:2" x14ac:dyDescent="0.35">
      <c r="A23" s="3" t="s">
        <v>121</v>
      </c>
    </row>
    <row r="24" spans="1:2" x14ac:dyDescent="0.35">
      <c r="A24" t="s">
        <v>25</v>
      </c>
      <c r="B24">
        <v>3</v>
      </c>
    </row>
    <row r="25" spans="1:2" x14ac:dyDescent="0.35">
      <c r="A25" t="s">
        <v>26</v>
      </c>
      <c r="B25">
        <v>7.0000000000000007E-2</v>
      </c>
    </row>
    <row r="26" spans="1:2" x14ac:dyDescent="0.35">
      <c r="A26" t="s">
        <v>27</v>
      </c>
      <c r="B26" s="39">
        <f>I2</f>
        <v>4248.5945757243808</v>
      </c>
    </row>
    <row r="27" spans="1:2" x14ac:dyDescent="0.35">
      <c r="A27" t="s">
        <v>28</v>
      </c>
      <c r="B27" s="29">
        <f>B26*B25</f>
        <v>297.40162030070667</v>
      </c>
    </row>
    <row r="28" spans="1:2" x14ac:dyDescent="0.35">
      <c r="A28" t="s">
        <v>29</v>
      </c>
      <c r="B28">
        <v>0</v>
      </c>
    </row>
    <row r="29" spans="1:2" x14ac:dyDescent="0.35">
      <c r="A29" t="s">
        <v>30</v>
      </c>
      <c r="B29">
        <v>0.25</v>
      </c>
    </row>
    <row r="30" spans="1:2" x14ac:dyDescent="0.35">
      <c r="A30" t="s">
        <v>31</v>
      </c>
      <c r="B30">
        <v>0.25</v>
      </c>
    </row>
    <row r="31" spans="1:2" x14ac:dyDescent="0.35">
      <c r="A31" t="s">
        <v>32</v>
      </c>
      <c r="B31" s="39">
        <f>B27/B30</f>
        <v>1189.6064812028267</v>
      </c>
    </row>
    <row r="32" spans="1:2" x14ac:dyDescent="0.35">
      <c r="A32" t="s">
        <v>33</v>
      </c>
      <c r="B32" s="4" t="s">
        <v>64</v>
      </c>
    </row>
    <row r="34" spans="1:2" x14ac:dyDescent="0.35">
      <c r="A34" t="s">
        <v>65</v>
      </c>
      <c r="B34" s="39">
        <f>B26/B29</f>
        <v>16994.378302897523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C502-ECCF-4164-8B0A-650E6115E0CE}">
  <sheetPr>
    <tabColor theme="0"/>
  </sheetPr>
  <dimension ref="A1:K20"/>
  <sheetViews>
    <sheetView view="pageLayout" zoomScaleNormal="100" workbookViewId="0">
      <selection activeCell="G14" sqref="G14:G15"/>
    </sheetView>
  </sheetViews>
  <sheetFormatPr defaultColWidth="8.7265625" defaultRowHeight="14.5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1" max="11" width="11.7265625" customWidth="1"/>
    <col min="12" max="12" width="16.54296875" customWidth="1"/>
  </cols>
  <sheetData>
    <row r="1" spans="1:11" s="2" customFormat="1" ht="43.5" x14ac:dyDescent="0.35">
      <c r="A1" s="7" t="s">
        <v>0</v>
      </c>
      <c r="B1" s="7" t="s">
        <v>1</v>
      </c>
      <c r="C1" s="7" t="s">
        <v>78</v>
      </c>
      <c r="D1" s="7" t="s">
        <v>122</v>
      </c>
      <c r="E1" s="7" t="s">
        <v>123</v>
      </c>
      <c r="F1" s="7" t="s">
        <v>124</v>
      </c>
      <c r="G1" s="7" t="s">
        <v>9</v>
      </c>
      <c r="H1" s="7" t="s">
        <v>10</v>
      </c>
      <c r="I1" s="7" t="s">
        <v>83</v>
      </c>
      <c r="J1" s="7" t="s">
        <v>11</v>
      </c>
      <c r="K1" s="7" t="s">
        <v>12</v>
      </c>
    </row>
    <row r="2" spans="1:11" x14ac:dyDescent="0.35">
      <c r="A2" t="s">
        <v>58</v>
      </c>
      <c r="B2" t="s">
        <v>125</v>
      </c>
      <c r="C2" t="s">
        <v>126</v>
      </c>
      <c r="D2">
        <v>51</v>
      </c>
      <c r="E2">
        <f>D2*10000</f>
        <v>510000</v>
      </c>
      <c r="F2" s="31">
        <f>(B20/100)*51</f>
        <v>0.58876142095316053</v>
      </c>
      <c r="G2" s="39">
        <f>10000*F2</f>
        <v>5887.6142095316054</v>
      </c>
    </row>
    <row r="3" spans="1:11" x14ac:dyDescent="0.35">
      <c r="A3" t="s">
        <v>127</v>
      </c>
      <c r="B3" s="6" t="s">
        <v>128</v>
      </c>
      <c r="C3" t="s">
        <v>129</v>
      </c>
      <c r="D3">
        <v>0.1</v>
      </c>
      <c r="E3">
        <f t="shared" ref="E3:E13" si="0">D3*10000</f>
        <v>1000</v>
      </c>
      <c r="F3" s="31">
        <f>(B20/100)*D3</f>
        <v>1.1544341587316875E-3</v>
      </c>
      <c r="G3" s="13">
        <f>10000*F3</f>
        <v>11.544341587316875</v>
      </c>
      <c r="H3" s="3"/>
    </row>
    <row r="4" spans="1:11" x14ac:dyDescent="0.35">
      <c r="A4" t="s">
        <v>130</v>
      </c>
      <c r="B4" s="6" t="s">
        <v>131</v>
      </c>
      <c r="C4" t="s">
        <v>92</v>
      </c>
      <c r="D4">
        <v>0.01</v>
      </c>
      <c r="E4">
        <f t="shared" si="0"/>
        <v>100</v>
      </c>
      <c r="F4" s="31">
        <f>(B20/100)*D4</f>
        <v>1.1544341587316873E-4</v>
      </c>
      <c r="G4" s="30">
        <f t="shared" ref="G4" si="1">10000*F4</f>
        <v>1.1544341587316873</v>
      </c>
    </row>
    <row r="5" spans="1:11" x14ac:dyDescent="0.35">
      <c r="A5" t="s">
        <v>132</v>
      </c>
      <c r="B5" t="s">
        <v>133</v>
      </c>
      <c r="C5" t="s">
        <v>92</v>
      </c>
      <c r="D5">
        <v>0.01</v>
      </c>
      <c r="E5">
        <f t="shared" si="0"/>
        <v>100</v>
      </c>
      <c r="F5" s="31">
        <f>($B$20/100)*D5</f>
        <v>1.1544341587316873E-4</v>
      </c>
      <c r="G5" s="36">
        <f t="shared" ref="G5:G15" si="2">10000*F5</f>
        <v>1.1544341587316873</v>
      </c>
      <c r="H5" s="8">
        <v>1109</v>
      </c>
      <c r="J5" t="s">
        <v>15</v>
      </c>
      <c r="K5" s="10">
        <v>45294</v>
      </c>
    </row>
    <row r="6" spans="1:11" x14ac:dyDescent="0.35">
      <c r="A6" t="s">
        <v>134</v>
      </c>
      <c r="B6" s="6" t="s">
        <v>135</v>
      </c>
      <c r="C6" t="s">
        <v>136</v>
      </c>
      <c r="D6">
        <v>6.0000000000000001E-3</v>
      </c>
      <c r="E6">
        <f t="shared" si="0"/>
        <v>60</v>
      </c>
      <c r="F6" s="32">
        <f>($B$20/100)*D6</f>
        <v>6.926604952390124E-5</v>
      </c>
      <c r="G6" s="36">
        <f t="shared" si="2"/>
        <v>0.69266049523901241</v>
      </c>
      <c r="H6" s="8">
        <v>240</v>
      </c>
      <c r="J6" t="s">
        <v>15</v>
      </c>
      <c r="K6" s="10">
        <v>45294</v>
      </c>
    </row>
    <row r="7" spans="1:11" x14ac:dyDescent="0.35">
      <c r="A7" t="s">
        <v>137</v>
      </c>
      <c r="B7" t="s">
        <v>104</v>
      </c>
      <c r="C7" t="s">
        <v>101</v>
      </c>
      <c r="D7">
        <v>5.0000000000000001E-4</v>
      </c>
      <c r="E7">
        <f t="shared" si="0"/>
        <v>5</v>
      </c>
      <c r="F7" s="32">
        <f t="shared" ref="F7:F12" si="3">($B$20/100)*D7</f>
        <v>5.7721707936584366E-6</v>
      </c>
      <c r="G7" s="36">
        <f t="shared" si="2"/>
        <v>5.772170793658437E-2</v>
      </c>
      <c r="I7" s="8">
        <v>1000</v>
      </c>
      <c r="J7" t="s">
        <v>102</v>
      </c>
      <c r="K7" s="10">
        <v>45294</v>
      </c>
    </row>
    <row r="8" spans="1:11" x14ac:dyDescent="0.35">
      <c r="A8" t="s">
        <v>138</v>
      </c>
      <c r="B8" t="s">
        <v>118</v>
      </c>
      <c r="C8" t="s">
        <v>113</v>
      </c>
      <c r="D8">
        <v>5.0000000000000004E-6</v>
      </c>
      <c r="E8">
        <f t="shared" si="0"/>
        <v>0.05</v>
      </c>
      <c r="F8" s="32">
        <f t="shared" si="3"/>
        <v>5.7721707936584376E-8</v>
      </c>
      <c r="G8" s="36">
        <f t="shared" si="2"/>
        <v>5.7721707936584374E-4</v>
      </c>
      <c r="H8" s="8">
        <v>7.0000000000000007E-2</v>
      </c>
      <c r="J8" t="s">
        <v>114</v>
      </c>
      <c r="K8" s="10">
        <v>45294</v>
      </c>
    </row>
    <row r="9" spans="1:11" x14ac:dyDescent="0.35">
      <c r="A9" t="s">
        <v>139</v>
      </c>
      <c r="B9" t="s">
        <v>140</v>
      </c>
      <c r="C9" t="s">
        <v>108</v>
      </c>
      <c r="D9">
        <v>1E-4</v>
      </c>
      <c r="E9">
        <f t="shared" si="0"/>
        <v>1</v>
      </c>
      <c r="F9" s="32">
        <f t="shared" si="3"/>
        <v>1.1544341587316873E-6</v>
      </c>
      <c r="G9" s="36">
        <f t="shared" si="2"/>
        <v>1.1544341587316874E-2</v>
      </c>
      <c r="H9" s="8">
        <v>8.6</v>
      </c>
      <c r="J9" t="s">
        <v>114</v>
      </c>
      <c r="K9" s="10">
        <v>45294</v>
      </c>
    </row>
    <row r="10" spans="1:11" x14ac:dyDescent="0.35">
      <c r="A10" t="s">
        <v>141</v>
      </c>
      <c r="B10" t="s">
        <v>112</v>
      </c>
      <c r="C10" t="s">
        <v>142</v>
      </c>
      <c r="D10">
        <v>5.0000000000000002E-5</v>
      </c>
      <c r="E10">
        <f t="shared" si="0"/>
        <v>0.5</v>
      </c>
      <c r="F10" s="32">
        <f t="shared" si="3"/>
        <v>5.7721707936584366E-7</v>
      </c>
      <c r="G10" s="36">
        <f t="shared" si="2"/>
        <v>5.7721707936584368E-3</v>
      </c>
      <c r="H10" s="8">
        <v>0.2</v>
      </c>
      <c r="J10" t="s">
        <v>114</v>
      </c>
      <c r="K10" s="10">
        <v>45294</v>
      </c>
    </row>
    <row r="11" spans="1:11" x14ac:dyDescent="0.35">
      <c r="A11" t="s">
        <v>143</v>
      </c>
      <c r="B11" t="s">
        <v>110</v>
      </c>
      <c r="C11" t="s">
        <v>108</v>
      </c>
      <c r="D11">
        <v>1E-4</v>
      </c>
      <c r="E11">
        <f t="shared" si="0"/>
        <v>1</v>
      </c>
      <c r="F11" s="32">
        <f t="shared" si="3"/>
        <v>1.1544341587316873E-6</v>
      </c>
      <c r="G11" s="36">
        <f t="shared" si="2"/>
        <v>1.1544341587316874E-2</v>
      </c>
      <c r="H11" s="8">
        <v>4.7</v>
      </c>
      <c r="J11" t="s">
        <v>15</v>
      </c>
      <c r="K11" s="10">
        <v>45294</v>
      </c>
    </row>
    <row r="12" spans="1:11" x14ac:dyDescent="0.35">
      <c r="A12" t="s">
        <v>144</v>
      </c>
      <c r="B12" t="s">
        <v>145</v>
      </c>
      <c r="C12" t="s">
        <v>142</v>
      </c>
      <c r="D12">
        <v>5.0000000000000002E-5</v>
      </c>
      <c r="E12">
        <f t="shared" si="0"/>
        <v>0.5</v>
      </c>
      <c r="F12" s="32">
        <f t="shared" si="3"/>
        <v>5.7721707936584366E-7</v>
      </c>
      <c r="G12" s="36">
        <f t="shared" si="2"/>
        <v>5.7721707936584368E-3</v>
      </c>
      <c r="H12" s="8">
        <v>0.6</v>
      </c>
      <c r="J12" t="s">
        <v>15</v>
      </c>
      <c r="K12" s="10">
        <v>45294</v>
      </c>
    </row>
    <row r="13" spans="1:11" x14ac:dyDescent="0.35">
      <c r="A13" t="s">
        <v>146</v>
      </c>
      <c r="B13" t="s">
        <v>116</v>
      </c>
      <c r="C13" t="s">
        <v>147</v>
      </c>
      <c r="D13">
        <v>2.5000000000000001E-5</v>
      </c>
      <c r="E13">
        <f t="shared" si="0"/>
        <v>0.25</v>
      </c>
      <c r="F13" s="32">
        <f>($B$20/100)*D13</f>
        <v>2.8860853968292183E-7</v>
      </c>
      <c r="G13" s="36">
        <f t="shared" si="2"/>
        <v>2.8860853968292184E-3</v>
      </c>
      <c r="H13" s="8">
        <v>3.3</v>
      </c>
      <c r="J13" t="s">
        <v>15</v>
      </c>
      <c r="K13" s="10">
        <v>45294</v>
      </c>
    </row>
    <row r="14" spans="1:11" x14ac:dyDescent="0.35">
      <c r="B14" t="s">
        <v>148</v>
      </c>
      <c r="C14" t="s">
        <v>149</v>
      </c>
      <c r="D14">
        <v>2.4000000000000001E-4</v>
      </c>
      <c r="F14" s="32">
        <f t="shared" ref="F14:F15" si="4">($B$20/100)*D14</f>
        <v>2.7706419809560499E-6</v>
      </c>
      <c r="G14" s="36">
        <f t="shared" si="2"/>
        <v>2.7706419809560498E-2</v>
      </c>
      <c r="H14" s="8">
        <v>11.3</v>
      </c>
      <c r="J14" t="s">
        <v>15</v>
      </c>
      <c r="K14" s="10">
        <v>45294</v>
      </c>
    </row>
    <row r="15" spans="1:11" x14ac:dyDescent="0.35">
      <c r="B15" t="s">
        <v>150</v>
      </c>
      <c r="C15" t="s">
        <v>149</v>
      </c>
      <c r="D15">
        <v>2.4000000000000001E-4</v>
      </c>
      <c r="F15" s="32">
        <f t="shared" si="4"/>
        <v>2.7706419809560499E-6</v>
      </c>
      <c r="G15" s="36">
        <f t="shared" si="2"/>
        <v>2.7706419809560498E-2</v>
      </c>
      <c r="H15" s="8">
        <v>2</v>
      </c>
      <c r="J15" t="s">
        <v>15</v>
      </c>
      <c r="K15" s="10">
        <v>45294</v>
      </c>
    </row>
    <row r="18" spans="1:7" ht="13" customHeight="1" x14ac:dyDescent="0.35">
      <c r="G18" s="3"/>
    </row>
    <row r="19" spans="1:7" ht="13.5" customHeight="1" x14ac:dyDescent="0.35"/>
    <row r="20" spans="1:7" x14ac:dyDescent="0.35">
      <c r="A20" s="3" t="s">
        <v>23</v>
      </c>
      <c r="B20" s="30">
        <v>1.1544341587316873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B03A5-1F6F-4AA6-A1C4-8C6ED21002CE}">
  <dimension ref="A1:F15"/>
  <sheetViews>
    <sheetView view="pageLayout" zoomScaleNormal="100" workbookViewId="0">
      <selection activeCell="H15" sqref="H15"/>
    </sheetView>
  </sheetViews>
  <sheetFormatPr defaultColWidth="8.7265625" defaultRowHeight="14.5" x14ac:dyDescent="0.35"/>
  <cols>
    <col min="1" max="1" width="26.6328125" customWidth="1"/>
    <col min="2" max="2" width="11.90625" customWidth="1"/>
    <col min="3" max="3" width="9.453125" customWidth="1"/>
    <col min="4" max="4" width="13.6328125" customWidth="1"/>
    <col min="5" max="5" width="13.1796875" customWidth="1"/>
    <col min="6" max="6" width="14.81640625" customWidth="1"/>
    <col min="7" max="7" width="8.7265625" customWidth="1"/>
    <col min="8" max="8" width="7.453125" customWidth="1"/>
    <col min="9" max="9" width="12.26953125" customWidth="1"/>
    <col min="10" max="10" width="11.453125" customWidth="1"/>
    <col min="12" max="12" width="16.54296875" customWidth="1"/>
  </cols>
  <sheetData>
    <row r="1" spans="1:6" s="2" customFormat="1" x14ac:dyDescent="0.35"/>
    <row r="2" spans="1:6" x14ac:dyDescent="0.35">
      <c r="A2" s="14" t="s">
        <v>151</v>
      </c>
      <c r="B2" s="17" t="s">
        <v>141</v>
      </c>
      <c r="C2" s="17" t="s">
        <v>138</v>
      </c>
    </row>
    <row r="3" spans="1:6" ht="29" x14ac:dyDescent="0.35">
      <c r="A3" s="14" t="s">
        <v>152</v>
      </c>
      <c r="B3" s="15">
        <f>0.000214575+0.005772171</f>
        <v>5.9867460000000003E-3</v>
      </c>
      <c r="C3" s="15">
        <f>0.003004057+0.005772171</f>
        <v>8.7762280000000005E-3</v>
      </c>
    </row>
    <row r="4" spans="1:6" x14ac:dyDescent="0.35">
      <c r="A4" s="14" t="s">
        <v>153</v>
      </c>
      <c r="B4" s="15">
        <f>70*60*60*5</f>
        <v>1260000</v>
      </c>
      <c r="C4" s="15">
        <f>70*60*60*5</f>
        <v>1260000</v>
      </c>
    </row>
    <row r="5" spans="1:6" x14ac:dyDescent="0.35">
      <c r="A5" s="14" t="s">
        <v>154</v>
      </c>
      <c r="B5" s="15">
        <f>B3*B4</f>
        <v>7543.2999600000003</v>
      </c>
      <c r="C5" s="15">
        <f>C3*C4</f>
        <v>11058.047280000001</v>
      </c>
    </row>
    <row r="6" spans="1:6" x14ac:dyDescent="0.35">
      <c r="A6" s="14" t="s">
        <v>155</v>
      </c>
      <c r="B6" s="16">
        <f>B5/(1000*1000*1000)</f>
        <v>7.5432999600000001E-6</v>
      </c>
      <c r="C6" s="15">
        <f>C5/(1000^3)</f>
        <v>1.105804728E-5</v>
      </c>
    </row>
    <row r="7" spans="1:6" x14ac:dyDescent="0.35">
      <c r="A7" s="14" t="s">
        <v>156</v>
      </c>
      <c r="B7" s="15">
        <f>B6*365</f>
        <v>2.7533044854E-3</v>
      </c>
      <c r="C7" s="15">
        <f>C6*365</f>
        <v>4.0361872572000001E-3</v>
      </c>
    </row>
    <row r="8" spans="1:6" ht="29" x14ac:dyDescent="0.35">
      <c r="A8" s="14" t="s">
        <v>157</v>
      </c>
      <c r="B8" s="15">
        <v>5</v>
      </c>
      <c r="C8" s="15">
        <v>1</v>
      </c>
    </row>
    <row r="9" spans="1:6" ht="29" x14ac:dyDescent="0.35">
      <c r="A9" s="14" t="s">
        <v>158</v>
      </c>
      <c r="B9" s="15" t="s">
        <v>159</v>
      </c>
      <c r="C9" s="15" t="s">
        <v>159</v>
      </c>
    </row>
    <row r="13" spans="1:6" x14ac:dyDescent="0.35">
      <c r="F13">
        <f>($B$20/100)*D13</f>
        <v>0</v>
      </c>
    </row>
    <row r="14" spans="1:6" x14ac:dyDescent="0.35">
      <c r="D14">
        <v>2.4000000000000001E-4</v>
      </c>
      <c r="F14">
        <f t="shared" ref="F14:F15" si="0">($B$20/100)*D14</f>
        <v>0</v>
      </c>
    </row>
    <row r="15" spans="1:6" x14ac:dyDescent="0.35">
      <c r="D15">
        <v>2.4000000000000001E-4</v>
      </c>
      <c r="F15">
        <f t="shared" si="0"/>
        <v>0</v>
      </c>
    </row>
  </sheetData>
  <printOptions horizontalCentered="1"/>
  <pageMargins left="0.62992125984251968" right="0.55118110236220474" top="1.2204724409448819" bottom="0.9055118110236221" header="0" footer="0.23622047244094491"/>
  <pageSetup paperSize="8" orientation="landscape" r:id="rId1"/>
  <headerFooter alignWithMargins="0">
    <oddHeader>&amp;C&amp;"Frutiger LT 45 Light,Bold"&amp;14
&amp;KFFA02FCompany Document&amp;K000000
PROTECT-PRIVATE&amp;R&amp;"Frutiger LT 45 Light,Regular"&amp;8&amp;K000000 
101263572
V001</oddHeader>
    <oddFooter xml:space="preserve">&amp;L&amp;"Frutiger LT 45 Light,Regular"&amp;7Template No:
NNB-NNBGEN-XX-000-TEM-100124
Template Revision: 02
Parent procedure: NNB-301-PRO-000015&amp;C&amp;"Arial,Bold"&amp;12UNCONTROLLED WHEN PRINTED
PROTECT-PRIVATE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6e61ff-b9d3-4ad4-956e-0b8b33ee45e2" xsi:nil="true"/>
    <lcf76f155ced4ddcb4097134ff3c332f xmlns="58125951-7478-4ad2-92b0-59ad25c6f3e1">
      <Terms xmlns="http://schemas.microsoft.com/office/infopath/2007/PartnerControls"/>
    </lcf76f155ced4ddcb4097134ff3c332f>
    <MediaLengthInSeconds xmlns="58125951-7478-4ad2-92b0-59ad25c6f3e1" xsi:nil="true"/>
    <SharedWithUsers xmlns="bf6e61ff-b9d3-4ad4-956e-0b8b33ee45e2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0EAB01E69A8343A60A7EA59BF25027" ma:contentTypeVersion="18" ma:contentTypeDescription="Create a new document." ma:contentTypeScope="" ma:versionID="2dbc75effd248da8ce6ad0cbf9002e5b">
  <xsd:schema xmlns:xsd="http://www.w3.org/2001/XMLSchema" xmlns:xs="http://www.w3.org/2001/XMLSchema" xmlns:p="http://schemas.microsoft.com/office/2006/metadata/properties" xmlns:ns2="58125951-7478-4ad2-92b0-59ad25c6f3e1" xmlns:ns3="bf6e61ff-b9d3-4ad4-956e-0b8b33ee45e2" targetNamespace="http://schemas.microsoft.com/office/2006/metadata/properties" ma:root="true" ma:fieldsID="92f13c23108d93737a71ee8436e988cb" ns2:_="" ns3:_="">
    <xsd:import namespace="58125951-7478-4ad2-92b0-59ad25c6f3e1"/>
    <xsd:import namespace="bf6e61ff-b9d3-4ad4-956e-0b8b33ee4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25951-7478-4ad2-92b0-59ad25c6f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3a9f52-cc49-4e1c-971c-abeceeca22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e61ff-b9d3-4ad4-956e-0b8b33ee4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c3303c-dff4-4b3e-8c17-3755f8c7f8b1}" ma:internalName="TaxCatchAll" ma:showField="CatchAllData" ma:web="bf6e61ff-b9d3-4ad4-956e-0b8b33ee45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FE8BF7-2255-4251-9FA5-048D6175B85F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58125951-7478-4ad2-92b0-59ad25c6f3e1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bf6e61ff-b9d3-4ad4-956e-0b8b33ee45e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2B0FAA1-0868-49D2-8BED-F3C88868B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125951-7478-4ad2-92b0-59ad25c6f3e1"/>
    <ds:schemaRef ds:uri="bf6e61ff-b9d3-4ad4-956e-0b8b33ee4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20941C-38B0-460A-8330-1D185B0F7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Sheet (NNB)</vt:lpstr>
      <vt:lpstr>Antiscalant</vt:lpstr>
      <vt:lpstr>Biocide for CIP and biofouling</vt:lpstr>
      <vt:lpstr>Bisulfite</vt:lpstr>
      <vt:lpstr>Basic Cleaning Agent</vt:lpstr>
      <vt:lpstr>Acid Cleaning Agent</vt:lpstr>
      <vt:lpstr>Sulphuric Acid</vt:lpstr>
      <vt:lpstr>Caustic Soda Liquor </vt:lpstr>
      <vt:lpstr>Priority Hazards</vt:lpstr>
      <vt:lpstr> Average annual consumption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Cooke Tori</dc:creator>
  <cp:keywords/>
  <dc:description/>
  <cp:lastModifiedBy>Harris Jessica</cp:lastModifiedBy>
  <cp:revision/>
  <dcterms:created xsi:type="dcterms:W3CDTF">2023-09-07T12:05:31Z</dcterms:created>
  <dcterms:modified xsi:type="dcterms:W3CDTF">2024-05-08T07:55:40Z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0x010100340EAB01E69A8343A60A7EA59BF25027</vt:lpwstr>
  </property>
  <property fmtid="{D5CDD505-2E9C-101B-9397-08002B2CF9AE}" pid="3" name="MediaServiceImageTags">
    <vt:lpwstr/>
  </property>
  <property fmtid="{D5CDD505-2E9C-101B-9397-08002B2CF9AE}" pid="4" name="MSIP_Label_e3c5ab80-2f63-49b6-bb75-3ce9049c4462_ContentBits">
    <vt:lpwstr>0</vt:lpwstr>
  </property>
  <property fmtid="{D5CDD505-2E9C-101B-9397-08002B2CF9AE}" pid="5" name="MSIP_Label_e3c5ab80-2f63-49b6-bb75-3ce9049c4462_Name">
    <vt:lpwstr>LEGALLY  PRIVILEGED</vt:lpwstr>
  </property>
  <property fmtid="{D5CDD505-2E9C-101B-9397-08002B2CF9AE}" pid="6" name="xd_ProgID">
    <vt:lpwstr/>
  </property>
  <property fmtid="{D5CDD505-2E9C-101B-9397-08002B2CF9AE}" pid="7" name="MSIP_Label_e3c5ab80-2f63-49b6-bb75-3ce9049c4462_Enabled">
    <vt:lpwstr>true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SIP_Label_e3c5ab80-2f63-49b6-bb75-3ce9049c4462_SetDate">
    <vt:lpwstr>2023-11-13T10:44:05Z</vt:lpwstr>
  </property>
  <property fmtid="{D5CDD505-2E9C-101B-9397-08002B2CF9AE}" pid="12" name="MSIP_Label_e3c5ab80-2f63-49b6-bb75-3ce9049c4462_SiteId">
    <vt:lpwstr>75046e30-7443-48c1-89c4-f710fef78b2b</vt:lpwstr>
  </property>
  <property fmtid="{D5CDD505-2E9C-101B-9397-08002B2CF9AE}" pid="13" name="MSIP_Label_e3c5ab80-2f63-49b6-bb75-3ce9049c4462_Method">
    <vt:lpwstr>Privileged</vt:lpwstr>
  </property>
  <property fmtid="{D5CDD505-2E9C-101B-9397-08002B2CF9AE}" pid="14" name="xd_Signature">
    <vt:bool>false</vt:bool>
  </property>
  <property fmtid="{D5CDD505-2E9C-101B-9397-08002B2CF9AE}" pid="15" name="TriggerFlowInfo">
    <vt:lpwstr/>
  </property>
  <property fmtid="{D5CDD505-2E9C-101B-9397-08002B2CF9AE}" pid="16" name="MSIP_Label_e3c5ab80-2f63-49b6-bb75-3ce9049c4462_ActionId">
    <vt:lpwstr>078e5ff2-21a1-4005-9a35-ddc98341ca0b</vt:lpwstr>
  </property>
  <property fmtid="{D5CDD505-2E9C-101B-9397-08002B2CF9AE}" pid="17" name="MSIP_Label_69bc39e2-73ec-4018-9f5a-2e36df594506_Enabled">
    <vt:lpwstr>true</vt:lpwstr>
  </property>
  <property fmtid="{D5CDD505-2E9C-101B-9397-08002B2CF9AE}" pid="18" name="MSIP_Label_69bc39e2-73ec-4018-9f5a-2e36df594506_SetDate">
    <vt:lpwstr>2024-05-08T07:58:06Z</vt:lpwstr>
  </property>
  <property fmtid="{D5CDD505-2E9C-101B-9397-08002B2CF9AE}" pid="19" name="MSIP_Label_69bc39e2-73ec-4018-9f5a-2e36df594506_Method">
    <vt:lpwstr>Privileged</vt:lpwstr>
  </property>
  <property fmtid="{D5CDD505-2E9C-101B-9397-08002B2CF9AE}" pid="20" name="MSIP_Label_69bc39e2-73ec-4018-9f5a-2e36df594506_Name">
    <vt:lpwstr>PROTECT -  COMMERCIAL  AND CONTRACTS</vt:lpwstr>
  </property>
  <property fmtid="{D5CDD505-2E9C-101B-9397-08002B2CF9AE}" pid="21" name="MSIP_Label_69bc39e2-73ec-4018-9f5a-2e36df594506_SiteId">
    <vt:lpwstr>75046e30-7443-48c1-89c4-f710fef78b2b</vt:lpwstr>
  </property>
  <property fmtid="{D5CDD505-2E9C-101B-9397-08002B2CF9AE}" pid="22" name="MSIP_Label_69bc39e2-73ec-4018-9f5a-2e36df594506_ActionId">
    <vt:lpwstr>b4658dd7-3aa0-4a7b-b314-275277d84eb9</vt:lpwstr>
  </property>
  <property fmtid="{D5CDD505-2E9C-101B-9397-08002B2CF9AE}" pid="23" name="MSIP_Label_69bc39e2-73ec-4018-9f5a-2e36df594506_ContentBits">
    <vt:lpwstr>0</vt:lpwstr>
  </property>
</Properties>
</file>