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cefas.sharepoint.com/sites/BEEMS/Shared Documents/Sed &amp; Water quality (WP8)/HPC/Ammonia contruction/"/>
    </mc:Choice>
  </mc:AlternateContent>
  <xr:revisionPtr revIDLastSave="37" documentId="8_{7408B34F-8B81-4AD0-9AA9-9F726B3DFC1F}" xr6:coauthVersionLast="47" xr6:coauthVersionMax="47" xr10:uidLastSave="{AE37CF86-D73A-451D-984E-E81A7F20FD28}"/>
  <bookViews>
    <workbookView xWindow="-120" yWindow="-120" windowWidth="24240" windowHeight="17640" xr2:uid="{908B00AA-0747-46BE-9834-B2DF70014C27}"/>
  </bookViews>
  <sheets>
    <sheet name="Readme" sheetId="2" r:id="rId1"/>
    <sheet name="Ammonia calcs"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1" l="1"/>
  <c r="Q4" i="1"/>
  <c r="G21" i="1"/>
  <c r="G24" i="1"/>
  <c r="G12" i="1"/>
  <c r="G15" i="1"/>
  <c r="H6" i="1"/>
  <c r="H5" i="1"/>
  <c r="H4" i="1"/>
  <c r="E4" i="1"/>
  <c r="E12" i="1"/>
  <c r="O32" i="1"/>
  <c r="O31" i="1"/>
  <c r="O30" i="1"/>
  <c r="O23" i="1"/>
  <c r="O22" i="1"/>
  <c r="O21" i="1"/>
  <c r="O14" i="1"/>
  <c r="O13" i="1"/>
  <c r="O12" i="1"/>
  <c r="O6" i="1"/>
  <c r="O5" i="1"/>
  <c r="O4" i="1"/>
  <c r="E32" i="1"/>
  <c r="E31" i="1"/>
  <c r="E30" i="1"/>
  <c r="E23" i="1"/>
  <c r="E22" i="1"/>
  <c r="E21" i="1"/>
  <c r="E14" i="1"/>
  <c r="E13" i="1"/>
  <c r="E15" i="1" l="1"/>
  <c r="E24" i="1"/>
  <c r="O33" i="1"/>
  <c r="O24" i="1"/>
  <c r="O7" i="1"/>
  <c r="O15" i="1"/>
  <c r="E33" i="1"/>
  <c r="E5" i="1"/>
  <c r="E7" i="1" s="1"/>
  <c r="E6" i="1"/>
  <c r="Q6" i="1" l="1"/>
  <c r="H12" i="1"/>
  <c r="Q5" i="1"/>
  <c r="G30" i="1"/>
  <c r="G6" i="1"/>
  <c r="Q22" i="1"/>
  <c r="Q30" i="1"/>
  <c r="Q23" i="1"/>
  <c r="Q14" i="1"/>
  <c r="Q13" i="1"/>
  <c r="Q21" i="1"/>
  <c r="Q31" i="1"/>
  <c r="Q32" i="1"/>
  <c r="Q12" i="1"/>
  <c r="G31" i="1"/>
  <c r="G22" i="1"/>
  <c r="G14" i="1"/>
  <c r="G13" i="1"/>
  <c r="G23" i="1"/>
  <c r="G32" i="1"/>
  <c r="G5" i="1"/>
  <c r="G7" i="1" l="1"/>
  <c r="H7" i="1"/>
  <c r="I7" i="1" s="1"/>
  <c r="R32" i="1"/>
  <c r="R31" i="1"/>
  <c r="R13" i="1"/>
  <c r="R14" i="1"/>
  <c r="R23" i="1"/>
  <c r="Q24" i="1"/>
  <c r="R21" i="1"/>
  <c r="Q33" i="1"/>
  <c r="R33" i="1" s="1"/>
  <c r="S33" i="1" s="1"/>
  <c r="R30" i="1"/>
  <c r="R12" i="1"/>
  <c r="Q15" i="1"/>
  <c r="R22" i="1"/>
  <c r="H21" i="1"/>
  <c r="H14" i="1"/>
  <c r="R5" i="1"/>
  <c r="H22" i="1"/>
  <c r="R6" i="1"/>
  <c r="R4" i="1"/>
  <c r="Q7" i="1"/>
  <c r="H31" i="1"/>
  <c r="H23" i="1"/>
  <c r="H13" i="1"/>
  <c r="H32" i="1"/>
  <c r="H30" i="1"/>
  <c r="G33" i="1"/>
  <c r="H33" i="1" s="1"/>
  <c r="I33" i="1" s="1"/>
  <c r="R24" i="1" l="1"/>
  <c r="S24" i="1" s="1"/>
  <c r="R7" i="1"/>
  <c r="S7" i="1" s="1"/>
  <c r="R15" i="1"/>
  <c r="S15" i="1" s="1"/>
  <c r="H15" i="1"/>
  <c r="I15" i="1" s="1"/>
  <c r="H24" i="1"/>
  <c r="I24" i="1" s="1"/>
</calcChain>
</file>

<file path=xl/sharedStrings.xml><?xml version="1.0" encoding="utf-8"?>
<sst xmlns="http://schemas.openxmlformats.org/spreadsheetml/2006/main" count="155" uniqueCount="33">
  <si>
    <t>Date</t>
  </si>
  <si>
    <t>Associated report</t>
  </si>
  <si>
    <t>TR581</t>
  </si>
  <si>
    <t>Author</t>
  </si>
  <si>
    <t>QC</t>
  </si>
  <si>
    <t>Purpose</t>
  </si>
  <si>
    <t xml:space="preserve">Calculations in 'ammonia calcs' tab show the details of the GETM model extrapolation with alternative ammonia and consultation water flows. </t>
  </si>
  <si>
    <t>Baseline - 20 mg/l</t>
  </si>
  <si>
    <t>Alternative Flows - 20 mg/l</t>
  </si>
  <si>
    <t>Source</t>
  </si>
  <si>
    <t>Fow</t>
  </si>
  <si>
    <t>Concentration</t>
  </si>
  <si>
    <t>Duration</t>
  </si>
  <si>
    <t xml:space="preserve">Mass </t>
  </si>
  <si>
    <t>Unionised ammonia</t>
  </si>
  <si>
    <t>Difference from baseline</t>
  </si>
  <si>
    <t>(l/s)</t>
  </si>
  <si>
    <t>(mg/l)</t>
  </si>
  <si>
    <t>(hrs)</t>
  </si>
  <si>
    <t>(kg/day)</t>
  </si>
  <si>
    <t>(ug/l)</t>
  </si>
  <si>
    <t>Sewage</t>
  </si>
  <si>
    <t>Groundwater</t>
  </si>
  <si>
    <t>Commisioning</t>
  </si>
  <si>
    <t>Total mass</t>
  </si>
  <si>
    <t>40 mg/l</t>
  </si>
  <si>
    <t>unionised ammonia</t>
  </si>
  <si>
    <t>60 mg/l</t>
  </si>
  <si>
    <t>80 mg/l</t>
  </si>
  <si>
    <t>Calculations</t>
  </si>
  <si>
    <t>DH (11/09/2023)</t>
  </si>
  <si>
    <r>
      <t xml:space="preserve">Columns A to H calculate the additional mass of un-ionised ammonia for the baseline flows scenarios whilst columns K to R deal with the alternate flows (the two scenarios described in TR581). 
Column E calculates the daily mass (in kg) of total ammonia for each of the individual streams based on the flow-column B (l/s), concentration-column C (mg/l) and duration of discharge-column D (hours converted to seconds). These are summed to calculate the daily total of total ammonia (eg cell E7).
The approch is to then scale the un-ionised ammonia to the change in concentrations as determined by the percent change in total ammonia mass. The calculations in the first 'box' (baseline 20 mg/L) provide the scaling point for the new scenarios which are calculated as follows:
Column G  calculates the proportion of the total ammonia for each stream and multiples it against the 2 </t>
    </r>
    <r>
      <rPr>
        <sz val="11"/>
        <color theme="1"/>
        <rFont val="Calibri"/>
        <family val="2"/>
      </rPr>
      <t>µ</t>
    </r>
    <r>
      <rPr>
        <sz val="11"/>
        <color theme="1"/>
        <rFont val="Calibri"/>
        <family val="2"/>
        <scheme val="minor"/>
      </rPr>
      <t xml:space="preserve">g/l baseline as shown in Figure 1 in TR581 as a proxy for the increase in un-ionised ammonia. This value is then applied to the individual baseline time series of un-ionised ammonia shown, for example in Figure 1 TR581.  Column H shows the difference from the baseline scenario. As the 20 mg/l scenario is the baseline, it shows zero percentage difference. Equally, as only the sewage stream varies in concentration under the base line flow rates, only that cell (e.g. H12, H21) shows a percentage increase in concentration. Under the alternate flows, a decrease is also seen in groundwater flow due to the reduction in flow rate. </t>
    </r>
  </si>
  <si>
    <t>AG (12/09/2023)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</si>
</sst>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x14ac:knownFonts="1">
    <font>
      <sz val="11"/>
      <color theme="1"/>
      <name val="Calibri"/>
      <family val="2"/>
      <scheme val="minor"/>
    </font>
    <font>
      <sz val="11"/>
      <color theme="1"/>
      <name val="Calibri"/>
      <family val="2"/>
      <scheme val="minor"/>
    </font>
    <font>
      <b/>
      <u/>
      <sz val="18"/>
      <name val="Calibri"/>
      <family val="2"/>
      <scheme val="minor"/>
    </font>
    <font>
      <sz val="11"/>
      <name val="Calibri"/>
      <family val="2"/>
      <scheme val="minor"/>
    </font>
    <font>
      <b/>
      <sz val="11"/>
      <color theme="1"/>
      <name val="Calibri"/>
      <family val="2"/>
      <scheme val="minor"/>
    </font>
    <font>
      <sz val="11"/>
      <color theme="1"/>
      <name val="Calibri"/>
      <family val="2"/>
    </font>
  </fonts>
  <fills count="5">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0" fontId="2" fillId="0" borderId="0" xfId="0" applyFont="1"/>
    <xf numFmtId="0" fontId="3" fillId="0" borderId="0" xfId="0" applyFont="1"/>
    <xf numFmtId="0" fontId="3" fillId="0" borderId="1" xfId="0" applyFont="1" applyBorder="1" applyAlignment="1">
      <alignment wrapText="1"/>
    </xf>
    <xf numFmtId="0" fontId="3" fillId="3" borderId="1" xfId="0" applyFont="1" applyFill="1" applyBorder="1" applyAlignment="1">
      <alignment wrapText="1"/>
    </xf>
    <xf numFmtId="0" fontId="3" fillId="0" borderId="0" xfId="0" applyFont="1" applyAlignment="1">
      <alignment wrapText="1"/>
    </xf>
    <xf numFmtId="0" fontId="3" fillId="0" borderId="1" xfId="0" applyFont="1" applyBorder="1"/>
    <xf numFmtId="0" fontId="3" fillId="3" borderId="1" xfId="0" applyFont="1" applyFill="1" applyBorder="1"/>
    <xf numFmtId="0" fontId="3" fillId="2" borderId="1" xfId="0" applyFont="1" applyFill="1" applyBorder="1"/>
    <xf numFmtId="164" fontId="3" fillId="0" borderId="1" xfId="0" applyNumberFormat="1" applyFont="1" applyBorder="1"/>
    <xf numFmtId="164" fontId="3" fillId="3" borderId="1" xfId="0" applyNumberFormat="1" applyFont="1" applyFill="1" applyBorder="1"/>
    <xf numFmtId="164" fontId="3" fillId="0" borderId="0" xfId="0" applyNumberFormat="1" applyFont="1"/>
    <xf numFmtId="2" fontId="3" fillId="0" borderId="1" xfId="0" applyNumberFormat="1" applyFont="1" applyBorder="1"/>
    <xf numFmtId="10" fontId="3" fillId="0" borderId="0" xfId="1" applyNumberFormat="1" applyFont="1"/>
    <xf numFmtId="2" fontId="3" fillId="0" borderId="0" xfId="0" applyNumberFormat="1" applyFont="1"/>
    <xf numFmtId="14" fontId="0" fillId="0" borderId="0" xfId="0" applyNumberFormat="1"/>
    <xf numFmtId="14" fontId="0" fillId="0" borderId="0" xfId="0" applyNumberFormat="1" applyAlignment="1">
      <alignment horizontal="left"/>
    </xf>
    <xf numFmtId="0" fontId="0" fillId="0" borderId="0" xfId="0" applyAlignment="1">
      <alignment horizontal="left"/>
    </xf>
    <xf numFmtId="0" fontId="0" fillId="0" borderId="0" xfId="0" applyAlignment="1">
      <alignment wrapText="1"/>
    </xf>
    <xf numFmtId="0" fontId="4" fillId="0" borderId="0" xfId="0" applyFont="1"/>
    <xf numFmtId="0" fontId="3" fillId="4" borderId="1" xfId="0" applyFont="1" applyFill="1" applyBorder="1" applyAlignment="1">
      <alignment horizont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0" borderId="1" xfId="0" applyFont="1" applyBorder="1" applyAlignment="1">
      <alignment horizontal="left"/>
    </xf>
    <xf numFmtId="0" fontId="0" fillId="0" borderId="0" xfId="0" applyAlignment="1">
      <alignment vertical="top"/>
    </xf>
    <xf numFmtId="0" fontId="0" fillId="0" borderId="0" xfId="0" applyAlignment="1">
      <alignment vertical="top" wrapText="1"/>
    </xf>
    <xf numFmtId="0" fontId="4" fillId="0" borderId="0" xfId="0" applyFont="1" applyAlignment="1">
      <alignment horizontal="left" vertical="center"/>
    </xf>
    <xf numFmtId="0" fontId="0" fillId="0" borderId="0" xfId="0" applyFill="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9DDF4-24D2-4A51-8E90-1FB8B59C2EB5}">
  <dimension ref="A1:G13"/>
  <sheetViews>
    <sheetView tabSelected="1" workbookViewId="0">
      <selection activeCell="B13" sqref="B13"/>
    </sheetView>
  </sheetViews>
  <sheetFormatPr defaultRowHeight="15" x14ac:dyDescent="0.25"/>
  <cols>
    <col min="1" max="1" width="16.7109375" bestFit="1" customWidth="1"/>
    <col min="2" max="2" width="71.28515625" customWidth="1"/>
    <col min="3" max="3" width="10.7109375" bestFit="1" customWidth="1"/>
  </cols>
  <sheetData>
    <row r="1" spans="1:7" x14ac:dyDescent="0.25">
      <c r="A1" s="19" t="s">
        <v>0</v>
      </c>
      <c r="B1" s="16">
        <v>45180</v>
      </c>
    </row>
    <row r="2" spans="1:7" x14ac:dyDescent="0.25">
      <c r="A2" s="19"/>
      <c r="B2" s="17"/>
    </row>
    <row r="3" spans="1:7" x14ac:dyDescent="0.25">
      <c r="A3" s="19" t="s">
        <v>1</v>
      </c>
      <c r="B3" s="17" t="s">
        <v>2</v>
      </c>
    </row>
    <row r="4" spans="1:7" x14ac:dyDescent="0.25">
      <c r="A4" s="19"/>
      <c r="B4" s="17"/>
    </row>
    <row r="5" spans="1:7" x14ac:dyDescent="0.25">
      <c r="A5" s="19" t="s">
        <v>3</v>
      </c>
      <c r="B5" s="17" t="s">
        <v>30</v>
      </c>
      <c r="C5" s="15"/>
    </row>
    <row r="6" spans="1:7" x14ac:dyDescent="0.25">
      <c r="A6" s="19"/>
      <c r="B6" s="17"/>
    </row>
    <row r="7" spans="1:7" x14ac:dyDescent="0.25">
      <c r="A7" s="19" t="s">
        <v>4</v>
      </c>
      <c r="B7" s="28" t="s">
        <v>32</v>
      </c>
      <c r="C7" s="15"/>
    </row>
    <row r="8" spans="1:7" x14ac:dyDescent="0.25">
      <c r="A8" s="19"/>
    </row>
    <row r="9" spans="1:7" ht="30" x14ac:dyDescent="0.25">
      <c r="A9" s="19" t="s">
        <v>5</v>
      </c>
      <c r="B9" s="18" t="s">
        <v>6</v>
      </c>
    </row>
    <row r="13" spans="1:7" ht="390.75" customHeight="1" x14ac:dyDescent="0.25">
      <c r="A13" s="27" t="s">
        <v>29</v>
      </c>
      <c r="B13" s="26" t="s">
        <v>31</v>
      </c>
      <c r="G13" s="2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759EB-9CFA-4AFA-91D3-E051D9CC03CB}">
  <dimension ref="A1:S34"/>
  <sheetViews>
    <sheetView topLeftCell="A4" workbookViewId="0">
      <selection activeCell="G7" sqref="G7"/>
    </sheetView>
  </sheetViews>
  <sheetFormatPr defaultRowHeight="15" x14ac:dyDescent="0.25"/>
  <cols>
    <col min="1" max="1" width="13.5703125" style="2" bestFit="1" customWidth="1"/>
    <col min="2" max="2" width="9.140625" style="2"/>
    <col min="3" max="3" width="13.42578125" style="2" customWidth="1"/>
    <col min="4" max="4" width="10.28515625" style="2" bestFit="1" customWidth="1"/>
    <col min="5" max="5" width="14.140625" style="2" bestFit="1" customWidth="1"/>
    <col min="6" max="6" width="4.42578125" style="2" customWidth="1"/>
    <col min="7" max="7" width="9.85546875" style="2" customWidth="1"/>
    <col min="8" max="8" width="14.42578125" style="2" bestFit="1" customWidth="1"/>
    <col min="9" max="9" width="13.28515625" style="2" customWidth="1"/>
    <col min="10" max="10" width="9.140625" style="2"/>
    <col min="11" max="11" width="13.5703125" style="2" bestFit="1" customWidth="1"/>
    <col min="12" max="12" width="9.140625" style="2"/>
    <col min="13" max="13" width="14.140625" style="2" customWidth="1"/>
    <col min="14" max="15" width="10.28515625" style="2" bestFit="1" customWidth="1"/>
    <col min="16" max="16" width="9.140625" style="2"/>
    <col min="17" max="17" width="10" style="2" customWidth="1"/>
    <col min="18" max="18" width="14.42578125" style="2" bestFit="1" customWidth="1"/>
    <col min="19" max="16384" width="9.140625" style="2"/>
  </cols>
  <sheetData>
    <row r="1" spans="1:19" ht="23.25" x14ac:dyDescent="0.35">
      <c r="A1" s="1" t="s">
        <v>7</v>
      </c>
      <c r="K1" s="1" t="s">
        <v>8</v>
      </c>
    </row>
    <row r="2" spans="1:19" ht="45" x14ac:dyDescent="0.25">
      <c r="A2" s="24" t="s">
        <v>9</v>
      </c>
      <c r="B2" s="3" t="s">
        <v>10</v>
      </c>
      <c r="C2" s="3" t="s">
        <v>11</v>
      </c>
      <c r="D2" s="3" t="s">
        <v>12</v>
      </c>
      <c r="E2" s="3" t="s">
        <v>13</v>
      </c>
      <c r="F2" s="20"/>
      <c r="G2" s="3" t="s">
        <v>14</v>
      </c>
      <c r="H2" s="4" t="s">
        <v>15</v>
      </c>
      <c r="I2" s="5"/>
      <c r="K2" s="24" t="s">
        <v>9</v>
      </c>
      <c r="L2" s="3" t="s">
        <v>10</v>
      </c>
      <c r="M2" s="3" t="s">
        <v>11</v>
      </c>
      <c r="N2" s="3" t="s">
        <v>12</v>
      </c>
      <c r="O2" s="3" t="s">
        <v>13</v>
      </c>
      <c r="P2" s="20"/>
      <c r="Q2" s="3" t="s">
        <v>14</v>
      </c>
      <c r="R2" s="4" t="s">
        <v>15</v>
      </c>
    </row>
    <row r="3" spans="1:19" x14ac:dyDescent="0.25">
      <c r="A3" s="24"/>
      <c r="B3" s="6" t="s">
        <v>16</v>
      </c>
      <c r="C3" s="6" t="s">
        <v>17</v>
      </c>
      <c r="D3" s="6" t="s">
        <v>18</v>
      </c>
      <c r="E3" s="6" t="s">
        <v>19</v>
      </c>
      <c r="F3" s="20"/>
      <c r="G3" s="6" t="s">
        <v>20</v>
      </c>
      <c r="H3" s="7" t="s">
        <v>20</v>
      </c>
      <c r="K3" s="24"/>
      <c r="L3" s="6" t="s">
        <v>16</v>
      </c>
      <c r="M3" s="6" t="s">
        <v>17</v>
      </c>
      <c r="N3" s="6" t="s">
        <v>18</v>
      </c>
      <c r="O3" s="6" t="s">
        <v>19</v>
      </c>
      <c r="P3" s="20"/>
      <c r="Q3" s="6" t="s">
        <v>20</v>
      </c>
      <c r="R3" s="7" t="s">
        <v>20</v>
      </c>
    </row>
    <row r="4" spans="1:19" x14ac:dyDescent="0.25">
      <c r="A4" s="6" t="s">
        <v>21</v>
      </c>
      <c r="B4" s="6">
        <v>13.3</v>
      </c>
      <c r="C4" s="8">
        <v>20</v>
      </c>
      <c r="D4" s="6">
        <v>24</v>
      </c>
      <c r="E4" s="9">
        <f>((B4*C4)*(D4*60*60))/1000000</f>
        <v>22.982399999999998</v>
      </c>
      <c r="F4" s="20"/>
      <c r="G4" s="9">
        <f>(E4/$E$7)*2</f>
        <v>0.10457456384265655</v>
      </c>
      <c r="H4" s="10">
        <f>G4-$G$4</f>
        <v>0</v>
      </c>
      <c r="I4" s="11"/>
      <c r="K4" s="6" t="s">
        <v>21</v>
      </c>
      <c r="L4" s="6">
        <v>23.3</v>
      </c>
      <c r="M4" s="8">
        <v>20</v>
      </c>
      <c r="N4" s="6">
        <v>24</v>
      </c>
      <c r="O4" s="9">
        <f>((L4*M4)*(N4*60*60))/1000000</f>
        <v>40.2624</v>
      </c>
      <c r="P4" s="20"/>
      <c r="Q4" s="9">
        <f>(O4/$E$7)*2</f>
        <v>0.18320205545367652</v>
      </c>
      <c r="R4" s="10">
        <f>Q4-$G$4</f>
        <v>7.8627491611019965E-2</v>
      </c>
    </row>
    <row r="5" spans="1:19" x14ac:dyDescent="0.25">
      <c r="A5" s="6" t="s">
        <v>22</v>
      </c>
      <c r="B5" s="6">
        <v>25</v>
      </c>
      <c r="C5" s="6">
        <v>4.7320000000000002</v>
      </c>
      <c r="D5" s="6">
        <v>24</v>
      </c>
      <c r="E5" s="9">
        <f>((B5*C5)*(D5*60*60))/1000000</f>
        <v>10.221120000000003</v>
      </c>
      <c r="F5" s="20"/>
      <c r="G5" s="9">
        <f>(E5/$E$7)*2</f>
        <v>4.650816128791832E-2</v>
      </c>
      <c r="H5" s="10">
        <f>G5-$G$5</f>
        <v>0</v>
      </c>
      <c r="I5" s="11"/>
      <c r="K5" s="6" t="s">
        <v>22</v>
      </c>
      <c r="L5" s="6">
        <v>15</v>
      </c>
      <c r="M5" s="6">
        <v>4.7320000000000002</v>
      </c>
      <c r="N5" s="6">
        <v>24</v>
      </c>
      <c r="O5" s="9">
        <f>((L5*M5)*(N5*60*60))/1000000</f>
        <v>6.1326720000000003</v>
      </c>
      <c r="P5" s="20"/>
      <c r="Q5" s="9">
        <f>(O5/$E$7)*2</f>
        <v>2.7904896772750987E-2</v>
      </c>
      <c r="R5" s="10">
        <f>Q5-$G$5</f>
        <v>-1.8603264515167334E-2</v>
      </c>
    </row>
    <row r="6" spans="1:19" x14ac:dyDescent="0.25">
      <c r="A6" s="6" t="s">
        <v>23</v>
      </c>
      <c r="B6" s="6">
        <v>70</v>
      </c>
      <c r="C6" s="6">
        <v>271</v>
      </c>
      <c r="D6" s="6">
        <v>5.95</v>
      </c>
      <c r="E6" s="12">
        <f>((B6*C6)*(D6*60*60))/1000000</f>
        <v>406.3374</v>
      </c>
      <c r="F6" s="20"/>
      <c r="G6" s="9">
        <f>(E6/$E$7)*2</f>
        <v>1.8489172748694249</v>
      </c>
      <c r="H6" s="10">
        <f>G6-$G$6</f>
        <v>0</v>
      </c>
      <c r="I6" s="11"/>
      <c r="K6" s="6" t="s">
        <v>23</v>
      </c>
      <c r="L6" s="6">
        <v>70</v>
      </c>
      <c r="M6" s="6">
        <v>271</v>
      </c>
      <c r="N6" s="6">
        <v>5.95</v>
      </c>
      <c r="O6" s="12">
        <f>((L6*M6)*(N6*60*60))/1000000</f>
        <v>406.3374</v>
      </c>
      <c r="P6" s="20"/>
      <c r="Q6" s="9">
        <f>(O6/$E$7)*2</f>
        <v>1.8489172748694249</v>
      </c>
      <c r="R6" s="10">
        <f>Q6-$G$6</f>
        <v>0</v>
      </c>
    </row>
    <row r="7" spans="1:19" x14ac:dyDescent="0.25">
      <c r="A7" s="21"/>
      <c r="B7" s="22"/>
      <c r="C7" s="23"/>
      <c r="D7" s="6" t="s">
        <v>24</v>
      </c>
      <c r="E7" s="12">
        <f>SUM(E4:E6)</f>
        <v>439.54092000000003</v>
      </c>
      <c r="F7" s="20"/>
      <c r="G7" s="9">
        <f>SUM(G4:G6)</f>
        <v>1.9999999999999998</v>
      </c>
      <c r="H7" s="10">
        <f>G7-$G$7</f>
        <v>0</v>
      </c>
      <c r="I7" s="13">
        <f>(H7/G7)</f>
        <v>0</v>
      </c>
      <c r="K7" s="21"/>
      <c r="L7" s="22"/>
      <c r="M7" s="23"/>
      <c r="N7" s="6" t="s">
        <v>24</v>
      </c>
      <c r="O7" s="12">
        <f>SUM(O4:O6)</f>
        <v>452.73247200000003</v>
      </c>
      <c r="P7" s="20"/>
      <c r="Q7" s="9">
        <f>SUM(Q4:Q6)</f>
        <v>2.0600242270958526</v>
      </c>
      <c r="R7" s="10">
        <f>Q7-$G$7</f>
        <v>6.0024227095852867E-2</v>
      </c>
      <c r="S7" s="13">
        <f>(R7/Q7)</f>
        <v>2.9137631638669049E-2</v>
      </c>
    </row>
    <row r="8" spans="1:19" x14ac:dyDescent="0.25">
      <c r="I8" s="14"/>
      <c r="S8" s="14"/>
    </row>
    <row r="9" spans="1:19" ht="23.25" x14ac:dyDescent="0.35">
      <c r="A9" s="1" t="s">
        <v>25</v>
      </c>
      <c r="K9" s="1" t="s">
        <v>25</v>
      </c>
    </row>
    <row r="10" spans="1:19" ht="30" x14ac:dyDescent="0.25">
      <c r="A10" s="24" t="s">
        <v>9</v>
      </c>
      <c r="B10" s="3" t="s">
        <v>10</v>
      </c>
      <c r="C10" s="3" t="s">
        <v>11</v>
      </c>
      <c r="D10" s="3" t="s">
        <v>12</v>
      </c>
      <c r="E10" s="3" t="s">
        <v>13</v>
      </c>
      <c r="F10" s="20"/>
      <c r="G10" s="3" t="s">
        <v>26</v>
      </c>
      <c r="H10" s="4" t="s">
        <v>15</v>
      </c>
      <c r="I10" s="5"/>
      <c r="K10" s="24" t="s">
        <v>9</v>
      </c>
      <c r="L10" s="3" t="s">
        <v>10</v>
      </c>
      <c r="M10" s="3" t="s">
        <v>11</v>
      </c>
      <c r="N10" s="3" t="s">
        <v>12</v>
      </c>
      <c r="O10" s="3" t="s">
        <v>13</v>
      </c>
      <c r="P10" s="20"/>
      <c r="Q10" s="3" t="s">
        <v>14</v>
      </c>
      <c r="R10" s="4" t="s">
        <v>15</v>
      </c>
    </row>
    <row r="11" spans="1:19" x14ac:dyDescent="0.25">
      <c r="A11" s="24"/>
      <c r="B11" s="6" t="s">
        <v>16</v>
      </c>
      <c r="C11" s="6" t="s">
        <v>17</v>
      </c>
      <c r="D11" s="6" t="s">
        <v>18</v>
      </c>
      <c r="E11" s="6" t="s">
        <v>19</v>
      </c>
      <c r="F11" s="20"/>
      <c r="G11" s="6" t="s">
        <v>20</v>
      </c>
      <c r="H11" s="7" t="s">
        <v>20</v>
      </c>
      <c r="K11" s="24"/>
      <c r="L11" s="6" t="s">
        <v>16</v>
      </c>
      <c r="M11" s="6" t="s">
        <v>17</v>
      </c>
      <c r="N11" s="6" t="s">
        <v>18</v>
      </c>
      <c r="O11" s="6" t="s">
        <v>19</v>
      </c>
      <c r="P11" s="20"/>
      <c r="Q11" s="6" t="s">
        <v>20</v>
      </c>
      <c r="R11" s="7" t="s">
        <v>20</v>
      </c>
    </row>
    <row r="12" spans="1:19" x14ac:dyDescent="0.25">
      <c r="A12" s="6" t="s">
        <v>21</v>
      </c>
      <c r="B12" s="6">
        <v>13.3</v>
      </c>
      <c r="C12" s="8">
        <v>40</v>
      </c>
      <c r="D12" s="6">
        <v>24</v>
      </c>
      <c r="E12" s="9">
        <f>((B12*C12)*(D12*60*60))/1000000</f>
        <v>45.964799999999997</v>
      </c>
      <c r="F12" s="20"/>
      <c r="G12" s="9">
        <f>(E12/$E$7)*2</f>
        <v>0.2091491276853131</v>
      </c>
      <c r="H12" s="10">
        <f>G12-$G$4</f>
        <v>0.10457456384265655</v>
      </c>
      <c r="I12" s="11"/>
      <c r="K12" s="6" t="s">
        <v>21</v>
      </c>
      <c r="L12" s="6">
        <v>23.3</v>
      </c>
      <c r="M12" s="8">
        <v>40</v>
      </c>
      <c r="N12" s="6">
        <v>24</v>
      </c>
      <c r="O12" s="9">
        <f>((L12*M12)*(N12*60*60))/1000000</f>
        <v>80.524799999999999</v>
      </c>
      <c r="P12" s="20"/>
      <c r="Q12" s="9">
        <f>(O12/$E$7)*2</f>
        <v>0.36640411090735303</v>
      </c>
      <c r="R12" s="10">
        <f>Q12-$G$4</f>
        <v>0.26182954706469647</v>
      </c>
    </row>
    <row r="13" spans="1:19" x14ac:dyDescent="0.25">
      <c r="A13" s="6" t="s">
        <v>22</v>
      </c>
      <c r="B13" s="6">
        <v>25</v>
      </c>
      <c r="C13" s="6">
        <v>4.7320000000000002</v>
      </c>
      <c r="D13" s="6">
        <v>24</v>
      </c>
      <c r="E13" s="9">
        <f>((B13*C13)*(D13*60*60))/1000000</f>
        <v>10.221120000000003</v>
      </c>
      <c r="F13" s="20"/>
      <c r="G13" s="9">
        <f>(E13/$E$7)*2</f>
        <v>4.650816128791832E-2</v>
      </c>
      <c r="H13" s="10">
        <f>G13-$G$5</f>
        <v>0</v>
      </c>
      <c r="I13" s="11"/>
      <c r="K13" s="6" t="s">
        <v>22</v>
      </c>
      <c r="L13" s="6">
        <v>15</v>
      </c>
      <c r="M13" s="6">
        <v>4.7320000000000002</v>
      </c>
      <c r="N13" s="6">
        <v>24</v>
      </c>
      <c r="O13" s="9">
        <f>((L13*M13)*(N13*60*60))/1000000</f>
        <v>6.1326720000000003</v>
      </c>
      <c r="P13" s="20"/>
      <c r="Q13" s="9">
        <f>(O13/$E$7)*2</f>
        <v>2.7904896772750987E-2</v>
      </c>
      <c r="R13" s="10">
        <f>Q13-$G$5</f>
        <v>-1.8603264515167334E-2</v>
      </c>
    </row>
    <row r="14" spans="1:19" x14ac:dyDescent="0.25">
      <c r="A14" s="6" t="s">
        <v>23</v>
      </c>
      <c r="B14" s="6">
        <v>70</v>
      </c>
      <c r="C14" s="6">
        <v>271</v>
      </c>
      <c r="D14" s="6">
        <v>5.95</v>
      </c>
      <c r="E14" s="12">
        <f>((B14*C14)*(D14*60*60))/1000000</f>
        <v>406.3374</v>
      </c>
      <c r="F14" s="20"/>
      <c r="G14" s="9">
        <f>(E14/$E$7)*2</f>
        <v>1.8489172748694249</v>
      </c>
      <c r="H14" s="10">
        <f>G14-$G$6</f>
        <v>0</v>
      </c>
      <c r="I14" s="11"/>
      <c r="K14" s="6" t="s">
        <v>23</v>
      </c>
      <c r="L14" s="6">
        <v>70</v>
      </c>
      <c r="M14" s="6">
        <v>271</v>
      </c>
      <c r="N14" s="6">
        <v>5.95</v>
      </c>
      <c r="O14" s="12">
        <f>((L14*M14)*(N14*60*60))/1000000</f>
        <v>406.3374</v>
      </c>
      <c r="P14" s="20"/>
      <c r="Q14" s="9">
        <f>(O14/$E$7)*2</f>
        <v>1.8489172748694249</v>
      </c>
      <c r="R14" s="10">
        <f>Q14-$G$6</f>
        <v>0</v>
      </c>
    </row>
    <row r="15" spans="1:19" x14ac:dyDescent="0.25">
      <c r="A15" s="21"/>
      <c r="B15" s="22"/>
      <c r="C15" s="23"/>
      <c r="D15" s="6" t="s">
        <v>24</v>
      </c>
      <c r="E15" s="12">
        <f>SUM(E12:E14)</f>
        <v>462.52332000000001</v>
      </c>
      <c r="F15" s="20"/>
      <c r="G15" s="9">
        <f>SUM(G12:G14)</f>
        <v>2.1045745638426565</v>
      </c>
      <c r="H15" s="10">
        <f>G15-$G$7</f>
        <v>0.10457456384265673</v>
      </c>
      <c r="I15" s="13">
        <f>(H15/G15)</f>
        <v>4.9689170267133854E-2</v>
      </c>
      <c r="K15" s="21"/>
      <c r="L15" s="22"/>
      <c r="M15" s="23"/>
      <c r="N15" s="6" t="s">
        <v>24</v>
      </c>
      <c r="O15" s="12">
        <f>SUM(O12:O14)</f>
        <v>492.99487199999999</v>
      </c>
      <c r="P15" s="20"/>
      <c r="Q15" s="9">
        <f>SUM(Q12:Q14)</f>
        <v>2.243226282549529</v>
      </c>
      <c r="R15" s="10">
        <f>Q15-$G$7</f>
        <v>0.24322628254952927</v>
      </c>
      <c r="S15" s="13">
        <f>(R15/Q15)</f>
        <v>0.10842699394244414</v>
      </c>
    </row>
    <row r="16" spans="1:19" x14ac:dyDescent="0.25">
      <c r="E16" s="14"/>
      <c r="G16" s="11"/>
      <c r="I16" s="14"/>
      <c r="S16" s="14"/>
    </row>
    <row r="17" spans="1:19" x14ac:dyDescent="0.25">
      <c r="H17" s="5"/>
    </row>
    <row r="18" spans="1:19" ht="23.25" x14ac:dyDescent="0.35">
      <c r="A18" s="1" t="s">
        <v>27</v>
      </c>
      <c r="K18" s="1" t="s">
        <v>27</v>
      </c>
    </row>
    <row r="19" spans="1:19" ht="30" x14ac:dyDescent="0.25">
      <c r="A19" s="24" t="s">
        <v>9</v>
      </c>
      <c r="B19" s="3" t="s">
        <v>10</v>
      </c>
      <c r="C19" s="3" t="s">
        <v>11</v>
      </c>
      <c r="D19" s="3" t="s">
        <v>12</v>
      </c>
      <c r="E19" s="3" t="s">
        <v>13</v>
      </c>
      <c r="F19" s="20"/>
      <c r="G19" s="3" t="s">
        <v>26</v>
      </c>
      <c r="H19" s="4" t="s">
        <v>15</v>
      </c>
      <c r="K19" s="24" t="s">
        <v>9</v>
      </c>
      <c r="L19" s="3" t="s">
        <v>10</v>
      </c>
      <c r="M19" s="3" t="s">
        <v>11</v>
      </c>
      <c r="N19" s="3" t="s">
        <v>12</v>
      </c>
      <c r="O19" s="3" t="s">
        <v>13</v>
      </c>
      <c r="P19" s="20"/>
      <c r="Q19" s="3" t="s">
        <v>14</v>
      </c>
      <c r="R19" s="4" t="s">
        <v>15</v>
      </c>
    </row>
    <row r="20" spans="1:19" x14ac:dyDescent="0.25">
      <c r="A20" s="24"/>
      <c r="B20" s="6" t="s">
        <v>16</v>
      </c>
      <c r="C20" s="6" t="s">
        <v>17</v>
      </c>
      <c r="D20" s="6" t="s">
        <v>18</v>
      </c>
      <c r="E20" s="6" t="s">
        <v>19</v>
      </c>
      <c r="F20" s="20"/>
      <c r="G20" s="6" t="s">
        <v>20</v>
      </c>
      <c r="H20" s="7" t="s">
        <v>20</v>
      </c>
      <c r="K20" s="24"/>
      <c r="L20" s="6" t="s">
        <v>16</v>
      </c>
      <c r="M20" s="6" t="s">
        <v>17</v>
      </c>
      <c r="N20" s="6" t="s">
        <v>18</v>
      </c>
      <c r="O20" s="6" t="s">
        <v>19</v>
      </c>
      <c r="P20" s="20"/>
      <c r="Q20" s="6" t="s">
        <v>20</v>
      </c>
      <c r="R20" s="7" t="s">
        <v>20</v>
      </c>
    </row>
    <row r="21" spans="1:19" x14ac:dyDescent="0.25">
      <c r="A21" s="6" t="s">
        <v>21</v>
      </c>
      <c r="B21" s="6">
        <v>13.3</v>
      </c>
      <c r="C21" s="8">
        <v>60</v>
      </c>
      <c r="D21" s="6">
        <v>24</v>
      </c>
      <c r="E21" s="9">
        <f>((B21*C21)*(D21*60*60))/1000000</f>
        <v>68.947199999999995</v>
      </c>
      <c r="F21" s="20"/>
      <c r="G21" s="9">
        <f>(E21/$E$7)*2</f>
        <v>0.31372369152796964</v>
      </c>
      <c r="H21" s="10">
        <f>G21-$G$4</f>
        <v>0.20914912768531307</v>
      </c>
      <c r="K21" s="6" t="s">
        <v>21</v>
      </c>
      <c r="L21" s="6">
        <v>23.3</v>
      </c>
      <c r="M21" s="8">
        <v>60</v>
      </c>
      <c r="N21" s="6">
        <v>24</v>
      </c>
      <c r="O21" s="9">
        <f>((L21*M21)*(N21*60*60))/1000000</f>
        <v>120.7872</v>
      </c>
      <c r="P21" s="20"/>
      <c r="Q21" s="9">
        <f>(O21/$E$7)*2</f>
        <v>0.54960616636102955</v>
      </c>
      <c r="R21" s="10">
        <f>Q21-$G$4</f>
        <v>0.44503160251837298</v>
      </c>
    </row>
    <row r="22" spans="1:19" x14ac:dyDescent="0.25">
      <c r="A22" s="6" t="s">
        <v>22</v>
      </c>
      <c r="B22" s="6">
        <v>25</v>
      </c>
      <c r="C22" s="6">
        <v>4.7320000000000002</v>
      </c>
      <c r="D22" s="6">
        <v>24</v>
      </c>
      <c r="E22" s="9">
        <f>((B22*C22)*(D22*60*60))/1000000</f>
        <v>10.221120000000003</v>
      </c>
      <c r="F22" s="20"/>
      <c r="G22" s="9">
        <f>(E22/$E$7)*2</f>
        <v>4.650816128791832E-2</v>
      </c>
      <c r="H22" s="10">
        <f>G22-$G$5</f>
        <v>0</v>
      </c>
      <c r="K22" s="6" t="s">
        <v>22</v>
      </c>
      <c r="L22" s="6">
        <v>15</v>
      </c>
      <c r="M22" s="6">
        <v>4.7320000000000002</v>
      </c>
      <c r="N22" s="6">
        <v>24</v>
      </c>
      <c r="O22" s="9">
        <f>((L22*M22)*(N22*60*60))/1000000</f>
        <v>6.1326720000000003</v>
      </c>
      <c r="P22" s="20"/>
      <c r="Q22" s="9">
        <f>(O22/$E$7)*2</f>
        <v>2.7904896772750987E-2</v>
      </c>
      <c r="R22" s="10">
        <f>Q22-$G$5</f>
        <v>-1.8603264515167334E-2</v>
      </c>
    </row>
    <row r="23" spans="1:19" x14ac:dyDescent="0.25">
      <c r="A23" s="6" t="s">
        <v>23</v>
      </c>
      <c r="B23" s="6">
        <v>70</v>
      </c>
      <c r="C23" s="6">
        <v>271</v>
      </c>
      <c r="D23" s="6">
        <v>5.95</v>
      </c>
      <c r="E23" s="12">
        <f>((B23*C23)*(D23*60*60))/1000000</f>
        <v>406.3374</v>
      </c>
      <c r="F23" s="20"/>
      <c r="G23" s="9">
        <f>(E23/$E$7)*2</f>
        <v>1.8489172748694249</v>
      </c>
      <c r="H23" s="10">
        <f>G23-$G$6</f>
        <v>0</v>
      </c>
      <c r="K23" s="6" t="s">
        <v>23</v>
      </c>
      <c r="L23" s="6">
        <v>70</v>
      </c>
      <c r="M23" s="6">
        <v>271</v>
      </c>
      <c r="N23" s="6">
        <v>5.95</v>
      </c>
      <c r="O23" s="12">
        <f>((L23*M23)*(N23*60*60))/1000000</f>
        <v>406.3374</v>
      </c>
      <c r="P23" s="20"/>
      <c r="Q23" s="9">
        <f>(O23/$E$7)*2</f>
        <v>1.8489172748694249</v>
      </c>
      <c r="R23" s="10">
        <f>Q23-$G$6</f>
        <v>0</v>
      </c>
    </row>
    <row r="24" spans="1:19" x14ac:dyDescent="0.25">
      <c r="A24" s="21"/>
      <c r="B24" s="22"/>
      <c r="C24" s="23"/>
      <c r="D24" s="6" t="s">
        <v>24</v>
      </c>
      <c r="E24" s="12">
        <f>SUM(E21:E23)</f>
        <v>485.50572</v>
      </c>
      <c r="F24" s="20"/>
      <c r="G24" s="9">
        <f>SUM(G21:G23)</f>
        <v>2.209149127685313</v>
      </c>
      <c r="H24" s="10">
        <f>G24-$G$7</f>
        <v>0.20914912768531324</v>
      </c>
      <c r="I24" s="13">
        <f>(H24/G24)</f>
        <v>9.4674064808134548E-2</v>
      </c>
      <c r="K24" s="21"/>
      <c r="L24" s="22"/>
      <c r="M24" s="23"/>
      <c r="N24" s="6" t="s">
        <v>24</v>
      </c>
      <c r="O24" s="12">
        <f>SUM(O21:O23)</f>
        <v>533.25727200000006</v>
      </c>
      <c r="P24" s="20"/>
      <c r="Q24" s="9">
        <f>SUM(Q21:Q23)</f>
        <v>2.4264283380032055</v>
      </c>
      <c r="R24" s="10">
        <f>Q24-$G$7</f>
        <v>0.42642833800320568</v>
      </c>
      <c r="S24" s="13">
        <f>(R24/Q24)</f>
        <v>0.17574322361983655</v>
      </c>
    </row>
    <row r="25" spans="1:19" x14ac:dyDescent="0.25">
      <c r="E25" s="14"/>
      <c r="G25" s="11"/>
      <c r="I25" s="14"/>
      <c r="S25" s="14"/>
    </row>
    <row r="27" spans="1:19" ht="23.25" x14ac:dyDescent="0.35">
      <c r="A27" s="1" t="s">
        <v>28</v>
      </c>
      <c r="K27" s="1" t="s">
        <v>28</v>
      </c>
    </row>
    <row r="28" spans="1:19" ht="30" x14ac:dyDescent="0.25">
      <c r="A28" s="24" t="s">
        <v>9</v>
      </c>
      <c r="B28" s="3" t="s">
        <v>10</v>
      </c>
      <c r="C28" s="3" t="s">
        <v>11</v>
      </c>
      <c r="D28" s="3" t="s">
        <v>12</v>
      </c>
      <c r="E28" s="3" t="s">
        <v>13</v>
      </c>
      <c r="F28" s="20"/>
      <c r="G28" s="3" t="s">
        <v>26</v>
      </c>
      <c r="H28" s="4" t="s">
        <v>15</v>
      </c>
      <c r="K28" s="24" t="s">
        <v>9</v>
      </c>
      <c r="L28" s="3" t="s">
        <v>10</v>
      </c>
      <c r="M28" s="3" t="s">
        <v>11</v>
      </c>
      <c r="N28" s="3" t="s">
        <v>12</v>
      </c>
      <c r="O28" s="3" t="s">
        <v>13</v>
      </c>
      <c r="P28" s="20"/>
      <c r="Q28" s="3" t="s">
        <v>14</v>
      </c>
      <c r="R28" s="4" t="s">
        <v>15</v>
      </c>
    </row>
    <row r="29" spans="1:19" x14ac:dyDescent="0.25">
      <c r="A29" s="24"/>
      <c r="B29" s="6" t="s">
        <v>16</v>
      </c>
      <c r="C29" s="6" t="s">
        <v>17</v>
      </c>
      <c r="D29" s="6" t="s">
        <v>18</v>
      </c>
      <c r="E29" s="6" t="s">
        <v>19</v>
      </c>
      <c r="F29" s="20"/>
      <c r="G29" s="6" t="s">
        <v>20</v>
      </c>
      <c r="H29" s="7" t="s">
        <v>20</v>
      </c>
      <c r="K29" s="24"/>
      <c r="L29" s="6" t="s">
        <v>16</v>
      </c>
      <c r="M29" s="6" t="s">
        <v>17</v>
      </c>
      <c r="N29" s="6" t="s">
        <v>18</v>
      </c>
      <c r="O29" s="6" t="s">
        <v>19</v>
      </c>
      <c r="P29" s="20"/>
      <c r="Q29" s="6" t="s">
        <v>20</v>
      </c>
      <c r="R29" s="7" t="s">
        <v>20</v>
      </c>
    </row>
    <row r="30" spans="1:19" x14ac:dyDescent="0.25">
      <c r="A30" s="6" t="s">
        <v>21</v>
      </c>
      <c r="B30" s="6">
        <v>13.3</v>
      </c>
      <c r="C30" s="8">
        <v>80</v>
      </c>
      <c r="D30" s="6">
        <v>24</v>
      </c>
      <c r="E30" s="9">
        <f>((B30*C30)*(D30*60*60))/1000000</f>
        <v>91.929599999999994</v>
      </c>
      <c r="F30" s="20"/>
      <c r="G30" s="9">
        <f>(E30/$E$7)*2</f>
        <v>0.4182982553706262</v>
      </c>
      <c r="H30" s="10">
        <f>G30-$G$4</f>
        <v>0.31372369152796964</v>
      </c>
      <c r="K30" s="6" t="s">
        <v>21</v>
      </c>
      <c r="L30" s="6">
        <v>23.3</v>
      </c>
      <c r="M30" s="8">
        <v>80</v>
      </c>
      <c r="N30" s="6">
        <v>24</v>
      </c>
      <c r="O30" s="9">
        <f>((L30*M30)*(N30*60*60))/1000000</f>
        <v>161.0496</v>
      </c>
      <c r="P30" s="20"/>
      <c r="Q30" s="9">
        <f>(O30/$E$7)*2</f>
        <v>0.73280822181470606</v>
      </c>
      <c r="R30" s="10">
        <f>Q30-$G$4</f>
        <v>0.62823365797204955</v>
      </c>
    </row>
    <row r="31" spans="1:19" x14ac:dyDescent="0.25">
      <c r="A31" s="6" t="s">
        <v>22</v>
      </c>
      <c r="B31" s="6">
        <v>25</v>
      </c>
      <c r="C31" s="6">
        <v>4.7320000000000002</v>
      </c>
      <c r="D31" s="6">
        <v>24</v>
      </c>
      <c r="E31" s="9">
        <f>((B31*C31)*(D31*60*60))/1000000</f>
        <v>10.221120000000003</v>
      </c>
      <c r="F31" s="20"/>
      <c r="G31" s="9">
        <f>(E31/$E$7)*2</f>
        <v>4.650816128791832E-2</v>
      </c>
      <c r="H31" s="10">
        <f>G31-$G$5</f>
        <v>0</v>
      </c>
      <c r="K31" s="6" t="s">
        <v>22</v>
      </c>
      <c r="L31" s="6">
        <v>15</v>
      </c>
      <c r="M31" s="6">
        <v>4.7320000000000002</v>
      </c>
      <c r="N31" s="6">
        <v>24</v>
      </c>
      <c r="O31" s="9">
        <f>((L31*M31)*(N31*60*60))/1000000</f>
        <v>6.1326720000000003</v>
      </c>
      <c r="P31" s="20"/>
      <c r="Q31" s="9">
        <f>(O31/$E$7)*2</f>
        <v>2.7904896772750987E-2</v>
      </c>
      <c r="R31" s="10">
        <f>Q31-$G$5</f>
        <v>-1.8603264515167334E-2</v>
      </c>
    </row>
    <row r="32" spans="1:19" x14ac:dyDescent="0.25">
      <c r="A32" s="6" t="s">
        <v>23</v>
      </c>
      <c r="B32" s="6">
        <v>70</v>
      </c>
      <c r="C32" s="6">
        <v>271</v>
      </c>
      <c r="D32" s="6">
        <v>5.95</v>
      </c>
      <c r="E32" s="12">
        <f>((B32*C32)*(D32*60*60))/1000000</f>
        <v>406.3374</v>
      </c>
      <c r="F32" s="20"/>
      <c r="G32" s="9">
        <f>(E32/$E$7)*2</f>
        <v>1.8489172748694249</v>
      </c>
      <c r="H32" s="10">
        <f>G32-$G$6</f>
        <v>0</v>
      </c>
      <c r="K32" s="6" t="s">
        <v>23</v>
      </c>
      <c r="L32" s="6">
        <v>70</v>
      </c>
      <c r="M32" s="6">
        <v>271</v>
      </c>
      <c r="N32" s="6">
        <v>5.95</v>
      </c>
      <c r="O32" s="12">
        <f>((L32*M32)*(N32*60*60))/1000000</f>
        <v>406.3374</v>
      </c>
      <c r="P32" s="20"/>
      <c r="Q32" s="9">
        <f>(O32/$E$7)*2</f>
        <v>1.8489172748694249</v>
      </c>
      <c r="R32" s="10">
        <f>Q32-$G$6</f>
        <v>0</v>
      </c>
    </row>
    <row r="33" spans="1:19" x14ac:dyDescent="0.25">
      <c r="A33" s="21"/>
      <c r="B33" s="22"/>
      <c r="C33" s="23"/>
      <c r="D33" s="6" t="s">
        <v>24</v>
      </c>
      <c r="E33" s="12">
        <f>SUM(E30:E32)</f>
        <v>508.48811999999998</v>
      </c>
      <c r="F33" s="20"/>
      <c r="G33" s="9">
        <f>SUM(G30:G32)</f>
        <v>2.3137236915279695</v>
      </c>
      <c r="H33" s="10">
        <f>G33-$G$7</f>
        <v>0.31372369152796975</v>
      </c>
      <c r="I33" s="13">
        <f>(H33/G33)</f>
        <v>0.135592548356882</v>
      </c>
      <c r="K33" s="21"/>
      <c r="L33" s="22"/>
      <c r="M33" s="23"/>
      <c r="N33" s="6" t="s">
        <v>24</v>
      </c>
      <c r="O33" s="12">
        <f>SUM(O30:O32)</f>
        <v>573.51967200000001</v>
      </c>
      <c r="P33" s="20"/>
      <c r="Q33" s="9">
        <f>SUM(Q30:Q32)</f>
        <v>2.6096303934568819</v>
      </c>
      <c r="R33" s="10">
        <f>Q33-$G$7</f>
        <v>0.60963039345688208</v>
      </c>
      <c r="S33" s="13">
        <f>(R33/Q33)</f>
        <v>0.23360794501221571</v>
      </c>
    </row>
    <row r="34" spans="1:19" x14ac:dyDescent="0.25">
      <c r="E34" s="14"/>
      <c r="G34" s="11"/>
      <c r="I34" s="14"/>
      <c r="S34" s="14"/>
    </row>
  </sheetData>
  <mergeCells count="24">
    <mergeCell ref="A2:A3"/>
    <mergeCell ref="F2:F7"/>
    <mergeCell ref="A7:C7"/>
    <mergeCell ref="A28:A29"/>
    <mergeCell ref="F28:F33"/>
    <mergeCell ref="A33:C33"/>
    <mergeCell ref="A10:A11"/>
    <mergeCell ref="F10:F15"/>
    <mergeCell ref="A15:C15"/>
    <mergeCell ref="A19:A20"/>
    <mergeCell ref="F19:F24"/>
    <mergeCell ref="A24:C24"/>
    <mergeCell ref="K2:K3"/>
    <mergeCell ref="P2:P7"/>
    <mergeCell ref="K7:M7"/>
    <mergeCell ref="K10:K11"/>
    <mergeCell ref="P10:P15"/>
    <mergeCell ref="K15:M15"/>
    <mergeCell ref="P19:P24"/>
    <mergeCell ref="K24:M24"/>
    <mergeCell ref="K28:K29"/>
    <mergeCell ref="P28:P33"/>
    <mergeCell ref="K33:M33"/>
    <mergeCell ref="K19:K2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a8b8002-4cb4-434b-a1f3-58752a3e20dd" xsi:nil="true"/>
    <lcf76f155ced4ddcb4097134ff3c332f xmlns="d05a9b66-c356-45aa-b122-5743b7b0243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24F216B999544FA7D4FDFA216533E9" ma:contentTypeVersion="17" ma:contentTypeDescription="Create a new document." ma:contentTypeScope="" ma:versionID="05077f0df68dfa976d5572d54bbfa1ce">
  <xsd:schema xmlns:xsd="http://www.w3.org/2001/XMLSchema" xmlns:xs="http://www.w3.org/2001/XMLSchema" xmlns:p="http://schemas.microsoft.com/office/2006/metadata/properties" xmlns:ns2="d05a9b66-c356-45aa-b122-5743b7b0243c" xmlns:ns3="8a8b8002-4cb4-434b-a1f3-58752a3e20dd" targetNamespace="http://schemas.microsoft.com/office/2006/metadata/properties" ma:root="true" ma:fieldsID="277bea0008e6c7dde6780e7baa12f500" ns2:_="" ns3:_="">
    <xsd:import namespace="d05a9b66-c356-45aa-b122-5743b7b0243c"/>
    <xsd:import namespace="8a8b8002-4cb4-434b-a1f3-58752a3e20d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5a9b66-c356-45aa-b122-5743b7b024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da48596-e6e1-413c-8f4e-2bb605fbdfb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8b8002-4cb4-434b-a1f3-58752a3e20d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52d89c3-b92e-47a0-b741-0c09d9a32dfc}" ma:internalName="TaxCatchAll" ma:showField="CatchAllData" ma:web="8a8b8002-4cb4-434b-a1f3-58752a3e20d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4FBD97-8E69-4AB1-AE12-2572B224E144}">
  <ds:schemaRefs>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8a8b8002-4cb4-434b-a1f3-58752a3e20dd"/>
    <ds:schemaRef ds:uri="d05a9b66-c356-45aa-b122-5743b7b0243c"/>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A721E018-ABE9-4024-8501-1ACABE2F03A1}">
  <ds:schemaRefs>
    <ds:schemaRef ds:uri="http://schemas.microsoft.com/sharepoint/v3/contenttype/forms"/>
  </ds:schemaRefs>
</ds:datastoreItem>
</file>

<file path=customXml/itemProps3.xml><?xml version="1.0" encoding="utf-8"?>
<ds:datastoreItem xmlns:ds="http://schemas.openxmlformats.org/officeDocument/2006/customXml" ds:itemID="{0E739E46-7490-4BCB-8EE6-C522BC8E97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5a9b66-c356-45aa-b122-5743b7b0243c"/>
    <ds:schemaRef ds:uri="8a8b8002-4cb4-434b-a1f3-58752a3e20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Ammonia calcs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Haverson (Cefas)</dc:creator>
  <cp:keywords/>
  <dc:description/>
  <cp:lastModifiedBy>Andrew Griffith (Cefas)</cp:lastModifiedBy>
  <cp:revision/>
  <dcterms:created xsi:type="dcterms:W3CDTF">2023-01-13T09:27:25Z</dcterms:created>
  <dcterms:modified xsi:type="dcterms:W3CDTF">2023-09-12T07:01:37Z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0x010100EC24F216B999544FA7D4FDFA216533E9</vt:lpwstr>
  </property>
  <property fmtid="{D5CDD505-2E9C-101B-9397-08002B2CF9AE}" pid="3" name="MSIP_Label_a0c2ddd0-afbf-49e4-8b02-da81def1ba6b_Enabled">
    <vt:lpwstr>True</vt:lpwstr>
  </property>
  <property fmtid="{D5CDD505-2E9C-101B-9397-08002B2CF9AE}" pid="4" name="MSIP_Label_a0c2ddd0-afbf-49e4-8b02-da81def1ba6b_SiteId">
    <vt:lpwstr>eeea3199-afa0-41eb-bbf2-f6e42c3da7cf</vt:lpwstr>
  </property>
  <property fmtid="{D5CDD505-2E9C-101B-9397-08002B2CF9AE}" pid="5" name="MSIP_Label_a0c2ddd0-afbf-49e4-8b02-da81def1ba6b_Owner">
    <vt:lpwstr>andrew.griffith@cefas.gov.uk</vt:lpwstr>
  </property>
  <property fmtid="{D5CDD505-2E9C-101B-9397-08002B2CF9AE}" pid="6" name="MSIP_Label_a0c2ddd0-afbf-49e4-8b02-da81def1ba6b_SetDate">
    <vt:lpwstr>2023-02-08T18:09:51.2199798Z</vt:lpwstr>
  </property>
  <property fmtid="{D5CDD505-2E9C-101B-9397-08002B2CF9AE}" pid="7" name="MSIP_Label_a0c2ddd0-afbf-49e4-8b02-da81def1ba6b_Name">
    <vt:lpwstr>Official</vt:lpwstr>
  </property>
  <property fmtid="{D5CDD505-2E9C-101B-9397-08002B2CF9AE}" pid="8" name="MSIP_Label_a0c2ddd0-afbf-49e4-8b02-da81def1ba6b_Application">
    <vt:lpwstr>Microsoft Azure Information Protection</vt:lpwstr>
  </property>
  <property fmtid="{D5CDD505-2E9C-101B-9397-08002B2CF9AE}" pid="9" name="MSIP_Label_a0c2ddd0-afbf-49e4-8b02-da81def1ba6b_ActionId">
    <vt:lpwstr>907ffd78-c881-44d7-b5a1-dc7207c1f44d</vt:lpwstr>
  </property>
  <property fmtid="{D5CDD505-2E9C-101B-9397-08002B2CF9AE}" pid="10" name="MSIP_Label_a0c2ddd0-afbf-49e4-8b02-da81def1ba6b_Extended_MSFT_Method">
    <vt:lpwstr>Automatic</vt:lpwstr>
  </property>
  <property fmtid="{D5CDD505-2E9C-101B-9397-08002B2CF9AE}" pid="11" name="Sensitivity">
    <vt:lpwstr>Official</vt:lpwstr>
  </property>
  <property fmtid="{D5CDD505-2E9C-101B-9397-08002B2CF9AE}" pid="12" name="MediaServiceImageTags">
    <vt:lpwstr/>
  </property>
</Properties>
</file>