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oyston Site EHS Team\Environment\EPR Variations MPP\2023 Royston Site EPR Variation Folder V17\Final Draft\Air Emission Modelling Data and Reports\"/>
    </mc:Choice>
  </mc:AlternateContent>
  <xr:revisionPtr revIDLastSave="0" documentId="8_{CA5DC6F8-1216-40DD-97F1-4E9C0A211C1C}" xr6:coauthVersionLast="47" xr6:coauthVersionMax="47" xr10:uidLastSave="{00000000-0000-0000-0000-000000000000}"/>
  <bookViews>
    <workbookView xWindow="-28920" yWindow="-120" windowWidth="29040" windowHeight="15840" firstSheet="2" activeTab="2" xr2:uid="{00000000-000D-0000-FFFF-FFFF00000000}"/>
  </bookViews>
  <sheets>
    <sheet name="Summary Page" sheetId="9" r:id="rId1"/>
    <sheet name="Short Term 2020-2023 Data" sheetId="10" r:id="rId2"/>
    <sheet name="2020-2024 Data long term avg" sheetId="11" r:id="rId3"/>
    <sheet name="Sheet1" sheetId="1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7" i="9" l="1"/>
  <c r="AQ24" i="9"/>
  <c r="AV10" i="9"/>
  <c r="AV8" i="9"/>
  <c r="AR22" i="9"/>
  <c r="AR21" i="9"/>
  <c r="P11" i="10" l="1"/>
  <c r="N7" i="9" l="1"/>
  <c r="G7" i="9"/>
  <c r="F7" i="9" s="1"/>
  <c r="I13" i="9" l="1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4" i="9"/>
  <c r="I6" i="9"/>
  <c r="I7" i="9"/>
  <c r="I8" i="9"/>
  <c r="I9" i="9"/>
  <c r="I10" i="9"/>
  <c r="I11" i="9"/>
  <c r="I12" i="9"/>
  <c r="I5" i="9"/>
  <c r="CS62" i="11"/>
  <c r="CS60" i="11"/>
  <c r="CS57" i="11"/>
  <c r="CP62" i="11"/>
  <c r="CP60" i="11"/>
  <c r="CP57" i="11"/>
  <c r="CO62" i="11"/>
  <c r="CO60" i="11"/>
  <c r="CO57" i="11"/>
  <c r="AD58" i="11"/>
  <c r="BB29" i="9" s="1"/>
  <c r="AD60" i="11"/>
  <c r="BA30" i="9" s="1"/>
  <c r="AD61" i="11"/>
  <c r="BB30" i="9" s="1"/>
  <c r="AD62" i="11"/>
  <c r="BA31" i="9" s="1"/>
  <c r="AD63" i="11"/>
  <c r="BB31" i="9" s="1"/>
  <c r="AD57" i="11"/>
  <c r="BA29" i="9" s="1"/>
  <c r="K7" i="9"/>
  <c r="CS45" i="11"/>
  <c r="CP45" i="11"/>
  <c r="CO45" i="11"/>
  <c r="CO43" i="11"/>
  <c r="P29" i="9" l="1"/>
  <c r="AG29" i="9" s="1"/>
  <c r="W29" i="9" s="1"/>
  <c r="AR29" i="9" s="1"/>
  <c r="Q30" i="9" l="1"/>
  <c r="P22" i="9"/>
  <c r="AF29" i="9" l="1"/>
  <c r="P31" i="9" l="1"/>
  <c r="AG31" i="9" l="1"/>
  <c r="W31" i="9" s="1"/>
  <c r="AR31" i="9" s="1"/>
  <c r="AF31" i="9"/>
  <c r="O33" i="9"/>
  <c r="O32" i="9"/>
  <c r="P32" i="9" l="1"/>
  <c r="J32" i="9"/>
  <c r="K32" i="9" s="1"/>
  <c r="P33" i="9"/>
  <c r="J33" i="9"/>
  <c r="K33" i="9" s="1"/>
  <c r="K29" i="9"/>
  <c r="K30" i="9"/>
  <c r="K31" i="9"/>
  <c r="AA33" i="9" l="1"/>
  <c r="Y33" i="9"/>
  <c r="T33" i="9"/>
  <c r="U33" i="9"/>
  <c r="V33" i="9"/>
  <c r="AA32" i="9"/>
  <c r="Y32" i="9"/>
  <c r="U32" i="9"/>
  <c r="V32" i="9"/>
  <c r="T32" i="9"/>
  <c r="AK33" i="9"/>
  <c r="AK32" i="9"/>
  <c r="AI33" i="9"/>
  <c r="AI32" i="9"/>
  <c r="AD32" i="9"/>
  <c r="AE32" i="9"/>
  <c r="AD33" i="9"/>
  <c r="AE33" i="9"/>
  <c r="AF32" i="9"/>
  <c r="AF33" i="9"/>
  <c r="P4" i="9" l="1"/>
  <c r="V31" i="9"/>
  <c r="P5" i="10"/>
  <c r="G6" i="9"/>
  <c r="P6" i="10" l="1"/>
  <c r="P7" i="10"/>
  <c r="P8" i="10"/>
  <c r="P9" i="10"/>
  <c r="P10" i="10"/>
  <c r="P12" i="10"/>
  <c r="P13" i="10"/>
  <c r="CS10" i="11"/>
  <c r="CS14" i="11"/>
  <c r="CS18" i="11"/>
  <c r="CS19" i="11"/>
  <c r="CS21" i="11"/>
  <c r="CS22" i="11"/>
  <c r="CS23" i="11"/>
  <c r="CS27" i="11"/>
  <c r="CS33" i="11"/>
  <c r="CS36" i="11"/>
  <c r="CS40" i="11"/>
  <c r="CS43" i="11"/>
  <c r="CS48" i="11"/>
  <c r="CS50" i="11"/>
  <c r="CS53" i="11"/>
  <c r="CS55" i="11"/>
  <c r="CS64" i="11"/>
  <c r="CS67" i="11"/>
  <c r="CS68" i="11"/>
  <c r="CS70" i="11"/>
  <c r="CP10" i="11"/>
  <c r="CP14" i="11"/>
  <c r="CP18" i="11"/>
  <c r="CP19" i="11"/>
  <c r="CP21" i="11"/>
  <c r="CP22" i="11"/>
  <c r="CP23" i="11"/>
  <c r="CP27" i="11"/>
  <c r="CP33" i="11"/>
  <c r="CP36" i="11"/>
  <c r="CP40" i="11"/>
  <c r="CP43" i="11"/>
  <c r="CP48" i="11"/>
  <c r="CP50" i="11"/>
  <c r="CP53" i="11"/>
  <c r="CP55" i="11"/>
  <c r="CP64" i="11"/>
  <c r="CP67" i="11"/>
  <c r="CP68" i="11"/>
  <c r="CP70" i="11"/>
  <c r="CO10" i="11"/>
  <c r="CO14" i="11"/>
  <c r="CO18" i="11"/>
  <c r="CO19" i="11"/>
  <c r="CO21" i="11"/>
  <c r="CO22" i="11"/>
  <c r="CO23" i="11"/>
  <c r="CO27" i="11"/>
  <c r="CO33" i="11"/>
  <c r="CO36" i="11"/>
  <c r="CO40" i="11"/>
  <c r="CO48" i="11"/>
  <c r="CO50" i="11"/>
  <c r="CO53" i="11"/>
  <c r="CO55" i="11"/>
  <c r="CO64" i="11"/>
  <c r="CO67" i="11"/>
  <c r="CO68" i="11"/>
  <c r="CO70" i="11"/>
  <c r="CS6" i="11"/>
  <c r="CP6" i="11"/>
  <c r="CO6" i="11"/>
  <c r="P30" i="9"/>
  <c r="Q31" i="9"/>
  <c r="Q29" i="9"/>
  <c r="AF30" i="9" l="1"/>
  <c r="V30" i="9"/>
  <c r="V29" i="9"/>
  <c r="AG30" i="9"/>
  <c r="W30" i="9" s="1"/>
  <c r="AR30" i="9" s="1"/>
  <c r="Q4" i="9"/>
  <c r="O4" i="9" s="1"/>
  <c r="AD36" i="11"/>
  <c r="AY15" i="9" s="1"/>
  <c r="AD31" i="11"/>
  <c r="BA12" i="9" s="1"/>
  <c r="AD40" i="11"/>
  <c r="AY16" i="9" s="1"/>
  <c r="AD7" i="11"/>
  <c r="BF4" i="9" s="1"/>
  <c r="AD8" i="11"/>
  <c r="BA4" i="9" s="1"/>
  <c r="AD9" i="11"/>
  <c r="BB4" i="9" s="1"/>
  <c r="AD10" i="11"/>
  <c r="BD5" i="9" s="1"/>
  <c r="AD11" i="11"/>
  <c r="AD12" i="11"/>
  <c r="BA5" i="9" s="1"/>
  <c r="AD13" i="11"/>
  <c r="BB5" i="9" s="1"/>
  <c r="AD14" i="11"/>
  <c r="BD6" i="9" s="1"/>
  <c r="AD15" i="11"/>
  <c r="BF6" i="9" s="1"/>
  <c r="AD16" i="11"/>
  <c r="BA6" i="9" s="1"/>
  <c r="AD17" i="11"/>
  <c r="BB6" i="9" s="1"/>
  <c r="AD18" i="11"/>
  <c r="BC7" i="9" s="1"/>
  <c r="AD19" i="11"/>
  <c r="BF8" i="9" s="1"/>
  <c r="AD21" i="11"/>
  <c r="BF9" i="9" s="1"/>
  <c r="AD22" i="11"/>
  <c r="BF10" i="9" s="1"/>
  <c r="AD23" i="11"/>
  <c r="BG11" i="9" s="1"/>
  <c r="AD24" i="11"/>
  <c r="BH11" i="9" s="1"/>
  <c r="AD25" i="11"/>
  <c r="BA11" i="9" s="1"/>
  <c r="AD27" i="11"/>
  <c r="BC12" i="9" s="1"/>
  <c r="AD28" i="11"/>
  <c r="AZ12" i="9" s="1"/>
  <c r="AD29" i="11"/>
  <c r="AY12" i="9" s="1"/>
  <c r="AD30" i="11"/>
  <c r="BD12" i="9" s="1"/>
  <c r="AD33" i="11"/>
  <c r="AY14" i="9" s="1"/>
  <c r="AD34" i="11"/>
  <c r="BE14" i="9" s="1"/>
  <c r="AD35" i="11"/>
  <c r="AZ14" i="9" s="1"/>
  <c r="AD37" i="11"/>
  <c r="BE15" i="9" s="1"/>
  <c r="AD38" i="11"/>
  <c r="AZ15" i="9" s="1"/>
  <c r="AD41" i="11"/>
  <c r="BE16" i="9" s="1"/>
  <c r="AD42" i="11"/>
  <c r="AZ16" i="9" s="1"/>
  <c r="AD43" i="11"/>
  <c r="AY17" i="9" s="1"/>
  <c r="AD44" i="11"/>
  <c r="AZ17" i="9" s="1"/>
  <c r="AD45" i="11"/>
  <c r="AY18" i="9" s="1"/>
  <c r="AD46" i="11"/>
  <c r="AD47" i="11"/>
  <c r="BF18" i="9" s="1"/>
  <c r="AD48" i="11"/>
  <c r="AY19" i="9" s="1"/>
  <c r="AD49" i="11"/>
  <c r="AZ19" i="9" s="1"/>
  <c r="AD50" i="11"/>
  <c r="AY20" i="9" s="1"/>
  <c r="AD52" i="11"/>
  <c r="BA20" i="9" s="1"/>
  <c r="AD53" i="11"/>
  <c r="BA21" i="9" s="1"/>
  <c r="AD54" i="11"/>
  <c r="BB21" i="9" s="1"/>
  <c r="AD55" i="11"/>
  <c r="BA22" i="9" s="1"/>
  <c r="AD56" i="11"/>
  <c r="BB22" i="9" s="1"/>
  <c r="AD64" i="11"/>
  <c r="AY23" i="9" s="1"/>
  <c r="AD65" i="11"/>
  <c r="BD23" i="9" s="1"/>
  <c r="AD66" i="11"/>
  <c r="BF23" i="9" s="1"/>
  <c r="AD67" i="11"/>
  <c r="BA24" i="9" s="1"/>
  <c r="AD68" i="11"/>
  <c r="AY25" i="9" s="1"/>
  <c r="AD69" i="11"/>
  <c r="AZ25" i="9" s="1"/>
  <c r="AD70" i="11"/>
  <c r="BD26" i="9" s="1"/>
  <c r="AD6" i="11"/>
  <c r="BD4" i="9" s="1"/>
  <c r="O28" i="9"/>
  <c r="O27" i="9"/>
  <c r="P27" i="9" l="1"/>
  <c r="J27" i="9"/>
  <c r="K27" i="9" s="1"/>
  <c r="P28" i="9"/>
  <c r="J28" i="9"/>
  <c r="K28" i="9" s="1"/>
  <c r="N26" i="9"/>
  <c r="AK28" i="9" l="1"/>
  <c r="AA28" i="9"/>
  <c r="AF28" i="9"/>
  <c r="AG28" i="9"/>
  <c r="W28" i="9"/>
  <c r="V28" i="9"/>
  <c r="AG27" i="9"/>
  <c r="AF27" i="9"/>
  <c r="V27" i="9"/>
  <c r="AK27" i="9"/>
  <c r="W27" i="9"/>
  <c r="AA27" i="9"/>
  <c r="P5" i="9"/>
  <c r="P6" i="9"/>
  <c r="P7" i="9"/>
  <c r="X7" i="9" s="1"/>
  <c r="P8" i="9"/>
  <c r="AA8" i="9" s="1"/>
  <c r="P9" i="9"/>
  <c r="AA9" i="9" s="1"/>
  <c r="P10" i="9"/>
  <c r="AA10" i="9" s="1"/>
  <c r="P11" i="9"/>
  <c r="AF11" i="9" s="1"/>
  <c r="P12" i="9"/>
  <c r="T12" i="9" s="1"/>
  <c r="P14" i="9"/>
  <c r="AD14" i="9" s="1"/>
  <c r="P15" i="9"/>
  <c r="AJ15" i="9" s="1"/>
  <c r="P16" i="9"/>
  <c r="T16" i="9" s="1"/>
  <c r="P17" i="9"/>
  <c r="U17" i="9" s="1"/>
  <c r="P18" i="9"/>
  <c r="T18" i="9" s="1"/>
  <c r="AD18" i="9" s="1"/>
  <c r="P19" i="9"/>
  <c r="AE19" i="9" s="1"/>
  <c r="P20" i="9"/>
  <c r="V20" i="9" s="1"/>
  <c r="P21" i="9"/>
  <c r="AF21" i="9" s="1"/>
  <c r="W22" i="9"/>
  <c r="P23" i="9"/>
  <c r="AD23" i="9" s="1"/>
  <c r="R24" i="9"/>
  <c r="P24" i="9" s="1"/>
  <c r="R25" i="9"/>
  <c r="R26" i="9"/>
  <c r="Q5" i="9"/>
  <c r="Q6" i="9"/>
  <c r="Q7" i="9"/>
  <c r="Q8" i="9"/>
  <c r="Q9" i="9"/>
  <c r="Q10" i="9"/>
  <c r="Q11" i="9"/>
  <c r="Q12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O26" i="9" s="1"/>
  <c r="Y6" i="9" l="1"/>
  <c r="AA6" i="9"/>
  <c r="AK6" i="9"/>
  <c r="AG5" i="9"/>
  <c r="AA5" i="9"/>
  <c r="AK5" i="9"/>
  <c r="V21" i="9"/>
  <c r="AD20" i="9"/>
  <c r="AD12" i="9"/>
  <c r="Y12" i="9"/>
  <c r="U12" i="9"/>
  <c r="V11" i="9"/>
  <c r="T20" i="9"/>
  <c r="AI12" i="9"/>
  <c r="AF12" i="9"/>
  <c r="AE12" i="9"/>
  <c r="AD19" i="9"/>
  <c r="AL11" i="9"/>
  <c r="T19" i="9"/>
  <c r="AC11" i="9"/>
  <c r="U19" i="9"/>
  <c r="AB11" i="9"/>
  <c r="W6" i="9"/>
  <c r="W21" i="9"/>
  <c r="AI6" i="9"/>
  <c r="AG6" i="9"/>
  <c r="AG21" i="9"/>
  <c r="V6" i="9"/>
  <c r="AD15" i="9"/>
  <c r="AF5" i="9"/>
  <c r="Z15" i="9"/>
  <c r="U15" i="9"/>
  <c r="T15" i="9"/>
  <c r="Z14" i="9"/>
  <c r="AH7" i="9"/>
  <c r="U14" i="9"/>
  <c r="V4" i="9"/>
  <c r="AF4" i="9"/>
  <c r="V22" i="9"/>
  <c r="Y23" i="9"/>
  <c r="X12" i="9"/>
  <c r="Y5" i="9"/>
  <c r="AF20" i="9"/>
  <c r="T17" i="9"/>
  <c r="V12" i="9"/>
  <c r="W5" i="9"/>
  <c r="AJ16" i="9"/>
  <c r="AI4" i="9"/>
  <c r="AE15" i="9"/>
  <c r="AH12" i="9"/>
  <c r="AE16" i="9"/>
  <c r="T14" i="9"/>
  <c r="AG22" i="9"/>
  <c r="AE17" i="9"/>
  <c r="U16" i="9"/>
  <c r="AJ14" i="9"/>
  <c r="AM11" i="9"/>
  <c r="AF6" i="9"/>
  <c r="AF22" i="9"/>
  <c r="AE14" i="9"/>
  <c r="AK8" i="9"/>
  <c r="AK4" i="9"/>
  <c r="AD16" i="9"/>
  <c r="AK9" i="9"/>
  <c r="Z16" i="9"/>
  <c r="AA23" i="9"/>
  <c r="AK18" i="9"/>
  <c r="AA18" i="9"/>
  <c r="AK10" i="9"/>
  <c r="V5" i="9"/>
  <c r="T23" i="9"/>
  <c r="AK23" i="9"/>
  <c r="AI5" i="9"/>
  <c r="AG4" i="9"/>
  <c r="Y4" i="9"/>
  <c r="W4" i="9"/>
  <c r="AA4" i="9"/>
  <c r="P26" i="9" l="1"/>
  <c r="Y26" i="9" s="1"/>
  <c r="P25" i="9"/>
  <c r="AE25" i="9" s="1"/>
  <c r="O25" i="9"/>
  <c r="AF24" i="9"/>
  <c r="O24" i="9"/>
  <c r="O23" i="9"/>
  <c r="O22" i="9"/>
  <c r="O21" i="9"/>
  <c r="O20" i="9"/>
  <c r="O19" i="9"/>
  <c r="O18" i="9"/>
  <c r="O17" i="9"/>
  <c r="O16" i="9"/>
  <c r="O15" i="9"/>
  <c r="O14" i="9"/>
  <c r="O12" i="9"/>
  <c r="O11" i="9"/>
  <c r="O10" i="9"/>
  <c r="O9" i="9"/>
  <c r="O8" i="9"/>
  <c r="O7" i="9"/>
  <c r="O6" i="9"/>
  <c r="O5" i="9"/>
  <c r="K13" i="9"/>
  <c r="G26" i="9"/>
  <c r="N25" i="9"/>
  <c r="G25" i="9"/>
  <c r="N24" i="9"/>
  <c r="G24" i="9"/>
  <c r="N23" i="9"/>
  <c r="G23" i="9"/>
  <c r="N22" i="9"/>
  <c r="G22" i="9"/>
  <c r="N21" i="9"/>
  <c r="G21" i="9"/>
  <c r="N20" i="9"/>
  <c r="G20" i="9"/>
  <c r="N19" i="9"/>
  <c r="G19" i="9"/>
  <c r="N18" i="9"/>
  <c r="G18" i="9"/>
  <c r="N17" i="9"/>
  <c r="G17" i="9"/>
  <c r="N16" i="9"/>
  <c r="G16" i="9"/>
  <c r="N15" i="9"/>
  <c r="G15" i="9"/>
  <c r="N14" i="9"/>
  <c r="G14" i="9"/>
  <c r="N13" i="9"/>
  <c r="G13" i="9"/>
  <c r="N12" i="9"/>
  <c r="G12" i="9"/>
  <c r="N11" i="9"/>
  <c r="G11" i="9"/>
  <c r="N10" i="9"/>
  <c r="G10" i="9"/>
  <c r="N9" i="9"/>
  <c r="G9" i="9"/>
  <c r="N8" i="9"/>
  <c r="G8" i="9"/>
  <c r="N6" i="9"/>
  <c r="N5" i="9"/>
  <c r="G5" i="9"/>
  <c r="N4" i="9"/>
  <c r="G4" i="9"/>
  <c r="J4" i="9" s="1"/>
  <c r="O13" i="9" l="1"/>
  <c r="AD25" i="9"/>
  <c r="J21" i="9"/>
  <c r="K21" i="9" s="1"/>
  <c r="J22" i="9"/>
  <c r="K22" i="9" s="1"/>
  <c r="K4" i="9"/>
  <c r="J11" i="9"/>
  <c r="K11" i="9" s="1"/>
  <c r="J12" i="9"/>
  <c r="K12" i="9" s="1"/>
  <c r="J10" i="9"/>
  <c r="K10" i="9" s="1"/>
  <c r="J5" i="9"/>
  <c r="K5" i="9" s="1"/>
  <c r="J25" i="9"/>
  <c r="K25" i="9" s="1"/>
  <c r="J6" i="9"/>
  <c r="K6" i="9" s="1"/>
  <c r="J15" i="9"/>
  <c r="K15" i="9" s="1"/>
  <c r="J9" i="9"/>
  <c r="K9" i="9" s="1"/>
  <c r="J8" i="9"/>
  <c r="K8" i="9" s="1"/>
  <c r="AI26" i="9"/>
  <c r="AF26" i="9"/>
  <c r="J19" i="9"/>
  <c r="K19" i="9" s="1"/>
  <c r="J20" i="9"/>
  <c r="K20" i="9" s="1"/>
  <c r="J16" i="9"/>
  <c r="K16" i="9" s="1"/>
  <c r="J14" i="9"/>
  <c r="K14" i="9" s="1"/>
  <c r="J26" i="9"/>
  <c r="K26" i="9" s="1"/>
  <c r="J24" i="9"/>
  <c r="K24" i="9" s="1"/>
  <c r="J18" i="9"/>
  <c r="K18" i="9" s="1"/>
  <c r="J23" i="9"/>
  <c r="K23" i="9" s="1"/>
  <c r="T25" i="9"/>
  <c r="U25" i="9"/>
  <c r="J17" i="9"/>
  <c r="K17" i="9" s="1"/>
  <c r="V24" i="9"/>
  <c r="V26" i="9"/>
  <c r="P13" i="9" l="1"/>
  <c r="R13" i="9" s="1"/>
  <c r="Q1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Mensah</author>
    <author>Rose Jackson</author>
    <author>tc={0DB3BCC6-5112-48D3-B893-2B7B7240B442}</author>
  </authors>
  <commentList>
    <comment ref="F3" authorId="0" shapeId="0" xr:uid="{ACF1028D-56B8-4E21-8B8D-5FB3BAB80D97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internal diameter</t>
        </r>
      </text>
    </comment>
    <comment ref="L3" authorId="0" shapeId="0" xr:uid="{09AC07A9-6475-4BDF-A804-58B3DA66F91B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Not change unless for new or modified stack</t>
        </r>
      </text>
    </comment>
    <comment ref="M3" authorId="0" shapeId="0" xr:uid="{0DA6E373-E00C-45DD-BBDF-07421C8292CA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Get velocity from monitoring results table in Report</t>
        </r>
      </text>
    </comment>
    <comment ref="O3" authorId="0" shapeId="0" xr:uid="{A1A9EB61-E6B0-4535-901D-47278C1D6918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Will be auto calculated from column O</t>
        </r>
      </text>
    </comment>
    <comment ref="AA4" authorId="1" shapeId="0" xr:uid="{406F312B-6573-4844-BE90-88025A848E15}">
      <text>
        <r>
          <rPr>
            <b/>
            <sz val="9"/>
            <color indexed="81"/>
            <rFont val="Tahoma"/>
            <family val="2"/>
          </rPr>
          <t>Rose Jackson:</t>
        </r>
        <r>
          <rPr>
            <sz val="9"/>
            <color indexed="81"/>
            <rFont val="Tahoma"/>
            <family val="2"/>
          </rPr>
          <t xml:space="preserve">
methane (not modelled)</t>
        </r>
      </text>
    </comment>
    <comment ref="AK4" authorId="1" shapeId="0" xr:uid="{559F8DD1-9096-481F-B7CA-9FD541253577}">
      <text>
        <r>
          <rPr>
            <b/>
            <sz val="9"/>
            <color indexed="81"/>
            <rFont val="Tahoma"/>
            <family val="2"/>
          </rPr>
          <t>Rose Jackson:</t>
        </r>
        <r>
          <rPr>
            <sz val="9"/>
            <color indexed="81"/>
            <rFont val="Tahoma"/>
            <family val="2"/>
          </rPr>
          <t xml:space="preserve">
methane (not modelled)</t>
        </r>
      </text>
    </comment>
    <comment ref="AA5" authorId="1" shapeId="0" xr:uid="{50B90CAF-20A1-4889-8324-F0E314D67480}">
      <text>
        <r>
          <rPr>
            <b/>
            <sz val="9"/>
            <color indexed="81"/>
            <rFont val="Tahoma"/>
            <family val="2"/>
          </rPr>
          <t>Rose Jackson:</t>
        </r>
        <r>
          <rPr>
            <sz val="9"/>
            <color indexed="81"/>
            <rFont val="Tahoma"/>
            <family val="2"/>
          </rPr>
          <t xml:space="preserve">
methane (not modelled)</t>
        </r>
      </text>
    </comment>
    <comment ref="AK5" authorId="1" shapeId="0" xr:uid="{B47882FE-2D24-4E93-ADD9-8B2C459A2DAA}">
      <text>
        <r>
          <rPr>
            <b/>
            <sz val="9"/>
            <color indexed="81"/>
            <rFont val="Tahoma"/>
            <family val="2"/>
          </rPr>
          <t>Rose Jackson:</t>
        </r>
        <r>
          <rPr>
            <sz val="9"/>
            <color indexed="81"/>
            <rFont val="Tahoma"/>
            <family val="2"/>
          </rPr>
          <t xml:space="preserve">
methane (not modelled)</t>
        </r>
      </text>
    </comment>
    <comment ref="AA6" authorId="1" shapeId="0" xr:uid="{F664BFD5-A0BD-41F7-A575-5E2785AFCFB8}">
      <text>
        <r>
          <rPr>
            <b/>
            <sz val="9"/>
            <color indexed="81"/>
            <rFont val="Tahoma"/>
            <family val="2"/>
          </rPr>
          <t>Rose Jackson:</t>
        </r>
        <r>
          <rPr>
            <sz val="9"/>
            <color indexed="81"/>
            <rFont val="Tahoma"/>
            <family val="2"/>
          </rPr>
          <t xml:space="preserve">
methane (not modelled)</t>
        </r>
      </text>
    </comment>
    <comment ref="AK6" authorId="1" shapeId="0" xr:uid="{8FAE0BEF-2397-4F08-9E46-A9D964BAC2A9}">
      <text>
        <r>
          <rPr>
            <b/>
            <sz val="9"/>
            <color indexed="81"/>
            <rFont val="Tahoma"/>
            <family val="2"/>
          </rPr>
          <t>Rose Jackson:</t>
        </r>
        <r>
          <rPr>
            <sz val="9"/>
            <color indexed="81"/>
            <rFont val="Tahoma"/>
            <family val="2"/>
          </rPr>
          <t xml:space="preserve">
methane (not modelled)</t>
        </r>
      </text>
    </comment>
    <comment ref="G7" authorId="1" shapeId="0" xr:uid="{80BD480B-493F-412D-84BC-A6C3BA7B478C}">
      <text>
        <r>
          <rPr>
            <b/>
            <sz val="9"/>
            <color indexed="81"/>
            <rFont val="Tahoma"/>
            <family val="2"/>
          </rPr>
          <t>Rose Jackson:</t>
        </r>
        <r>
          <rPr>
            <sz val="9"/>
            <color indexed="81"/>
            <rFont val="Tahoma"/>
            <family val="2"/>
          </rPr>
          <t xml:space="preserve">
square vent, 0.3 m width</t>
        </r>
      </text>
    </comment>
    <comment ref="J7" authorId="1" shapeId="0" xr:uid="{754B7D48-373A-4364-9684-4B74E8F777F9}">
      <text>
        <r>
          <rPr>
            <b/>
            <sz val="9"/>
            <color indexed="81"/>
            <rFont val="Tahoma"/>
            <family val="2"/>
          </rPr>
          <t>Rose Jackson:</t>
        </r>
        <r>
          <rPr>
            <sz val="9"/>
            <color indexed="81"/>
            <rFont val="Tahoma"/>
            <family val="2"/>
          </rPr>
          <t xml:space="preserve">
horizontal release - prev assumption</t>
        </r>
      </text>
    </comment>
    <comment ref="N7" authorId="2" shapeId="0" xr:uid="{0DB3BCC6-5112-48D3-B893-2B7B7240B442}">
      <text>
        <t>[Threaded comment]
Your version of Excel allows you to read this threaded comment; however, any edits to it will get removed if the file is opened in a newer version of Excel. Learn more: https://go.microsoft.com/fwlink/?linkid=870924
Comment:
    Square duct</t>
      </text>
    </comment>
    <comment ref="AV8" authorId="0" shapeId="0" xr:uid="{54BF0E30-37E2-468D-A2A4-133F70B449BB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No set limit, use monitored results</t>
        </r>
      </text>
    </comment>
    <comment ref="AV10" authorId="0" shapeId="0" xr:uid="{EE953902-111D-4DED-AA82-328D93C3B64F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No set limit, use monitored results</t>
        </r>
      </text>
    </comment>
    <comment ref="AV13" authorId="0" shapeId="0" xr:uid="{28F5B15F-DF74-4FB8-A9AB-5E564C94B253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limitr is annual tonnes, use monitored results</t>
        </r>
      </text>
    </comment>
    <comment ref="AD18" authorId="1" shapeId="0" xr:uid="{4BF1AA45-8A34-422F-8A86-DCE4EF934101}">
      <text>
        <r>
          <rPr>
            <b/>
            <sz val="9"/>
            <color indexed="81"/>
            <rFont val="Tahoma"/>
            <charset val="1"/>
          </rPr>
          <t>Rose Jackson:</t>
        </r>
        <r>
          <rPr>
            <sz val="9"/>
            <color indexed="81"/>
            <rFont val="Tahoma"/>
            <charset val="1"/>
          </rPr>
          <t xml:space="preserve">
use ST emission (based on limit) due to high monitored values. Avg impacted by a limit breach in 2023 (20mg/m3)</t>
        </r>
      </text>
    </comment>
    <comment ref="AR21" authorId="0" shapeId="0" xr:uid="{B188F9D0-5AED-4792-8317-4BBE9E866B9B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No set limit, use monitored results</t>
        </r>
      </text>
    </comment>
    <comment ref="AR22" authorId="0" shapeId="0" xr:uid="{0CA36378-6D94-45D6-9FA8-BA89E102E3A0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no emission limit use moitored results</t>
        </r>
      </text>
    </comment>
    <comment ref="AI23" authorId="0" shapeId="0" xr:uid="{68768C16-D8A4-43E1-AB33-2B075940EBBA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average monitored data was not used due to a breach in one of the years. Therefore the short term limit has been chossen</t>
        </r>
      </text>
    </comment>
    <comment ref="AQ24" authorId="0" shapeId="0" xr:uid="{25FCE765-B9C5-429E-A7A1-5BC8B8D663FC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no emission limit use moitored results</t>
        </r>
      </text>
    </comment>
    <comment ref="W29" authorId="1" shapeId="0" xr:uid="{F9DDE388-E7A8-4E6D-95A8-58064C13CFA6}">
      <text>
        <r>
          <rPr>
            <b/>
            <sz val="9"/>
            <color indexed="81"/>
            <rFont val="Tahoma"/>
            <family val="2"/>
          </rPr>
          <t>Rose Jackson:</t>
        </r>
        <r>
          <rPr>
            <sz val="9"/>
            <color indexed="81"/>
            <rFont val="Tahoma"/>
            <family val="2"/>
          </rPr>
          <t xml:space="preserve">
no CO limit in permit, so set ST same as LT</t>
        </r>
      </text>
    </comment>
    <comment ref="AQ29" authorId="0" shapeId="0" xr:uid="{E105B297-85E6-4504-8621-9DFCCF715C34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BAT 36 WGC</t>
        </r>
      </text>
    </comment>
    <comment ref="AR29" authorId="1" shapeId="0" xr:uid="{CDA7AF2F-35AF-4935-87EF-36EC990A8FCA}">
      <text>
        <r>
          <rPr>
            <b/>
            <sz val="9"/>
            <color indexed="81"/>
            <rFont val="Tahoma"/>
            <family val="2"/>
          </rPr>
          <t>Rose Jackson:</t>
        </r>
        <r>
          <rPr>
            <sz val="9"/>
            <color indexed="81"/>
            <rFont val="Tahoma"/>
            <family val="2"/>
          </rPr>
          <t xml:space="preserve">
from LT measurements</t>
        </r>
      </text>
    </comment>
    <comment ref="E32" authorId="1" shapeId="0" xr:uid="{C699FE77-5131-40FB-B8EC-107E5C729302}">
      <text>
        <r>
          <rPr>
            <b/>
            <sz val="9"/>
            <color indexed="81"/>
            <rFont val="Tahoma"/>
            <family val="2"/>
          </rPr>
          <t>Rose Jackson:</t>
        </r>
        <r>
          <rPr>
            <sz val="9"/>
            <color indexed="81"/>
            <rFont val="Tahoma"/>
            <family val="2"/>
          </rPr>
          <t xml:space="preserve">
MFB elevation drawing height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Mensah</author>
  </authors>
  <commentList>
    <comment ref="E11" authorId="0" shapeId="0" xr:uid="{A94662CC-92B5-46C7-8394-DAD9737F968E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v=3.2 m/s flowrate 3432
flowrate stp 3195</t>
        </r>
      </text>
    </comment>
    <comment ref="I11" authorId="0" shapeId="0" xr:uid="{0DBA92EE-A14B-460F-A945-9C79FCF0D404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v=3.2 m/s flowrate 3432
flowrate stp 3195</t>
        </r>
      </text>
    </comment>
    <comment ref="M11" authorId="0" shapeId="0" xr:uid="{9E15C27F-0179-400C-AD37-8FC3925EE711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v=3.2 m/s flowrate 3432
flowrate stp 3195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Mensah</author>
  </authors>
  <commentList>
    <comment ref="D18" authorId="0" shapeId="0" xr:uid="{9860911A-07B9-40F6-9301-49F9879480D7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horizontal flow</t>
        </r>
      </text>
    </comment>
    <comment ref="I57" authorId="0" shapeId="0" xr:uid="{995BCC3D-FDD4-46D5-915D-FB89DC67195C}">
      <text>
        <r>
          <rPr>
            <b/>
            <sz val="9"/>
            <color indexed="81"/>
            <rFont val="Tahoma"/>
            <family val="2"/>
          </rPr>
          <t>Richard Mensah:</t>
        </r>
        <r>
          <rPr>
            <sz val="9"/>
            <color indexed="81"/>
            <rFont val="Tahoma"/>
            <family val="2"/>
          </rPr>
          <t xml:space="preserve">
old boiler</t>
        </r>
      </text>
    </comment>
  </commentList>
</comments>
</file>

<file path=xl/sharedStrings.xml><?xml version="1.0" encoding="utf-8"?>
<sst xmlns="http://schemas.openxmlformats.org/spreadsheetml/2006/main" count="546" uniqueCount="183">
  <si>
    <t>monitoring report</t>
  </si>
  <si>
    <t>Ignore this as calculaion will be done from AM to AV</t>
  </si>
  <si>
    <t>Supporting data for emissions</t>
  </si>
  <si>
    <t>Go with emission limit or highest monitored limit in 3 yrs</t>
  </si>
  <si>
    <t>monitored results (averaged or highest if only 1 is avaialable)</t>
  </si>
  <si>
    <t>Stack information</t>
  </si>
  <si>
    <t>Air Flow Efflux Data</t>
  </si>
  <si>
    <t>for hot stacks</t>
  </si>
  <si>
    <t>Sampling locations data for mass emissions</t>
  </si>
  <si>
    <t>Emissions data Short Term</t>
  </si>
  <si>
    <t>Emissions data Long term</t>
  </si>
  <si>
    <t>Derviation of Short Term</t>
  </si>
  <si>
    <t>Long term -derivation from Exova data g/hr</t>
  </si>
  <si>
    <t>Long Term - Derivation from Design Data &amp; trial results mg/m3</t>
  </si>
  <si>
    <t>Area</t>
  </si>
  <si>
    <t>Reports Ref</t>
  </si>
  <si>
    <t>Reference conditions (STP)</t>
  </si>
  <si>
    <t>Stack</t>
  </si>
  <si>
    <t>Height (m)</t>
  </si>
  <si>
    <t>Final ID (m)</t>
  </si>
  <si>
    <t>Final Area (m2)</t>
  </si>
  <si>
    <t>Sampling point T (degC)</t>
  </si>
  <si>
    <t>Final T (degC)</t>
  </si>
  <si>
    <t>Velocity Actual (m/s)</t>
  </si>
  <si>
    <t>Adjusted Velocity (m/s)</t>
  </si>
  <si>
    <t>ID at sampling pt (m)</t>
  </si>
  <si>
    <t>Sampling location Actual Velocity m/s</t>
  </si>
  <si>
    <t>Sampling location  area (m2)</t>
  </si>
  <si>
    <t>Flow actual (m3/s)</t>
  </si>
  <si>
    <t>Flow STP (ref) (m3/s)</t>
  </si>
  <si>
    <t>Flow actual (m3/h)</t>
  </si>
  <si>
    <t>Flow STP (ref) (m3/h)</t>
  </si>
  <si>
    <t>HCl</t>
  </si>
  <si>
    <t>Cl2</t>
  </si>
  <si>
    <t>NOx</t>
  </si>
  <si>
    <t>CO</t>
  </si>
  <si>
    <t>PM10</t>
  </si>
  <si>
    <t>NH3</t>
  </si>
  <si>
    <t>NH4Cl</t>
  </si>
  <si>
    <t>VOC</t>
  </si>
  <si>
    <t>acetic acid</t>
  </si>
  <si>
    <t>N2O</t>
  </si>
  <si>
    <t>Peak HCl (mg/m3)</t>
  </si>
  <si>
    <t>Peak Cl2 (mg/m3)</t>
  </si>
  <si>
    <t>Peak NOx (mg/m3)</t>
  </si>
  <si>
    <t>Peak CO (mg/m3)</t>
  </si>
  <si>
    <t>Peak TPM (mg/m3)</t>
  </si>
  <si>
    <t>Peak NH3 (mg/m3)</t>
  </si>
  <si>
    <t>Peak NH4Cl (mg/m3)</t>
  </si>
  <si>
    <t>Peak VOC (mg/m3)</t>
  </si>
  <si>
    <t>Peak acetic acid (mg/m3)</t>
  </si>
  <si>
    <t>N2O acid (mg/m3)</t>
  </si>
  <si>
    <t>Typical HCl g/hr</t>
  </si>
  <si>
    <t>Typical Cl2 g/hr</t>
  </si>
  <si>
    <t>Typical NOx g/hr</t>
  </si>
  <si>
    <t>Typical CO g/hr</t>
  </si>
  <si>
    <t>Typical TPM g/hr</t>
  </si>
  <si>
    <t>Typical NH3 g/hr</t>
  </si>
  <si>
    <t>Typical NH4Cl g/hr</t>
  </si>
  <si>
    <t>Typical VOC g/hr</t>
  </si>
  <si>
    <t>Typical acetic acid g/hr</t>
  </si>
  <si>
    <t>N2O g/hr</t>
  </si>
  <si>
    <t>HCl mg/m3</t>
  </si>
  <si>
    <t>Cl2  mg/m3</t>
  </si>
  <si>
    <t>NOx mg/m3</t>
  </si>
  <si>
    <t>CO mg/m3</t>
  </si>
  <si>
    <t>TPM mg/m3</t>
  </si>
  <si>
    <t>NH3 mg/m3</t>
  </si>
  <si>
    <t>NH4Cl mg/m3</t>
  </si>
  <si>
    <t>VOC mg/m3</t>
  </si>
  <si>
    <t>Acetic acid mg/m3</t>
  </si>
  <si>
    <t>N2O mg/m3</t>
  </si>
  <si>
    <t>Fastcat</t>
  </si>
  <si>
    <t>Element Reports 2020-2023</t>
  </si>
  <si>
    <t xml:space="preserve">273K, 101.3Kpa </t>
  </si>
  <si>
    <t>A207</t>
  </si>
  <si>
    <t>CSF1</t>
  </si>
  <si>
    <t>A230</t>
  </si>
  <si>
    <t>CSF2</t>
  </si>
  <si>
    <t>A231</t>
  </si>
  <si>
    <t>Procat 1</t>
  </si>
  <si>
    <t>A182</t>
  </si>
  <si>
    <t>AgT</t>
  </si>
  <si>
    <t>A57</t>
  </si>
  <si>
    <t>273K, 101.3kPa,</t>
  </si>
  <si>
    <t>A228</t>
  </si>
  <si>
    <t>A109</t>
  </si>
  <si>
    <t>F/C Inorganics</t>
  </si>
  <si>
    <t>A11</t>
  </si>
  <si>
    <t>A4</t>
  </si>
  <si>
    <t>HCP</t>
  </si>
  <si>
    <t>A197</t>
  </si>
  <si>
    <t>PGMR</t>
  </si>
  <si>
    <t>A28</t>
  </si>
  <si>
    <t>A30</t>
  </si>
  <si>
    <t>A31</t>
  </si>
  <si>
    <t>A35</t>
  </si>
  <si>
    <t>A80</t>
  </si>
  <si>
    <t>Noble Metals</t>
  </si>
  <si>
    <t>A225</t>
  </si>
  <si>
    <t>A226</t>
  </si>
  <si>
    <t>CHP</t>
  </si>
  <si>
    <t>273K, 101.3Kpa dry gas 15% oxygen</t>
  </si>
  <si>
    <t>A8a</t>
  </si>
  <si>
    <t>A8b</t>
  </si>
  <si>
    <t xml:space="preserve">VRP </t>
  </si>
  <si>
    <t>A27</t>
  </si>
  <si>
    <t>CA TC</t>
  </si>
  <si>
    <t>A3</t>
  </si>
  <si>
    <t>PU12</t>
  </si>
  <si>
    <t>A97</t>
  </si>
  <si>
    <t>A98</t>
  </si>
  <si>
    <t>Project Apollo Phase 1</t>
  </si>
  <si>
    <t>A286</t>
  </si>
  <si>
    <t>Project Apollo Phase 2</t>
  </si>
  <si>
    <t>Boiler Replacement</t>
  </si>
  <si>
    <t>273K, 101.3Kpa dry gas 3% oxygen</t>
  </si>
  <si>
    <t>A13</t>
  </si>
  <si>
    <t>A15</t>
  </si>
  <si>
    <t>A16</t>
  </si>
  <si>
    <t>3CR</t>
  </si>
  <si>
    <t>A101</t>
  </si>
  <si>
    <t>A102</t>
  </si>
  <si>
    <t>V16 only</t>
  </si>
  <si>
    <t>V16</t>
  </si>
  <si>
    <t>completed with emission limits</t>
  </si>
  <si>
    <t>V17</t>
  </si>
  <si>
    <t>completed from Short Term 2020-2023 worksheet (monitored report)</t>
  </si>
  <si>
    <t>Grey text</t>
  </si>
  <si>
    <t>V17 scenario 1 only</t>
  </si>
  <si>
    <t>queries</t>
  </si>
  <si>
    <t>2023 (Monitoring Results, mg/m3)</t>
  </si>
  <si>
    <t>2022(Monitoring Results, mg/m3)</t>
  </si>
  <si>
    <t>2021(Monitoring Results, mg/m3)</t>
  </si>
  <si>
    <t>Average, mg/3</t>
  </si>
  <si>
    <t xml:space="preserve">Stack </t>
  </si>
  <si>
    <t xml:space="preserve">Substance </t>
  </si>
  <si>
    <t>Q1</t>
  </si>
  <si>
    <t>Q2</t>
  </si>
  <si>
    <t>Q3</t>
  </si>
  <si>
    <t>Q4</t>
  </si>
  <si>
    <t>Nox</t>
  </si>
  <si>
    <t>A117</t>
  </si>
  <si>
    <t>flowrate (m3/hr) and Stack Gas Temperature (oC)</t>
  </si>
  <si>
    <t>g/hr</t>
  </si>
  <si>
    <t>AVERAGE, g/hr</t>
  </si>
  <si>
    <t>Actual,m3/hr</t>
  </si>
  <si>
    <t>STP, m3/hr</t>
  </si>
  <si>
    <t>Temp oC</t>
  </si>
  <si>
    <t>Actual</t>
  </si>
  <si>
    <t>STP</t>
  </si>
  <si>
    <t xml:space="preserve">Temp </t>
  </si>
  <si>
    <t>Temp</t>
  </si>
  <si>
    <t>Avergae Actual Flowrate, m3/hr</t>
  </si>
  <si>
    <t>Avergae STP Flowrate, m3/hr</t>
  </si>
  <si>
    <t>Highest Actual Flowrate, m3/hr</t>
  </si>
  <si>
    <t>Highest STP Flowrate, m3/hr</t>
  </si>
  <si>
    <t>Average Temp, oC</t>
  </si>
  <si>
    <t>Highest Temp oC</t>
  </si>
  <si>
    <t>Element Report</t>
  </si>
  <si>
    <t>VOCs</t>
  </si>
  <si>
    <t>TPH</t>
  </si>
  <si>
    <t>Acetic acid</t>
  </si>
  <si>
    <t>TPM</t>
  </si>
  <si>
    <t>NH3CL</t>
  </si>
  <si>
    <t>CL2</t>
  </si>
  <si>
    <t>HCL</t>
  </si>
  <si>
    <t>mehtyl formate</t>
  </si>
  <si>
    <t>Boiler House</t>
  </si>
  <si>
    <t>VRP</t>
  </si>
  <si>
    <t xml:space="preserve">Project Apollo </t>
  </si>
  <si>
    <t>PU12 2A</t>
  </si>
  <si>
    <t xml:space="preserve">Substances with no EAL </t>
  </si>
  <si>
    <t xml:space="preserve">Project </t>
  </si>
  <si>
    <t>Substances</t>
  </si>
  <si>
    <t>EAL</t>
  </si>
  <si>
    <t xml:space="preserve">Apollo </t>
  </si>
  <si>
    <t>Ethanol</t>
  </si>
  <si>
    <t>Propanol</t>
  </si>
  <si>
    <t>(VOC (aldehydes)</t>
  </si>
  <si>
    <t xml:space="preserve">HCL </t>
  </si>
  <si>
    <t>Ammonia</t>
  </si>
  <si>
    <t>Boiler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</si>
</sst>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0.000"/>
    <numFmt numFmtId="167" formatCode="0.000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0" xfId="0" applyFill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6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" fontId="0" fillId="2" borderId="5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2" xfId="0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2" fontId="0" fillId="0" borderId="0" xfId="0" applyNumberForma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9" borderId="0" xfId="0" applyFill="1"/>
    <xf numFmtId="0" fontId="0" fillId="10" borderId="0" xfId="0" applyFill="1"/>
    <xf numFmtId="0" fontId="0" fillId="10" borderId="4" xfId="0" applyFill="1" applyBorder="1"/>
    <xf numFmtId="0" fontId="0" fillId="10" borderId="5" xfId="0" applyFill="1" applyBorder="1"/>
    <xf numFmtId="0" fontId="0" fillId="5" borderId="9" xfId="0" applyFill="1" applyBorder="1"/>
    <xf numFmtId="0" fontId="0" fillId="0" borderId="9" xfId="0" applyBorder="1"/>
    <xf numFmtId="0" fontId="0" fillId="8" borderId="9" xfId="0" applyFill="1" applyBorder="1"/>
    <xf numFmtId="0" fontId="0" fillId="12" borderId="9" xfId="0" applyFill="1" applyBorder="1" applyAlignment="1">
      <alignment horizontal="center"/>
    </xf>
    <xf numFmtId="0" fontId="0" fillId="12" borderId="9" xfId="0" applyFill="1" applyBorder="1" applyAlignment="1">
      <alignment wrapText="1"/>
    </xf>
    <xf numFmtId="0" fontId="0" fillId="12" borderId="9" xfId="0" applyFill="1" applyBorder="1"/>
    <xf numFmtId="0" fontId="2" fillId="12" borderId="4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165" fontId="2" fillId="12" borderId="5" xfId="0" applyNumberFormat="1" applyFont="1" applyFill="1" applyBorder="1" applyAlignment="1">
      <alignment horizontal="center" vertical="center"/>
    </xf>
    <xf numFmtId="164" fontId="0" fillId="12" borderId="0" xfId="0" applyNumberFormat="1" applyFill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165" fontId="2" fillId="12" borderId="0" xfId="0" applyNumberFormat="1" applyFont="1" applyFill="1" applyAlignment="1">
      <alignment horizontal="center" vertical="center"/>
    </xf>
    <xf numFmtId="0" fontId="0" fillId="5" borderId="0" xfId="0" applyFill="1"/>
    <xf numFmtId="2" fontId="0" fillId="0" borderId="2" xfId="0" applyNumberFormat="1" applyBorder="1"/>
    <xf numFmtId="2" fontId="0" fillId="0" borderId="7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11" xfId="0" applyNumberFormat="1" applyBorder="1"/>
    <xf numFmtId="0" fontId="0" fillId="7" borderId="0" xfId="0" applyFill="1"/>
    <xf numFmtId="0" fontId="0" fillId="7" borderId="2" xfId="0" applyFill="1" applyBorder="1"/>
    <xf numFmtId="166" fontId="0" fillId="0" borderId="3" xfId="0" applyNumberFormat="1" applyBorder="1"/>
    <xf numFmtId="0" fontId="0" fillId="11" borderId="0" xfId="0" applyFill="1"/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10" xfId="0" applyFill="1" applyBorder="1"/>
    <xf numFmtId="0" fontId="0" fillId="11" borderId="11" xfId="0" applyFill="1" applyBorder="1"/>
    <xf numFmtId="0" fontId="0" fillId="11" borderId="12" xfId="0" applyFill="1" applyBorder="1"/>
    <xf numFmtId="166" fontId="0" fillId="7" borderId="3" xfId="0" applyNumberFormat="1" applyFill="1" applyBorder="1"/>
    <xf numFmtId="2" fontId="0" fillId="0" borderId="5" xfId="0" applyNumberFormat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/>
    <xf numFmtId="2" fontId="0" fillId="0" borderId="16" xfId="0" applyNumberFormat="1" applyBorder="1"/>
    <xf numFmtId="2" fontId="0" fillId="0" borderId="17" xfId="0" applyNumberFormat="1" applyBorder="1"/>
    <xf numFmtId="0" fontId="0" fillId="0" borderId="17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2" fontId="0" fillId="0" borderId="15" xfId="0" applyNumberFormat="1" applyBorder="1"/>
    <xf numFmtId="2" fontId="0" fillId="0" borderId="14" xfId="0" applyNumberFormat="1" applyBorder="1"/>
    <xf numFmtId="0" fontId="0" fillId="10" borderId="10" xfId="0" applyFill="1" applyBorder="1"/>
    <xf numFmtId="0" fontId="0" fillId="10" borderId="12" xfId="0" applyFill="1" applyBorder="1"/>
    <xf numFmtId="0" fontId="2" fillId="13" borderId="9" xfId="0" applyFont="1" applyFill="1" applyBorder="1" applyAlignment="1">
      <alignment horizontal="center" vertical="center"/>
    </xf>
    <xf numFmtId="0" fontId="0" fillId="13" borderId="9" xfId="0" applyFill="1" applyBorder="1" applyAlignment="1">
      <alignment wrapText="1"/>
    </xf>
    <xf numFmtId="0" fontId="0" fillId="13" borderId="9" xfId="0" applyFill="1" applyBorder="1" applyAlignment="1">
      <alignment horizontal="center"/>
    </xf>
    <xf numFmtId="0" fontId="0" fillId="13" borderId="9" xfId="0" applyFill="1" applyBorder="1"/>
    <xf numFmtId="165" fontId="0" fillId="13" borderId="9" xfId="0" applyNumberFormat="1" applyFill="1" applyBorder="1" applyAlignment="1">
      <alignment horizontal="center"/>
    </xf>
    <xf numFmtId="0" fontId="2" fillId="13" borderId="13" xfId="0" applyFont="1" applyFill="1" applyBorder="1" applyAlignment="1">
      <alignment horizontal="center" vertical="center"/>
    </xf>
    <xf numFmtId="0" fontId="0" fillId="13" borderId="13" xfId="0" applyFill="1" applyBorder="1" applyAlignment="1">
      <alignment wrapText="1"/>
    </xf>
    <xf numFmtId="0" fontId="0" fillId="13" borderId="13" xfId="0" applyFill="1" applyBorder="1" applyAlignment="1">
      <alignment horizontal="center"/>
    </xf>
    <xf numFmtId="0" fontId="0" fillId="13" borderId="13" xfId="0" applyFill="1" applyBorder="1"/>
    <xf numFmtId="0" fontId="0" fillId="13" borderId="0" xfId="0" applyFill="1"/>
    <xf numFmtId="0" fontId="0" fillId="13" borderId="18" xfId="0" applyFill="1" applyBorder="1" applyAlignment="1">
      <alignment horizontal="center"/>
    </xf>
    <xf numFmtId="0" fontId="0" fillId="13" borderId="19" xfId="0" applyFill="1" applyBorder="1" applyAlignment="1">
      <alignment horizontal="center"/>
    </xf>
    <xf numFmtId="0" fontId="0" fillId="12" borderId="18" xfId="0" applyFill="1" applyBorder="1" applyAlignment="1">
      <alignment horizontal="center"/>
    </xf>
    <xf numFmtId="0" fontId="0" fillId="13" borderId="20" xfId="0" applyFill="1" applyBorder="1"/>
    <xf numFmtId="0" fontId="0" fillId="13" borderId="21" xfId="0" applyFill="1" applyBorder="1"/>
    <xf numFmtId="0" fontId="0" fillId="12" borderId="20" xfId="0" applyFill="1" applyBorder="1"/>
    <xf numFmtId="0" fontId="0" fillId="13" borderId="22" xfId="0" applyFill="1" applyBorder="1" applyAlignment="1">
      <alignment horizontal="center"/>
    </xf>
    <xf numFmtId="0" fontId="2" fillId="13" borderId="22" xfId="0" applyFont="1" applyFill="1" applyBorder="1" applyAlignment="1">
      <alignment horizontal="center" vertical="center"/>
    </xf>
    <xf numFmtId="0" fontId="0" fillId="12" borderId="24" xfId="0" applyFill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/>
    </xf>
    <xf numFmtId="0" fontId="2" fillId="12" borderId="4" xfId="0" applyFont="1" applyFill="1" applyBorder="1" applyAlignment="1">
      <alignment horizontal="center" vertical="center" wrapText="1"/>
    </xf>
    <xf numFmtId="165" fontId="2" fillId="12" borderId="0" xfId="0" applyNumberFormat="1" applyFont="1" applyFill="1" applyAlignment="1">
      <alignment horizontal="center" vertical="center" wrapText="1"/>
    </xf>
    <xf numFmtId="2" fontId="0" fillId="12" borderId="0" xfId="0" applyNumberForma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13" borderId="22" xfId="0" applyFill="1" applyBorder="1"/>
    <xf numFmtId="2" fontId="2" fillId="13" borderId="24" xfId="0" applyNumberFormat="1" applyFont="1" applyFill="1" applyBorder="1" applyAlignment="1">
      <alignment horizontal="center" vertical="center"/>
    </xf>
    <xf numFmtId="0" fontId="0" fillId="13" borderId="24" xfId="0" applyFill="1" applyBorder="1"/>
    <xf numFmtId="0" fontId="0" fillId="13" borderId="23" xfId="0" applyFill="1" applyBorder="1"/>
    <xf numFmtId="0" fontId="0" fillId="13" borderId="26" xfId="0" applyFill="1" applyBorder="1"/>
    <xf numFmtId="0" fontId="0" fillId="12" borderId="22" xfId="0" applyFill="1" applyBorder="1"/>
    <xf numFmtId="0" fontId="0" fillId="14" borderId="0" xfId="0" applyFill="1" applyAlignment="1">
      <alignment wrapText="1"/>
    </xf>
    <xf numFmtId="0" fontId="0" fillId="12" borderId="0" xfId="0" applyFill="1" applyAlignment="1">
      <alignment wrapText="1"/>
    </xf>
    <xf numFmtId="0" fontId="0" fillId="13" borderId="18" xfId="0" applyFill="1" applyBorder="1"/>
    <xf numFmtId="0" fontId="0" fillId="13" borderId="19" xfId="0" applyFill="1" applyBorder="1"/>
    <xf numFmtId="0" fontId="0" fillId="12" borderId="18" xfId="0" applyFill="1" applyBorder="1"/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2" fontId="0" fillId="0" borderId="0" xfId="0" applyNumberFormat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165" fontId="2" fillId="13" borderId="9" xfId="0" applyNumberFormat="1" applyFont="1" applyFill="1" applyBorder="1" applyAlignment="1">
      <alignment horizontal="center" vertical="center"/>
    </xf>
    <xf numFmtId="0" fontId="0" fillId="13" borderId="24" xfId="0" applyFill="1" applyBorder="1" applyAlignment="1">
      <alignment horizontal="center"/>
    </xf>
    <xf numFmtId="3" fontId="0" fillId="13" borderId="9" xfId="0" applyNumberFormat="1" applyFill="1" applyBorder="1" applyAlignment="1">
      <alignment horizontal="center"/>
    </xf>
    <xf numFmtId="3" fontId="0" fillId="13" borderId="13" xfId="0" applyNumberFormat="1" applyFill="1" applyBorder="1" applyAlignment="1">
      <alignment horizontal="center"/>
    </xf>
    <xf numFmtId="0" fontId="0" fillId="13" borderId="26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2" fontId="0" fillId="13" borderId="9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 vertical="center"/>
    </xf>
    <xf numFmtId="167" fontId="0" fillId="3" borderId="0" xfId="0" applyNumberFormat="1" applyFill="1" applyAlignment="1">
      <alignment horizontal="center" vertical="center"/>
    </xf>
    <xf numFmtId="2" fontId="0" fillId="12" borderId="9" xfId="0" applyNumberFormat="1" applyFill="1" applyBorder="1" applyAlignment="1">
      <alignment horizontal="center" vertical="center"/>
    </xf>
    <xf numFmtId="165" fontId="0" fillId="12" borderId="9" xfId="0" applyNumberFormat="1" applyFill="1" applyBorder="1" applyAlignment="1">
      <alignment horizontal="center"/>
    </xf>
    <xf numFmtId="165" fontId="2" fillId="12" borderId="9" xfId="0" applyNumberFormat="1" applyFont="1" applyFill="1" applyBorder="1" applyAlignment="1">
      <alignment horizontal="center" vertical="center"/>
    </xf>
    <xf numFmtId="165" fontId="0" fillId="13" borderId="13" xfId="0" applyNumberFormat="1" applyFill="1" applyBorder="1" applyAlignment="1">
      <alignment horizontal="center"/>
    </xf>
    <xf numFmtId="2" fontId="0" fillId="12" borderId="9" xfId="0" applyNumberFormat="1" applyFill="1" applyBorder="1" applyAlignment="1">
      <alignment horizontal="center"/>
    </xf>
    <xf numFmtId="0" fontId="2" fillId="13" borderId="22" xfId="0" applyFont="1" applyFill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164" fontId="0" fillId="13" borderId="9" xfId="0" applyNumberFormat="1" applyFill="1" applyBorder="1" applyAlignment="1">
      <alignment horizontal="center"/>
    </xf>
    <xf numFmtId="164" fontId="0" fillId="13" borderId="13" xfId="0" applyNumberFormat="1" applyFill="1" applyBorder="1" applyAlignment="1">
      <alignment horizontal="center"/>
    </xf>
    <xf numFmtId="164" fontId="0" fillId="12" borderId="9" xfId="0" applyNumberFormat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0" fillId="0" borderId="22" xfId="0" applyBorder="1"/>
    <xf numFmtId="164" fontId="0" fillId="0" borderId="5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12" borderId="4" xfId="0" applyNumberFormat="1" applyFill="1" applyBorder="1" applyAlignment="1">
      <alignment horizontal="center" vertical="center"/>
    </xf>
    <xf numFmtId="164" fontId="0" fillId="12" borderId="5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2" fontId="0" fillId="13" borderId="9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 wrapText="1"/>
    </xf>
    <xf numFmtId="2" fontId="0" fillId="12" borderId="0" xfId="0" applyNumberFormat="1" applyFill="1" applyAlignment="1">
      <alignment horizontal="center" vertical="center" wrapText="1"/>
    </xf>
    <xf numFmtId="1" fontId="0" fillId="12" borderId="0" xfId="0" applyNumberFormat="1" applyFill="1" applyAlignment="1">
      <alignment horizontal="center" vertical="center"/>
    </xf>
    <xf numFmtId="1" fontId="0" fillId="12" borderId="5" xfId="0" applyNumberForma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7" fillId="0" borderId="0" xfId="0" applyFont="1"/>
    <xf numFmtId="2" fontId="0" fillId="12" borderId="0" xfId="0" applyNumberFormat="1" applyFill="1" applyAlignment="1">
      <alignment horizontal="center"/>
    </xf>
    <xf numFmtId="0" fontId="3" fillId="16" borderId="11" xfId="0" applyFont="1" applyFill="1" applyBorder="1" applyAlignment="1">
      <alignment horizontal="center" vertical="center" wrapText="1"/>
    </xf>
    <xf numFmtId="165" fontId="2" fillId="16" borderId="2" xfId="0" applyNumberFormat="1" applyFont="1" applyFill="1" applyBorder="1" applyAlignment="1">
      <alignment horizontal="center" vertical="center"/>
    </xf>
    <xf numFmtId="165" fontId="2" fillId="16" borderId="0" xfId="0" applyNumberFormat="1" applyFont="1" applyFill="1" applyAlignment="1">
      <alignment horizontal="center" vertical="center"/>
    </xf>
    <xf numFmtId="165" fontId="2" fillId="16" borderId="25" xfId="0" applyNumberFormat="1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 wrapText="1"/>
    </xf>
    <xf numFmtId="0" fontId="3" fillId="17" borderId="11" xfId="0" applyFont="1" applyFill="1" applyBorder="1" applyAlignment="1">
      <alignment horizontal="center" vertical="center" wrapText="1"/>
    </xf>
    <xf numFmtId="0" fontId="1" fillId="17" borderId="10" xfId="0" applyFont="1" applyFill="1" applyBorder="1" applyAlignment="1">
      <alignment horizontal="center" vertical="center" wrapText="1"/>
    </xf>
    <xf numFmtId="2" fontId="2" fillId="16" borderId="2" xfId="0" applyNumberFormat="1" applyFont="1" applyFill="1" applyBorder="1" applyAlignment="1">
      <alignment horizontal="center" vertical="center"/>
    </xf>
    <xf numFmtId="2" fontId="2" fillId="16" borderId="0" xfId="0" applyNumberFormat="1" applyFont="1" applyFill="1" applyAlignment="1">
      <alignment horizontal="center" vertical="center"/>
    </xf>
    <xf numFmtId="2" fontId="2" fillId="12" borderId="0" xfId="0" applyNumberFormat="1" applyFont="1" applyFill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165" fontId="2" fillId="17" borderId="2" xfId="0" applyNumberFormat="1" applyFont="1" applyFill="1" applyBorder="1" applyAlignment="1">
      <alignment horizontal="center" vertical="center"/>
    </xf>
    <xf numFmtId="165" fontId="2" fillId="17" borderId="0" xfId="0" applyNumberFormat="1" applyFont="1" applyFill="1" applyAlignment="1">
      <alignment horizontal="center" vertical="center"/>
    </xf>
    <xf numFmtId="165" fontId="2" fillId="17" borderId="5" xfId="0" applyNumberFormat="1" applyFont="1" applyFill="1" applyBorder="1" applyAlignment="1">
      <alignment horizontal="center" vertical="center"/>
    </xf>
    <xf numFmtId="165" fontId="2" fillId="17" borderId="3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12" borderId="1" xfId="0" applyFill="1" applyBorder="1"/>
    <xf numFmtId="0" fontId="0" fillId="12" borderId="2" xfId="0" applyFill="1" applyBorder="1"/>
    <xf numFmtId="0" fontId="0" fillId="12" borderId="4" xfId="0" applyFill="1" applyBorder="1"/>
    <xf numFmtId="0" fontId="0" fillId="12" borderId="0" xfId="0" applyFill="1"/>
    <xf numFmtId="0" fontId="0" fillId="12" borderId="6" xfId="0" applyFill="1" applyBorder="1"/>
    <xf numFmtId="0" fontId="0" fillId="12" borderId="7" xfId="0" applyFill="1" applyBorder="1"/>
    <xf numFmtId="166" fontId="0" fillId="12" borderId="3" xfId="0" applyNumberFormat="1" applyFill="1" applyBorder="1"/>
    <xf numFmtId="0" fontId="0" fillId="12" borderId="3" xfId="0" applyFill="1" applyBorder="1"/>
    <xf numFmtId="0" fontId="0" fillId="12" borderId="5" xfId="0" applyFill="1" applyBorder="1"/>
    <xf numFmtId="0" fontId="0" fillId="12" borderId="8" xfId="0" applyFill="1" applyBorder="1"/>
    <xf numFmtId="2" fontId="0" fillId="12" borderId="15" xfId="0" applyNumberFormat="1" applyFill="1" applyBorder="1"/>
    <xf numFmtId="2" fontId="0" fillId="12" borderId="16" xfId="0" applyNumberFormat="1" applyFill="1" applyBorder="1"/>
    <xf numFmtId="2" fontId="0" fillId="12" borderId="0" xfId="0" applyNumberFormat="1" applyFill="1"/>
    <xf numFmtId="2" fontId="0" fillId="12" borderId="17" xfId="0" applyNumberFormat="1" applyFill="1" applyBorder="1"/>
    <xf numFmtId="2" fontId="0" fillId="12" borderId="7" xfId="0" applyNumberFormat="1" applyFill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0" fillId="0" borderId="27" xfId="0" applyBorder="1"/>
    <xf numFmtId="0" fontId="0" fillId="0" borderId="25" xfId="0" applyBorder="1"/>
    <xf numFmtId="0" fontId="0" fillId="0" borderId="16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0" fontId="0" fillId="0" borderId="11" xfId="0" applyBorder="1" applyAlignment="1">
      <alignment wrapText="1"/>
    </xf>
    <xf numFmtId="0" fontId="0" fillId="18" borderId="0" xfId="0" applyFill="1" applyAlignment="1">
      <alignment wrapText="1"/>
    </xf>
    <xf numFmtId="2" fontId="2" fillId="17" borderId="0" xfId="0" applyNumberFormat="1" applyFont="1" applyFill="1" applyAlignment="1">
      <alignment horizontal="center" vertical="center"/>
    </xf>
    <xf numFmtId="2" fontId="2" fillId="17" borderId="0" xfId="0" applyNumberFormat="1" applyFont="1" applyFill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/>
    </xf>
    <xf numFmtId="0" fontId="0" fillId="19" borderId="9" xfId="0" applyFill="1" applyBorder="1" applyAlignment="1">
      <alignment wrapText="1"/>
    </xf>
    <xf numFmtId="0" fontId="2" fillId="19" borderId="0" xfId="0" applyFont="1" applyFill="1" applyAlignment="1">
      <alignment horizontal="center" vertical="center" wrapText="1"/>
    </xf>
    <xf numFmtId="0" fontId="0" fillId="19" borderId="18" xfId="0" applyFill="1" applyBorder="1" applyAlignment="1">
      <alignment horizontal="center"/>
    </xf>
    <xf numFmtId="0" fontId="0" fillId="19" borderId="22" xfId="0" applyFill="1" applyBorder="1" applyAlignment="1">
      <alignment horizontal="center"/>
    </xf>
    <xf numFmtId="0" fontId="0" fillId="19" borderId="9" xfId="0" applyFill="1" applyBorder="1" applyAlignment="1">
      <alignment horizontal="center"/>
    </xf>
    <xf numFmtId="0" fontId="0" fillId="19" borderId="9" xfId="0" applyFill="1" applyBorder="1"/>
    <xf numFmtId="165" fontId="0" fillId="19" borderId="9" xfId="0" applyNumberFormat="1" applyFill="1" applyBorder="1" applyAlignment="1">
      <alignment horizontal="center"/>
    </xf>
    <xf numFmtId="165" fontId="2" fillId="19" borderId="9" xfId="0" applyNumberFormat="1" applyFont="1" applyFill="1" applyBorder="1" applyAlignment="1">
      <alignment horizontal="center" vertical="center"/>
    </xf>
    <xf numFmtId="0" fontId="0" fillId="19" borderId="20" xfId="0" applyFill="1" applyBorder="1"/>
    <xf numFmtId="2" fontId="0" fillId="19" borderId="9" xfId="0" applyNumberFormat="1" applyFill="1" applyBorder="1" applyAlignment="1">
      <alignment horizontal="center" vertical="center"/>
    </xf>
    <xf numFmtId="2" fontId="0" fillId="19" borderId="9" xfId="0" applyNumberFormat="1" applyFill="1" applyBorder="1" applyAlignment="1">
      <alignment horizontal="center"/>
    </xf>
    <xf numFmtId="1" fontId="0" fillId="19" borderId="9" xfId="0" applyNumberFormat="1" applyFill="1" applyBorder="1" applyAlignment="1">
      <alignment horizontal="center"/>
    </xf>
    <xf numFmtId="2" fontId="2" fillId="19" borderId="24" xfId="0" applyNumberFormat="1" applyFont="1" applyFill="1" applyBorder="1" applyAlignment="1">
      <alignment horizontal="center" vertical="center"/>
    </xf>
    <xf numFmtId="0" fontId="0" fillId="19" borderId="22" xfId="0" applyFill="1" applyBorder="1"/>
    <xf numFmtId="164" fontId="0" fillId="19" borderId="9" xfId="0" applyNumberFormat="1" applyFill="1" applyBorder="1" applyAlignment="1">
      <alignment horizontal="center"/>
    </xf>
    <xf numFmtId="0" fontId="0" fillId="19" borderId="24" xfId="0" applyFill="1" applyBorder="1" applyAlignment="1">
      <alignment horizontal="center"/>
    </xf>
    <xf numFmtId="164" fontId="0" fillId="19" borderId="9" xfId="0" applyNumberFormat="1" applyFill="1" applyBorder="1" applyAlignment="1">
      <alignment horizontal="center" vertical="center"/>
    </xf>
    <xf numFmtId="0" fontId="0" fillId="19" borderId="18" xfId="0" applyFill="1" applyBorder="1"/>
    <xf numFmtId="0" fontId="0" fillId="19" borderId="24" xfId="0" applyFill="1" applyBorder="1"/>
    <xf numFmtId="1" fontId="0" fillId="13" borderId="9" xfId="0" applyNumberFormat="1" applyFill="1" applyBorder="1" applyAlignment="1">
      <alignment horizontal="right"/>
    </xf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17" borderId="4" xfId="0" applyFont="1" applyFill="1" applyBorder="1" applyAlignment="1">
      <alignment horizontal="center" vertical="center"/>
    </xf>
    <xf numFmtId="0" fontId="8" fillId="17" borderId="0" xfId="0" applyFont="1" applyFill="1" applyAlignment="1">
      <alignment horizontal="center" vertical="center"/>
    </xf>
    <xf numFmtId="2" fontId="8" fillId="16" borderId="0" xfId="0" applyNumberFormat="1" applyFont="1" applyFill="1" applyAlignment="1">
      <alignment horizontal="center" vertical="center"/>
    </xf>
    <xf numFmtId="165" fontId="8" fillId="16" borderId="0" xfId="0" applyNumberFormat="1" applyFont="1" applyFill="1" applyAlignment="1">
      <alignment horizontal="center" vertical="center"/>
    </xf>
    <xf numFmtId="165" fontId="8" fillId="17" borderId="0" xfId="0" applyNumberFormat="1" applyFont="1" applyFill="1" applyAlignment="1">
      <alignment horizontal="center" vertical="center"/>
    </xf>
    <xf numFmtId="165" fontId="8" fillId="17" borderId="5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0" xfId="0" applyNumberFormat="1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0" fillId="19" borderId="0" xfId="0" applyFill="1" applyAlignment="1">
      <alignment wrapText="1"/>
    </xf>
    <xf numFmtId="2" fontId="2" fillId="12" borderId="9" xfId="0" applyNumberFormat="1" applyFont="1" applyFill="1" applyBorder="1" applyAlignment="1">
      <alignment horizontal="center" vertical="center"/>
    </xf>
    <xf numFmtId="164" fontId="9" fillId="15" borderId="0" xfId="0" applyNumberFormat="1" applyFont="1" applyFill="1" applyAlignment="1">
      <alignment horizontal="center" vertical="center"/>
    </xf>
    <xf numFmtId="166" fontId="9" fillId="3" borderId="0" xfId="0" applyNumberFormat="1" applyFont="1" applyFill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13" borderId="0" xfId="0" applyFont="1" applyFill="1" applyAlignment="1">
      <alignment horizontal="center" vertical="top" wrapText="1"/>
    </xf>
    <xf numFmtId="0" fontId="2" fillId="12" borderId="0" xfId="0" applyFont="1" applyFill="1" applyAlignment="1">
      <alignment horizontal="center" vertical="top" wrapText="1"/>
    </xf>
    <xf numFmtId="0" fontId="2" fillId="6" borderId="0" xfId="0" applyFont="1" applyFill="1" applyAlignment="1">
      <alignment horizontal="center" vertical="top" wrapText="1"/>
    </xf>
    <xf numFmtId="0" fontId="8" fillId="6" borderId="0" xfId="0" applyFont="1" applyFill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4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F33CC"/>
      <color rgb="FF66FF3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n Halliday" id="{74E5A980-D097-4B7C-9159-994D0A9AB128}" userId="S::HalliB@matthey.com::3b03ffe4-70f8-4d8e-9579-a32ff886301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7" dT="2022-06-15T15:41:54.10" personId="{74E5A980-D097-4B7C-9159-994D0A9AB128}" id="{0DB3BCC6-5112-48D3-B893-2B7B7240B442}">
    <text>Square duct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2E5A-5876-4A12-B4EA-DF143E0640BE}">
  <sheetPr>
    <pageSetUpPr fitToPage="1"/>
  </sheetPr>
  <dimension ref="A1:BR205"/>
  <sheetViews>
    <sheetView zoomScale="70" zoomScaleNormal="70" workbookViewId="0">
      <pane xSplit="4" ySplit="3" topLeftCell="E4" activePane="bottomRight" state="frozen"/>
      <selection pane="bottomRight" activeCell="AJ16" sqref="AJ16"/>
      <selection pane="bottomLeft" activeCell="A2" sqref="A2"/>
      <selection pane="topRight" activeCell="C1" sqref="C1"/>
    </sheetView>
  </sheetViews>
  <sheetFormatPr defaultRowHeight="15"/>
  <cols>
    <col min="1" max="1" width="22.5703125" customWidth="1"/>
    <col min="2" max="2" width="11.42578125" style="4" customWidth="1"/>
    <col min="3" max="3" width="21" style="4" customWidth="1"/>
    <col min="4" max="5" width="8.7109375" style="89"/>
    <col min="6" max="6" width="13.85546875" bestFit="1" customWidth="1"/>
    <col min="8" max="8" width="12.140625" style="46" bestFit="1" customWidth="1"/>
    <col min="9" max="9" width="8.7109375" style="89"/>
    <col min="10" max="10" width="11" style="89" bestFit="1" customWidth="1"/>
    <col min="11" max="11" width="11.7109375" bestFit="1" customWidth="1"/>
    <col min="12" max="12" width="11.28515625" customWidth="1"/>
    <col min="13" max="13" width="15.42578125" customWidth="1"/>
    <col min="14" max="14" width="12.140625" bestFit="1" customWidth="1"/>
    <col min="16" max="16" width="12" bestFit="1" customWidth="1"/>
    <col min="17" max="17" width="12.7109375" style="46" customWidth="1"/>
    <col min="19" max="19" width="2.7109375" customWidth="1"/>
    <col min="20" max="20" width="9.85546875" customWidth="1"/>
    <col min="21" max="22" width="10.28515625" customWidth="1"/>
    <col min="23" max="24" width="9.85546875" customWidth="1"/>
    <col min="25" max="25" width="12.28515625" customWidth="1"/>
    <col min="26" max="26" width="10.140625" customWidth="1"/>
    <col min="27" max="27" width="10" customWidth="1"/>
    <col min="28" max="28" width="9.7109375" bestFit="1" customWidth="1"/>
    <col min="29" max="29" width="9.7109375" customWidth="1"/>
    <col min="30" max="31" width="9.28515625" bestFit="1" customWidth="1"/>
    <col min="32" max="32" width="10.5703125" customWidth="1"/>
    <col min="33" max="33" width="9.28515625" bestFit="1" customWidth="1"/>
    <col min="34" max="34" width="8.85546875" customWidth="1"/>
    <col min="35" max="35" width="9.7109375" customWidth="1"/>
    <col min="36" max="36" width="10.140625" customWidth="1"/>
    <col min="37" max="37" width="9.5703125" customWidth="1"/>
    <col min="38" max="38" width="11.5703125" customWidth="1"/>
    <col min="39" max="39" width="8.5703125" customWidth="1"/>
    <col min="40" max="40" width="2.7109375" customWidth="1"/>
    <col min="43" max="43" width="12.28515625" bestFit="1" customWidth="1"/>
    <col min="48" max="48" width="12.28515625" bestFit="1" customWidth="1"/>
    <col min="56" max="56" width="8.85546875" bestFit="1" customWidth="1"/>
    <col min="58" max="58" width="9.85546875" bestFit="1" customWidth="1"/>
    <col min="59" max="59" width="9.5703125" customWidth="1"/>
    <col min="60" max="60" width="6.7109375" customWidth="1"/>
    <col min="68" max="68" width="11.85546875" bestFit="1" customWidth="1"/>
    <col min="70" max="70" width="7.5703125" bestFit="1" customWidth="1"/>
  </cols>
  <sheetData>
    <row r="1" spans="1:70" ht="15.75" thickBot="1">
      <c r="H1"/>
      <c r="L1" t="s">
        <v>0</v>
      </c>
      <c r="Q1"/>
      <c r="U1" s="191" t="s">
        <v>1</v>
      </c>
      <c r="AO1" s="20" t="s">
        <v>2</v>
      </c>
      <c r="AS1" t="s">
        <v>3</v>
      </c>
      <c r="AZ1" t="s">
        <v>4</v>
      </c>
    </row>
    <row r="2" spans="1:70" ht="15.75" thickBot="1">
      <c r="A2" s="243" t="s">
        <v>5</v>
      </c>
      <c r="B2" s="244"/>
      <c r="C2" s="244"/>
      <c r="D2" s="36"/>
      <c r="E2" s="242" t="s">
        <v>6</v>
      </c>
      <c r="F2" s="7"/>
      <c r="G2" s="7"/>
      <c r="H2" s="7"/>
      <c r="I2" s="90" t="s">
        <v>7</v>
      </c>
      <c r="J2" s="90"/>
      <c r="K2" s="8"/>
      <c r="L2" s="9"/>
      <c r="M2" s="6" t="s">
        <v>8</v>
      </c>
      <c r="N2" s="7"/>
      <c r="O2" s="7"/>
      <c r="P2" s="7"/>
      <c r="Q2" s="7"/>
      <c r="R2" s="8"/>
      <c r="T2" s="321" t="s">
        <v>9</v>
      </c>
      <c r="U2" s="322"/>
      <c r="V2" s="322"/>
      <c r="W2" s="322"/>
      <c r="X2" s="322"/>
      <c r="Y2" s="322"/>
      <c r="Z2" s="322"/>
      <c r="AA2" s="322"/>
      <c r="AB2" s="322"/>
      <c r="AC2" s="25"/>
      <c r="AD2" s="321" t="s">
        <v>10</v>
      </c>
      <c r="AE2" s="322"/>
      <c r="AF2" s="322"/>
      <c r="AG2" s="322"/>
      <c r="AH2" s="322"/>
      <c r="AI2" s="322"/>
      <c r="AJ2" s="322"/>
      <c r="AK2" s="322"/>
      <c r="AL2" s="322"/>
      <c r="AM2" s="323"/>
      <c r="AN2" s="19"/>
      <c r="AO2" s="318" t="s">
        <v>11</v>
      </c>
      <c r="AP2" s="319"/>
      <c r="AQ2" s="319"/>
      <c r="AR2" s="319"/>
      <c r="AS2" s="319"/>
      <c r="AT2" s="319"/>
      <c r="AU2" s="319"/>
      <c r="AV2" s="319"/>
      <c r="AW2" s="319"/>
      <c r="AX2" s="151"/>
      <c r="AY2" s="318" t="s">
        <v>12</v>
      </c>
      <c r="AZ2" s="319"/>
      <c r="BA2" s="319"/>
      <c r="BB2" s="319"/>
      <c r="BC2" s="319"/>
      <c r="BD2" s="319"/>
      <c r="BE2" s="319"/>
      <c r="BF2" s="319"/>
      <c r="BG2" s="319"/>
      <c r="BH2" s="320"/>
      <c r="BI2" s="318" t="s">
        <v>13</v>
      </c>
      <c r="BJ2" s="319"/>
      <c r="BK2" s="319"/>
      <c r="BL2" s="319"/>
      <c r="BM2" s="319"/>
      <c r="BN2" s="319"/>
      <c r="BO2" s="319"/>
      <c r="BP2" s="319"/>
      <c r="BQ2" s="319"/>
      <c r="BR2" s="320"/>
    </row>
    <row r="3" spans="1:70" s="3" customFormat="1" ht="60.75" thickBot="1">
      <c r="A3" s="22" t="s">
        <v>14</v>
      </c>
      <c r="B3" s="21" t="s">
        <v>15</v>
      </c>
      <c r="C3" s="21" t="s">
        <v>16</v>
      </c>
      <c r="D3" s="21" t="s">
        <v>17</v>
      </c>
      <c r="E3" s="199" t="s">
        <v>18</v>
      </c>
      <c r="F3" s="198" t="s">
        <v>19</v>
      </c>
      <c r="G3" s="193" t="s">
        <v>20</v>
      </c>
      <c r="H3" s="193" t="s">
        <v>21</v>
      </c>
      <c r="I3" s="198" t="s">
        <v>22</v>
      </c>
      <c r="J3" s="193" t="s">
        <v>23</v>
      </c>
      <c r="K3" s="197" t="s">
        <v>24</v>
      </c>
      <c r="L3" s="122" t="s">
        <v>25</v>
      </c>
      <c r="M3" s="120" t="s">
        <v>26</v>
      </c>
      <c r="N3" s="120" t="s">
        <v>27</v>
      </c>
      <c r="O3" s="120" t="s">
        <v>28</v>
      </c>
      <c r="P3" s="120" t="s">
        <v>29</v>
      </c>
      <c r="Q3" s="120" t="s">
        <v>30</v>
      </c>
      <c r="R3" s="121" t="s">
        <v>31</v>
      </c>
      <c r="T3" s="302" t="s">
        <v>32</v>
      </c>
      <c r="U3" s="303" t="s">
        <v>33</v>
      </c>
      <c r="V3" s="303" t="s">
        <v>34</v>
      </c>
      <c r="W3" s="303" t="s">
        <v>35</v>
      </c>
      <c r="X3" s="303" t="s">
        <v>36</v>
      </c>
      <c r="Y3" s="303" t="s">
        <v>37</v>
      </c>
      <c r="Z3" s="303" t="s">
        <v>38</v>
      </c>
      <c r="AA3" s="303" t="s">
        <v>39</v>
      </c>
      <c r="AB3" s="303" t="s">
        <v>40</v>
      </c>
      <c r="AC3" s="304" t="s">
        <v>41</v>
      </c>
      <c r="AD3" s="305" t="s">
        <v>32</v>
      </c>
      <c r="AE3" s="306" t="s">
        <v>33</v>
      </c>
      <c r="AF3" s="306" t="s">
        <v>34</v>
      </c>
      <c r="AG3" s="306" t="s">
        <v>35</v>
      </c>
      <c r="AH3" s="306" t="s">
        <v>36</v>
      </c>
      <c r="AI3" s="306" t="s">
        <v>37</v>
      </c>
      <c r="AJ3" s="306" t="s">
        <v>38</v>
      </c>
      <c r="AK3" s="306" t="s">
        <v>39</v>
      </c>
      <c r="AL3" s="306" t="s">
        <v>40</v>
      </c>
      <c r="AM3" s="304" t="s">
        <v>41</v>
      </c>
      <c r="AN3" s="2"/>
      <c r="AO3" s="10" t="s">
        <v>42</v>
      </c>
      <c r="AP3" s="2" t="s">
        <v>43</v>
      </c>
      <c r="AQ3" s="2" t="s">
        <v>44</v>
      </c>
      <c r="AR3" s="2" t="s">
        <v>45</v>
      </c>
      <c r="AS3" s="2" t="s">
        <v>46</v>
      </c>
      <c r="AT3" s="2" t="s">
        <v>47</v>
      </c>
      <c r="AU3" s="2" t="s">
        <v>48</v>
      </c>
      <c r="AV3" s="2" t="s">
        <v>49</v>
      </c>
      <c r="AW3" s="2" t="s">
        <v>50</v>
      </c>
      <c r="AX3" s="2" t="s">
        <v>51</v>
      </c>
      <c r="AY3" s="141" t="s">
        <v>52</v>
      </c>
      <c r="AZ3" s="142" t="s">
        <v>53</v>
      </c>
      <c r="BA3" s="142" t="s">
        <v>54</v>
      </c>
      <c r="BB3" s="142" t="s">
        <v>55</v>
      </c>
      <c r="BC3" s="142" t="s">
        <v>56</v>
      </c>
      <c r="BD3" s="142" t="s">
        <v>57</v>
      </c>
      <c r="BE3" s="142" t="s">
        <v>58</v>
      </c>
      <c r="BF3" s="142" t="s">
        <v>59</v>
      </c>
      <c r="BG3" s="142" t="s">
        <v>60</v>
      </c>
      <c r="BH3" s="11" t="s">
        <v>61</v>
      </c>
      <c r="BI3" s="141" t="s">
        <v>62</v>
      </c>
      <c r="BJ3" s="142" t="s">
        <v>63</v>
      </c>
      <c r="BK3" s="142" t="s">
        <v>64</v>
      </c>
      <c r="BL3" s="142" t="s">
        <v>65</v>
      </c>
      <c r="BM3" s="142" t="s">
        <v>66</v>
      </c>
      <c r="BN3" s="142" t="s">
        <v>67</v>
      </c>
      <c r="BO3" s="142" t="s">
        <v>68</v>
      </c>
      <c r="BP3" s="142" t="s">
        <v>69</v>
      </c>
      <c r="BQ3" s="142" t="s">
        <v>70</v>
      </c>
      <c r="BR3" s="11" t="s">
        <v>71</v>
      </c>
    </row>
    <row r="4" spans="1:70" s="1" customFormat="1" ht="15" customHeight="1">
      <c r="A4" s="24" t="s">
        <v>72</v>
      </c>
      <c r="B4" s="23" t="s">
        <v>73</v>
      </c>
      <c r="C4" s="23" t="s">
        <v>74</v>
      </c>
      <c r="D4" s="27" t="s">
        <v>75</v>
      </c>
      <c r="E4" s="203">
        <v>21.5</v>
      </c>
      <c r="F4" s="204">
        <v>0.9</v>
      </c>
      <c r="G4" s="200">
        <f t="shared" ref="G4:G8" si="0">3.1417*(F4/2)^2</f>
        <v>0.63619425000000007</v>
      </c>
      <c r="H4" s="194">
        <v>31.53</v>
      </c>
      <c r="I4" s="209">
        <f>IF(H4&gt;60,((H4-20)/2)+20,H4)</f>
        <v>31.53</v>
      </c>
      <c r="J4" s="194">
        <f>O4/$G4</f>
        <v>21.120238156937244</v>
      </c>
      <c r="K4" s="212">
        <f>J4*(273+I4)/(273+H4)</f>
        <v>21.120238156937244</v>
      </c>
      <c r="L4" s="123">
        <v>1.3</v>
      </c>
      <c r="M4" s="124"/>
      <c r="N4" s="185">
        <f>PI()*L4*L4/4</f>
        <v>1.3273228961416876</v>
      </c>
      <c r="O4" s="125">
        <f>Q4/3600</f>
        <v>13.436574074074073</v>
      </c>
      <c r="P4" s="125">
        <f>R4/3600</f>
        <v>11.585000000000001</v>
      </c>
      <c r="Q4" s="213">
        <f>'2020-2024 Data long term avg'!CO6</f>
        <v>48371.666666666664</v>
      </c>
      <c r="R4" s="26">
        <v>41706</v>
      </c>
      <c r="T4" s="12"/>
      <c r="U4" s="13"/>
      <c r="V4" s="17">
        <f>AQ4*$P4/1000</f>
        <v>0.57925000000000004</v>
      </c>
      <c r="W4" s="17">
        <f>AR4*$P4/1000</f>
        <v>1.1585000000000001</v>
      </c>
      <c r="X4" s="14"/>
      <c r="Y4" s="17">
        <f>AT4*$P4/1000</f>
        <v>0.17377500000000001</v>
      </c>
      <c r="Z4" s="144"/>
      <c r="AA4" s="301">
        <f>AV4*$P4/1000</f>
        <v>0.23170000000000002</v>
      </c>
      <c r="AB4" s="13"/>
      <c r="AC4" s="15"/>
      <c r="AD4" s="160"/>
      <c r="AE4" s="14"/>
      <c r="AF4" s="17">
        <f>(BA4/3600)+(BK4*$P4/1000)</f>
        <v>5.4166666666666669E-3</v>
      </c>
      <c r="AG4" s="17">
        <f>(BB4/3600)+(BL4*$P4/1000)</f>
        <v>2.9351851851851852E-3</v>
      </c>
      <c r="AH4" s="14"/>
      <c r="AI4" s="17">
        <f>(BD4/3600)+(BN4*$P4/1000)</f>
        <v>2.7314814814814814E-3</v>
      </c>
      <c r="AJ4" s="14"/>
      <c r="AK4" s="300">
        <f>(BF4/3600)+(BP4*$P4/1000)</f>
        <v>1.4564814814814815E-2</v>
      </c>
      <c r="AL4" s="14"/>
      <c r="AM4" s="16"/>
      <c r="AO4" s="12"/>
      <c r="AP4" s="13"/>
      <c r="AQ4" s="29">
        <v>50</v>
      </c>
      <c r="AR4" s="29">
        <v>100</v>
      </c>
      <c r="AS4" s="13"/>
      <c r="AT4" s="29">
        <v>15</v>
      </c>
      <c r="AU4" s="13"/>
      <c r="AV4" s="29">
        <v>20</v>
      </c>
      <c r="AW4" s="13"/>
      <c r="AX4" s="13"/>
      <c r="AY4" s="12"/>
      <c r="AZ4" s="13"/>
      <c r="BA4" s="1">
        <f>'2020-2024 Data long term avg'!AD8</f>
        <v>19.5</v>
      </c>
      <c r="BB4" s="143">
        <f>'2020-2024 Data long term avg'!AD9</f>
        <v>10.566666666666666</v>
      </c>
      <c r="BC4" s="13"/>
      <c r="BD4" s="143">
        <f>'2020-2024 Data long term avg'!AD6</f>
        <v>9.8333333333333339</v>
      </c>
      <c r="BE4" s="144"/>
      <c r="BF4" s="143">
        <f>'2020-2024 Data long term avg'!AD7</f>
        <v>52.433333333333337</v>
      </c>
      <c r="BG4" s="13"/>
      <c r="BH4" s="15"/>
      <c r="BI4" s="12"/>
      <c r="BJ4" s="13"/>
      <c r="BK4" s="13"/>
      <c r="BL4" s="13"/>
      <c r="BM4" s="13"/>
      <c r="BN4" s="13"/>
      <c r="BO4" s="13"/>
      <c r="BP4" s="13"/>
      <c r="BQ4" s="13"/>
      <c r="BR4" s="15"/>
    </row>
    <row r="5" spans="1:70" s="1" customFormat="1" ht="14.25" customHeight="1">
      <c r="A5" s="24" t="s">
        <v>76</v>
      </c>
      <c r="B5" s="23" t="s">
        <v>73</v>
      </c>
      <c r="C5" s="23" t="s">
        <v>74</v>
      </c>
      <c r="D5" s="27" t="s">
        <v>77</v>
      </c>
      <c r="E5" s="205">
        <v>21.5</v>
      </c>
      <c r="F5" s="206">
        <v>0.9</v>
      </c>
      <c r="G5" s="201">
        <f t="shared" si="0"/>
        <v>0.63619425000000007</v>
      </c>
      <c r="H5" s="195">
        <v>160.30000000000001</v>
      </c>
      <c r="I5" s="210">
        <f>IF(H5&gt;60,((H5-20)/2)+20,H5)</f>
        <v>90.15</v>
      </c>
      <c r="J5" s="195">
        <f>O5/$G5</f>
        <v>11.95913564659431</v>
      </c>
      <c r="K5" s="211">
        <f>J5*(273+I5)/(273+H5)</f>
        <v>10.022986637573791</v>
      </c>
      <c r="L5" s="123">
        <v>1.28</v>
      </c>
      <c r="M5" s="124"/>
      <c r="N5" s="185">
        <f>PI()*L5*L5/4</f>
        <v>1.2867963509103795</v>
      </c>
      <c r="O5" s="125">
        <f t="shared" ref="O5:O25" si="1">Q5/3600</f>
        <v>7.6083333333333334</v>
      </c>
      <c r="P5" s="125">
        <f t="shared" ref="P5:P23" si="2">R5/3600</f>
        <v>5.5761111111111115</v>
      </c>
      <c r="Q5" s="213">
        <f>'2020-2024 Data long term avg'!CO10</f>
        <v>27390</v>
      </c>
      <c r="R5" s="26">
        <v>20074</v>
      </c>
      <c r="T5" s="12"/>
      <c r="U5" s="13"/>
      <c r="V5" s="17">
        <f>AQ5*$P5/1000</f>
        <v>0.27880555555555558</v>
      </c>
      <c r="W5" s="17">
        <f t="shared" ref="V5:W6" si="3">AR5*$P5/1000</f>
        <v>0.55761111111111117</v>
      </c>
      <c r="X5" s="14"/>
      <c r="Y5" s="17">
        <f>AT5*$P5/1000</f>
        <v>8.364166666666667E-2</v>
      </c>
      <c r="Z5" s="144"/>
      <c r="AA5" s="301">
        <f>AV5*$P5/1000</f>
        <v>0.11152222222222223</v>
      </c>
      <c r="AB5" s="13"/>
      <c r="AC5" s="15"/>
      <c r="AD5" s="160"/>
      <c r="AE5" s="14"/>
      <c r="AF5" s="17">
        <f t="shared" ref="AF5:AF26" si="4">(BA5/3600)+(BK5*$P5/1000)</f>
        <v>3.4972222222222231E-2</v>
      </c>
      <c r="AG5" s="17">
        <f>(BB5/3600)+(BL5*$P5/1000)</f>
        <v>1.2287037037037036E-2</v>
      </c>
      <c r="AH5" s="14"/>
      <c r="AI5" s="17">
        <f t="shared" ref="AI5:AI26" si="5">(BD5/3600)+(BN5*$P5/1000)</f>
        <v>1.3888888888888887E-3</v>
      </c>
      <c r="AJ5" s="14"/>
      <c r="AK5" s="300">
        <f>(BF5/3600)+(BP5*$P5/1000)</f>
        <v>2.7083333333333334E-2</v>
      </c>
      <c r="AL5" s="14"/>
      <c r="AM5" s="16"/>
      <c r="AO5" s="12"/>
      <c r="AP5" s="13"/>
      <c r="AQ5" s="29">
        <v>50</v>
      </c>
      <c r="AR5" s="29">
        <v>100</v>
      </c>
      <c r="AS5" s="13"/>
      <c r="AT5" s="29">
        <v>15</v>
      </c>
      <c r="AU5" s="13"/>
      <c r="AV5" s="29">
        <v>20</v>
      </c>
      <c r="AW5" s="13"/>
      <c r="AX5" s="13"/>
      <c r="AY5" s="12"/>
      <c r="AZ5" s="13"/>
      <c r="BA5" s="143">
        <f>'2020-2024 Data long term avg'!AD12</f>
        <v>125.90000000000002</v>
      </c>
      <c r="BB5" s="143">
        <f>'2020-2024 Data long term avg'!AD13</f>
        <v>44.233333333333327</v>
      </c>
      <c r="BC5" s="13"/>
      <c r="BD5" s="143">
        <f>'2020-2024 Data long term avg'!AD10</f>
        <v>4.9999999999999991</v>
      </c>
      <c r="BE5" s="144"/>
      <c r="BF5" s="143">
        <v>97.5</v>
      </c>
      <c r="BG5" s="13"/>
      <c r="BH5" s="15"/>
      <c r="BI5" s="12"/>
      <c r="BJ5" s="13"/>
      <c r="BK5" s="13"/>
      <c r="BL5" s="13"/>
      <c r="BM5" s="13"/>
      <c r="BN5" s="13"/>
      <c r="BO5" s="13"/>
      <c r="BP5" s="13"/>
      <c r="BQ5" s="13"/>
      <c r="BR5" s="15"/>
    </row>
    <row r="6" spans="1:70" s="1" customFormat="1" ht="15.75" customHeight="1">
      <c r="A6" s="24" t="s">
        <v>78</v>
      </c>
      <c r="B6" s="309" t="s">
        <v>73</v>
      </c>
      <c r="C6" s="23" t="s">
        <v>74</v>
      </c>
      <c r="D6" s="27" t="s">
        <v>79</v>
      </c>
      <c r="E6" s="205">
        <v>25</v>
      </c>
      <c r="F6" s="206">
        <v>1.3</v>
      </c>
      <c r="G6" s="201">
        <f>3.1417*(F6/2)^2</f>
        <v>1.3273682500000001</v>
      </c>
      <c r="H6" s="195">
        <v>104.7</v>
      </c>
      <c r="I6" s="210">
        <f t="shared" ref="I6:I26" si="6">IF(H6&gt;60,((H6-20)/2)+20,H6)</f>
        <v>62.35</v>
      </c>
      <c r="J6" s="195">
        <f t="shared" ref="J6:J12" si="7">O6/$G6</f>
        <v>7.7875483645510153</v>
      </c>
      <c r="K6" s="211">
        <f t="shared" ref="K6:K22" si="8">J6*(273+I6)/(273+H6)</f>
        <v>6.9143615145676023</v>
      </c>
      <c r="L6" s="123">
        <v>1.32</v>
      </c>
      <c r="M6" s="124"/>
      <c r="N6" s="185">
        <f>PI()*L6*L6/4</f>
        <v>1.3684777599037141</v>
      </c>
      <c r="O6" s="125">
        <f t="shared" si="1"/>
        <v>10.336944444444445</v>
      </c>
      <c r="P6" s="125">
        <f t="shared" si="2"/>
        <v>7.9795370370370371</v>
      </c>
      <c r="Q6" s="213">
        <f>'2020-2024 Data long term avg'!CO14</f>
        <v>37213</v>
      </c>
      <c r="R6" s="26">
        <v>28726.333333333332</v>
      </c>
      <c r="T6" s="12"/>
      <c r="U6" s="13"/>
      <c r="V6" s="17">
        <f t="shared" si="3"/>
        <v>0.39897685185185183</v>
      </c>
      <c r="W6" s="17">
        <f t="shared" si="3"/>
        <v>0.79795370370370367</v>
      </c>
      <c r="X6" s="14"/>
      <c r="Y6" s="17">
        <f>AT6*$P6/1000</f>
        <v>0.11969305555555557</v>
      </c>
      <c r="Z6" s="144"/>
      <c r="AA6" s="301">
        <f>AV6*$P6/1000</f>
        <v>0.15959074074074073</v>
      </c>
      <c r="AB6" s="13"/>
      <c r="AC6" s="15"/>
      <c r="AD6" s="160"/>
      <c r="AE6" s="14"/>
      <c r="AF6" s="17">
        <f t="shared" si="4"/>
        <v>2.5703703703703708E-2</v>
      </c>
      <c r="AG6" s="17">
        <f t="shared" ref="AG6:AG22" si="9">(BB6/3600)+(BL6*$P6/1000)</f>
        <v>5.6768518518518524E-2</v>
      </c>
      <c r="AH6" s="14"/>
      <c r="AI6" s="17">
        <f t="shared" si="5"/>
        <v>1.925925925925926E-3</v>
      </c>
      <c r="AJ6" s="14"/>
      <c r="AK6" s="300">
        <f>(BF6/3600)+(BP6*$P6/1000)</f>
        <v>3.6453703703703703E-2</v>
      </c>
      <c r="AL6" s="14"/>
      <c r="AM6" s="16"/>
      <c r="AO6" s="12"/>
      <c r="AP6" s="13"/>
      <c r="AQ6" s="29">
        <v>50</v>
      </c>
      <c r="AR6" s="29">
        <v>100</v>
      </c>
      <c r="AS6" s="13"/>
      <c r="AT6" s="29">
        <v>15</v>
      </c>
      <c r="AU6" s="13"/>
      <c r="AV6" s="29">
        <v>20</v>
      </c>
      <c r="AW6" s="13"/>
      <c r="AX6" s="13"/>
      <c r="AY6" s="12"/>
      <c r="AZ6" s="13"/>
      <c r="BA6" s="143">
        <f>'2020-2024 Data long term avg'!AD16</f>
        <v>92.533333333333346</v>
      </c>
      <c r="BB6" s="143">
        <f>'2020-2024 Data long term avg'!AD17</f>
        <v>204.36666666666667</v>
      </c>
      <c r="BC6" s="13"/>
      <c r="BD6" s="143">
        <f>'2020-2024 Data long term avg'!AD14</f>
        <v>6.9333333333333336</v>
      </c>
      <c r="BE6" s="144"/>
      <c r="BF6" s="143">
        <f>'2020-2024 Data long term avg'!AD15</f>
        <v>131.23333333333332</v>
      </c>
      <c r="BG6" s="13"/>
      <c r="BH6" s="15"/>
      <c r="BI6" s="12"/>
      <c r="BJ6" s="13"/>
      <c r="BK6" s="13"/>
      <c r="BL6" s="13"/>
      <c r="BM6" s="13"/>
      <c r="BN6" s="13"/>
      <c r="BO6" s="13"/>
      <c r="BP6" s="13"/>
      <c r="BQ6" s="13"/>
      <c r="BR6" s="15"/>
    </row>
    <row r="7" spans="1:70" s="1" customFormat="1" ht="15.75" customHeight="1">
      <c r="A7" s="24" t="s">
        <v>80</v>
      </c>
      <c r="B7" s="309" t="s">
        <v>73</v>
      </c>
      <c r="C7" s="23" t="s">
        <v>74</v>
      </c>
      <c r="D7" s="27" t="s">
        <v>81</v>
      </c>
      <c r="E7" s="205">
        <v>6.5</v>
      </c>
      <c r="F7" s="247">
        <f>2*SQRT(G7/PI())</f>
        <v>0.33851375012865376</v>
      </c>
      <c r="G7" s="201">
        <f>0.3^2</f>
        <v>0.09</v>
      </c>
      <c r="H7" s="195">
        <v>16.899999999999999</v>
      </c>
      <c r="I7" s="210">
        <f t="shared" si="6"/>
        <v>16.899999999999999</v>
      </c>
      <c r="J7" s="195">
        <v>0.1</v>
      </c>
      <c r="K7" s="211">
        <f>J7*(273+I7)/(273+H7)</f>
        <v>0.1</v>
      </c>
      <c r="L7" s="123">
        <v>0.3</v>
      </c>
      <c r="M7" s="124"/>
      <c r="N7" s="185">
        <f>L7^2</f>
        <v>0.09</v>
      </c>
      <c r="O7" s="125">
        <f t="shared" si="1"/>
        <v>0.29388888888888887</v>
      </c>
      <c r="P7" s="125">
        <f t="shared" si="2"/>
        <v>0.26645833333333335</v>
      </c>
      <c r="Q7" s="213">
        <f>'2020-2024 Data long term avg'!CO18</f>
        <v>1058</v>
      </c>
      <c r="R7" s="26">
        <v>959.25</v>
      </c>
      <c r="T7" s="160"/>
      <c r="U7" s="14"/>
      <c r="V7" s="14"/>
      <c r="W7" s="14"/>
      <c r="X7" s="17">
        <f>AS7*$P7/1000</f>
        <v>5.3291666666666678E-3</v>
      </c>
      <c r="Y7" s="14"/>
      <c r="Z7" s="14"/>
      <c r="AA7" s="14"/>
      <c r="AB7" s="14"/>
      <c r="AC7" s="16"/>
      <c r="AD7" s="160"/>
      <c r="AE7" s="14"/>
      <c r="AF7" s="14"/>
      <c r="AG7" s="14"/>
      <c r="AH7" s="17">
        <f t="shared" ref="AH7:AH12" si="10">(BC7/3600)+(BM7*$P7/1000)</f>
        <v>3.0925925925925923E-4</v>
      </c>
      <c r="AI7" s="14"/>
      <c r="AJ7" s="14"/>
      <c r="AK7" s="14"/>
      <c r="AL7" s="14"/>
      <c r="AM7" s="16"/>
      <c r="AN7" s="17"/>
      <c r="AO7" s="12"/>
      <c r="AP7" s="13"/>
      <c r="AQ7" s="13"/>
      <c r="AR7" s="13"/>
      <c r="AS7" s="29">
        <v>20</v>
      </c>
      <c r="AT7" s="13"/>
      <c r="AU7" s="13"/>
      <c r="AV7" s="13"/>
      <c r="AW7" s="13"/>
      <c r="AX7" s="14"/>
      <c r="AY7" s="12"/>
      <c r="AZ7" s="13"/>
      <c r="BA7" s="13"/>
      <c r="BB7" s="13"/>
      <c r="BC7" s="143">
        <f>'2020-2024 Data long term avg'!AD18</f>
        <v>1.1133333333333333</v>
      </c>
      <c r="BD7" s="144"/>
      <c r="BE7" s="144"/>
      <c r="BF7" s="144"/>
      <c r="BG7" s="144"/>
      <c r="BH7" s="15"/>
      <c r="BI7" s="12"/>
      <c r="BJ7" s="13"/>
      <c r="BK7" s="13"/>
      <c r="BL7" s="13"/>
      <c r="BM7" s="13"/>
      <c r="BN7" s="13"/>
      <c r="BO7" s="13"/>
      <c r="BP7" s="13"/>
      <c r="BQ7" s="13"/>
      <c r="BR7" s="15"/>
    </row>
    <row r="8" spans="1:70" s="1" customFormat="1" ht="15.75" customHeight="1">
      <c r="A8" s="24" t="s">
        <v>82</v>
      </c>
      <c r="B8" s="309" t="s">
        <v>73</v>
      </c>
      <c r="C8" s="23" t="s">
        <v>74</v>
      </c>
      <c r="D8" s="27" t="s">
        <v>83</v>
      </c>
      <c r="E8" s="205">
        <v>12.5</v>
      </c>
      <c r="F8" s="206">
        <v>0.5</v>
      </c>
      <c r="G8" s="201">
        <f t="shared" si="0"/>
        <v>0.19635625000000001</v>
      </c>
      <c r="H8" s="195">
        <v>20.170000000000002</v>
      </c>
      <c r="I8" s="210">
        <f t="shared" si="6"/>
        <v>20.170000000000002</v>
      </c>
      <c r="J8" s="195">
        <f t="shared" si="7"/>
        <v>7.6969416180671226</v>
      </c>
      <c r="K8" s="211">
        <f t="shared" si="8"/>
        <v>7.6969416180671226</v>
      </c>
      <c r="L8" s="123">
        <v>0.51</v>
      </c>
      <c r="M8" s="124"/>
      <c r="N8" s="185">
        <f t="shared" ref="N8:N25" si="11">PI()*L8*L8/4</f>
        <v>0.2042820622996763</v>
      </c>
      <c r="O8" s="125">
        <f t="shared" si="1"/>
        <v>1.5113425925925925</v>
      </c>
      <c r="P8" s="125">
        <f t="shared" si="2"/>
        <v>1.5791666666666666</v>
      </c>
      <c r="Q8" s="213">
        <f>'2020-2024 Data long term avg'!CO19</f>
        <v>5440.833333333333</v>
      </c>
      <c r="R8" s="26">
        <v>5685</v>
      </c>
      <c r="T8" s="160"/>
      <c r="U8" s="14"/>
      <c r="V8" s="14"/>
      <c r="W8" s="14"/>
      <c r="X8" s="14"/>
      <c r="Y8" s="14"/>
      <c r="Z8" s="14"/>
      <c r="AA8" s="17">
        <f>AV8*$P8/1000</f>
        <v>0.13786124999999999</v>
      </c>
      <c r="AB8" s="14"/>
      <c r="AC8" s="16"/>
      <c r="AD8" s="160"/>
      <c r="AE8" s="14"/>
      <c r="AF8" s="14"/>
      <c r="AG8" s="14"/>
      <c r="AH8" s="14"/>
      <c r="AI8" s="14"/>
      <c r="AJ8" s="14"/>
      <c r="AK8" s="17">
        <f t="shared" ref="AK8:AK23" si="12">(BF8/3600)+(BP8*$P8/1000)</f>
        <v>0.11717592592592592</v>
      </c>
      <c r="AL8" s="14"/>
      <c r="AM8" s="16"/>
      <c r="AN8" s="17"/>
      <c r="AO8" s="12"/>
      <c r="AP8" s="13"/>
      <c r="AQ8" s="13"/>
      <c r="AR8" s="13"/>
      <c r="AS8" s="13"/>
      <c r="AT8" s="13"/>
      <c r="AU8" s="13"/>
      <c r="AV8" s="5">
        <f>MAX('Short Term 2020-2023 Data'!$D10:$O10)</f>
        <v>87.3</v>
      </c>
      <c r="AW8" s="13"/>
      <c r="AX8" s="14"/>
      <c r="AY8" s="12"/>
      <c r="AZ8" s="13"/>
      <c r="BA8" s="13"/>
      <c r="BB8" s="13"/>
      <c r="BC8" s="144"/>
      <c r="BD8" s="144"/>
      <c r="BE8" s="144"/>
      <c r="BF8" s="143">
        <f>'2020-2024 Data long term avg'!AD19</f>
        <v>421.83333333333331</v>
      </c>
      <c r="BG8" s="144"/>
      <c r="BH8" s="15"/>
      <c r="BI8" s="12"/>
      <c r="BJ8" s="13"/>
      <c r="BK8" s="13"/>
      <c r="BL8" s="13"/>
      <c r="BM8" s="13"/>
      <c r="BN8" s="13"/>
      <c r="BO8" s="13"/>
      <c r="BP8" s="176"/>
      <c r="BQ8" s="13"/>
      <c r="BR8" s="15"/>
    </row>
    <row r="9" spans="1:70" s="1" customFormat="1" ht="15.75" customHeight="1">
      <c r="A9" s="24" t="s">
        <v>82</v>
      </c>
      <c r="B9" s="309" t="s">
        <v>73</v>
      </c>
      <c r="C9" s="23" t="s">
        <v>84</v>
      </c>
      <c r="D9" s="27" t="s">
        <v>85</v>
      </c>
      <c r="E9" s="205">
        <v>12</v>
      </c>
      <c r="F9" s="206">
        <v>0.5</v>
      </c>
      <c r="G9" s="201">
        <f t="shared" ref="G9:G26" si="13">3.1417*(F9/2)^2</f>
        <v>0.19635625000000001</v>
      </c>
      <c r="H9" s="195">
        <v>17.72</v>
      </c>
      <c r="I9" s="210">
        <f t="shared" si="6"/>
        <v>17.72</v>
      </c>
      <c r="J9" s="195">
        <f t="shared" si="7"/>
        <v>3.822417445615077</v>
      </c>
      <c r="K9" s="211">
        <f t="shared" si="8"/>
        <v>3.8224174456150775</v>
      </c>
      <c r="L9" s="123">
        <v>0.51</v>
      </c>
      <c r="M9" s="124"/>
      <c r="N9" s="185">
        <f t="shared" si="11"/>
        <v>0.2042820622996763</v>
      </c>
      <c r="O9" s="125">
        <f t="shared" si="1"/>
        <v>0.75055555555555553</v>
      </c>
      <c r="P9" s="125">
        <f t="shared" si="2"/>
        <v>0.60773148148148148</v>
      </c>
      <c r="Q9" s="213">
        <f>'2020-2024 Data long term avg'!CO21</f>
        <v>2702</v>
      </c>
      <c r="R9" s="26">
        <v>2187.8333333333335</v>
      </c>
      <c r="T9" s="160"/>
      <c r="U9" s="14"/>
      <c r="V9" s="14"/>
      <c r="W9" s="14"/>
      <c r="X9" s="14"/>
      <c r="Y9" s="14"/>
      <c r="Z9" s="14"/>
      <c r="AA9" s="17">
        <f>AV9*$P9/1000</f>
        <v>4.5579861111111113E-2</v>
      </c>
      <c r="AB9" s="14"/>
      <c r="AC9" s="16"/>
      <c r="AD9" s="160"/>
      <c r="AE9" s="14"/>
      <c r="AF9" s="14"/>
      <c r="AG9" s="14"/>
      <c r="AH9" s="14"/>
      <c r="AI9" s="14"/>
      <c r="AJ9" s="14"/>
      <c r="AK9" s="17">
        <f t="shared" si="12"/>
        <v>2.1203703703703701E-3</v>
      </c>
      <c r="AL9" s="14"/>
      <c r="AM9" s="16"/>
      <c r="AN9" s="17"/>
      <c r="AO9" s="12"/>
      <c r="AP9" s="13"/>
      <c r="AQ9" s="13"/>
      <c r="AR9" s="13"/>
      <c r="AS9" s="13"/>
      <c r="AT9" s="13"/>
      <c r="AU9" s="13"/>
      <c r="AV9" s="29">
        <v>75</v>
      </c>
      <c r="AW9" s="13"/>
      <c r="AX9" s="13"/>
      <c r="AY9" s="12"/>
      <c r="AZ9" s="13"/>
      <c r="BA9" s="13"/>
      <c r="BB9" s="13"/>
      <c r="BC9" s="144"/>
      <c r="BD9" s="144"/>
      <c r="BE9" s="144"/>
      <c r="BF9" s="145">
        <f>'2020-2024 Data long term avg'!AD21</f>
        <v>7.6333333333333329</v>
      </c>
      <c r="BG9" s="144"/>
      <c r="BH9" s="15"/>
      <c r="BI9" s="12"/>
      <c r="BJ9" s="13"/>
      <c r="BK9" s="13"/>
      <c r="BL9" s="13"/>
      <c r="BM9" s="13"/>
      <c r="BN9" s="13"/>
      <c r="BO9" s="13"/>
      <c r="BP9" s="176"/>
      <c r="BQ9" s="13"/>
      <c r="BR9" s="15"/>
    </row>
    <row r="10" spans="1:70" s="175" customFormat="1" ht="15.75" customHeight="1">
      <c r="A10" s="24" t="s">
        <v>82</v>
      </c>
      <c r="B10" s="309" t="s">
        <v>73</v>
      </c>
      <c r="C10" s="23" t="s">
        <v>84</v>
      </c>
      <c r="D10" s="27" t="s">
        <v>86</v>
      </c>
      <c r="E10" s="207">
        <v>8.6</v>
      </c>
      <c r="F10" s="208">
        <v>0.4</v>
      </c>
      <c r="G10" s="201">
        <f t="shared" si="13"/>
        <v>0.12566800000000003</v>
      </c>
      <c r="H10" s="195">
        <v>19.170000000000002</v>
      </c>
      <c r="I10" s="210">
        <f t="shared" si="6"/>
        <v>19.170000000000002</v>
      </c>
      <c r="J10" s="195">
        <f t="shared" si="7"/>
        <v>10.949264906119472</v>
      </c>
      <c r="K10" s="211">
        <f t="shared" si="8"/>
        <v>10.949264906119472</v>
      </c>
      <c r="L10" s="123">
        <v>0.6</v>
      </c>
      <c r="M10" s="124"/>
      <c r="N10" s="185">
        <f t="shared" si="11"/>
        <v>0.28274333882308139</v>
      </c>
      <c r="O10" s="125">
        <f t="shared" si="1"/>
        <v>1.3759722222222222</v>
      </c>
      <c r="P10" s="125">
        <f t="shared" si="2"/>
        <v>0.91708333333333336</v>
      </c>
      <c r="Q10" s="213">
        <f>'2020-2024 Data long term avg'!CO22</f>
        <v>4953.5</v>
      </c>
      <c r="R10" s="26">
        <v>3301.5</v>
      </c>
      <c r="S10" s="1"/>
      <c r="T10" s="160"/>
      <c r="U10" s="14"/>
      <c r="V10" s="14"/>
      <c r="W10" s="14"/>
      <c r="X10" s="14"/>
      <c r="Y10" s="14"/>
      <c r="Z10" s="14"/>
      <c r="AA10" s="17">
        <f>AV10*$P10/1000</f>
        <v>4.6587833333333328E-2</v>
      </c>
      <c r="AB10" s="14"/>
      <c r="AC10" s="16"/>
      <c r="AD10" s="160"/>
      <c r="AE10" s="14"/>
      <c r="AF10" s="14"/>
      <c r="AG10" s="14"/>
      <c r="AH10" s="14"/>
      <c r="AI10" s="14"/>
      <c r="AJ10" s="14"/>
      <c r="AK10" s="17">
        <f t="shared" si="12"/>
        <v>1.9754629629629629E-2</v>
      </c>
      <c r="AL10" s="14"/>
      <c r="AM10" s="16"/>
      <c r="AN10" s="17"/>
      <c r="AO10" s="12"/>
      <c r="AP10" s="13"/>
      <c r="AQ10" s="13"/>
      <c r="AR10" s="13"/>
      <c r="AS10" s="13"/>
      <c r="AT10" s="13"/>
      <c r="AU10" s="13"/>
      <c r="AV10" s="5">
        <f>MAX('Short Term 2020-2023 Data'!$D11:$O11)</f>
        <v>50.8</v>
      </c>
      <c r="AW10" s="13"/>
      <c r="AX10" s="13"/>
      <c r="AY10" s="12"/>
      <c r="AZ10" s="13"/>
      <c r="BA10" s="13"/>
      <c r="BB10" s="13"/>
      <c r="BC10" s="144"/>
      <c r="BD10" s="144"/>
      <c r="BE10" s="144"/>
      <c r="BF10" s="143">
        <f>'2020-2024 Data long term avg'!AD22</f>
        <v>71.11666666666666</v>
      </c>
      <c r="BG10" s="144"/>
      <c r="BH10" s="15"/>
      <c r="BI10" s="12"/>
      <c r="BJ10" s="13"/>
      <c r="BK10" s="13"/>
      <c r="BL10" s="13"/>
      <c r="BM10" s="13"/>
      <c r="BN10" s="13"/>
      <c r="BO10" s="13"/>
      <c r="BP10" s="176"/>
      <c r="BQ10" s="13"/>
      <c r="BR10" s="15"/>
    </row>
    <row r="11" spans="1:70" s="1" customFormat="1" ht="15.75" customHeight="1">
      <c r="A11" s="24" t="s">
        <v>87</v>
      </c>
      <c r="B11" s="309" t="s">
        <v>73</v>
      </c>
      <c r="C11" s="23" t="s">
        <v>84</v>
      </c>
      <c r="D11" s="27" t="s">
        <v>88</v>
      </c>
      <c r="E11" s="205">
        <v>17.600000000000001</v>
      </c>
      <c r="F11" s="246">
        <v>0.77500000000000002</v>
      </c>
      <c r="G11" s="201">
        <f t="shared" si="13"/>
        <v>0.47174589062500011</v>
      </c>
      <c r="H11" s="195">
        <v>15.1</v>
      </c>
      <c r="I11" s="210">
        <f t="shared" si="6"/>
        <v>15.1</v>
      </c>
      <c r="J11" s="195">
        <f t="shared" si="7"/>
        <v>9.5062556477081888</v>
      </c>
      <c r="K11" s="211">
        <f t="shared" si="8"/>
        <v>9.5062556477081888</v>
      </c>
      <c r="L11" s="123">
        <v>0.98</v>
      </c>
      <c r="M11" s="124"/>
      <c r="N11" s="185">
        <f t="shared" si="11"/>
        <v>0.75429639612690924</v>
      </c>
      <c r="O11" s="125">
        <f t="shared" si="1"/>
        <v>4.484537037037037</v>
      </c>
      <c r="P11" s="125">
        <f t="shared" si="2"/>
        <v>4.2315740740740742</v>
      </c>
      <c r="Q11" s="213">
        <f>'2020-2024 Data long term avg'!CO23</f>
        <v>16144.333333333334</v>
      </c>
      <c r="R11" s="26">
        <v>15233.666666666666</v>
      </c>
      <c r="T11" s="160"/>
      <c r="U11" s="14"/>
      <c r="V11" s="17">
        <f>AQ11*$P11/1000</f>
        <v>0.84631481481481474</v>
      </c>
      <c r="W11" s="14"/>
      <c r="X11" s="14"/>
      <c r="Y11" s="14"/>
      <c r="Z11" s="14"/>
      <c r="AA11" s="14"/>
      <c r="AB11" s="17">
        <f>AW11*$P11/1000</f>
        <v>0.21157870370370369</v>
      </c>
      <c r="AC11" s="179">
        <f>AX11*$P11/1000</f>
        <v>0.84631481481481474</v>
      </c>
      <c r="AD11" s="160"/>
      <c r="AE11" s="14"/>
      <c r="AF11" s="17">
        <f t="shared" si="4"/>
        <v>0.11287037037037037</v>
      </c>
      <c r="AG11" s="14"/>
      <c r="AH11" s="14"/>
      <c r="AI11" s="14"/>
      <c r="AJ11" s="14"/>
      <c r="AK11" s="14"/>
      <c r="AL11" s="17">
        <f t="shared" ref="AL11" si="14">(BG11/3600)+(BQ11*$P11/1000)</f>
        <v>8.5925925925925926E-4</v>
      </c>
      <c r="AM11" s="179">
        <f t="shared" ref="AM11" si="15">(BH11/3600)+(BR11*$P11/1000)</f>
        <v>1.8888888888888887E-3</v>
      </c>
      <c r="AN11" s="18"/>
      <c r="AO11" s="12"/>
      <c r="AP11" s="13"/>
      <c r="AQ11" s="29">
        <v>200</v>
      </c>
      <c r="AR11" s="13"/>
      <c r="AS11" s="13"/>
      <c r="AT11" s="13"/>
      <c r="AU11" s="13"/>
      <c r="AV11" s="13"/>
      <c r="AW11" s="29">
        <v>50</v>
      </c>
      <c r="AX11" s="29">
        <v>200</v>
      </c>
      <c r="AY11" s="146"/>
      <c r="AZ11" s="144"/>
      <c r="BA11" s="143">
        <f>'2020-2024 Data long term avg'!AD25</f>
        <v>406.33333333333331</v>
      </c>
      <c r="BB11" s="144"/>
      <c r="BC11" s="144"/>
      <c r="BD11" s="144"/>
      <c r="BE11" s="144"/>
      <c r="BF11" s="144"/>
      <c r="BG11" s="143">
        <f>'2020-2024 Data long term avg'!AD23</f>
        <v>3.0933333333333333</v>
      </c>
      <c r="BH11" s="87">
        <f>'2020-2024 Data long term avg'!AD24</f>
        <v>6.8</v>
      </c>
      <c r="BI11" s="12"/>
      <c r="BJ11" s="13"/>
      <c r="BK11" s="176"/>
      <c r="BL11" s="13"/>
      <c r="BM11" s="13"/>
      <c r="BN11" s="13"/>
      <c r="BO11" s="13"/>
      <c r="BP11" s="13"/>
      <c r="BQ11" s="13"/>
      <c r="BR11" s="88"/>
    </row>
    <row r="12" spans="1:70" s="1" customFormat="1" ht="15.75" customHeight="1">
      <c r="A12" s="24" t="s">
        <v>87</v>
      </c>
      <c r="B12" s="309" t="s">
        <v>73</v>
      </c>
      <c r="C12" s="23" t="s">
        <v>84</v>
      </c>
      <c r="D12" s="27" t="s">
        <v>89</v>
      </c>
      <c r="E12" s="205">
        <v>30</v>
      </c>
      <c r="F12" s="206">
        <v>0.8</v>
      </c>
      <c r="G12" s="201">
        <f t="shared" si="13"/>
        <v>0.50267200000000012</v>
      </c>
      <c r="H12" s="195">
        <v>22</v>
      </c>
      <c r="I12" s="210">
        <f t="shared" si="6"/>
        <v>22</v>
      </c>
      <c r="J12" s="195">
        <f t="shared" si="7"/>
        <v>8.3368368328541145</v>
      </c>
      <c r="K12" s="211">
        <f t="shared" si="8"/>
        <v>8.3368368328541145</v>
      </c>
      <c r="L12" s="123">
        <v>0.9</v>
      </c>
      <c r="M12" s="124"/>
      <c r="N12" s="185">
        <f t="shared" si="11"/>
        <v>0.63617251235193317</v>
      </c>
      <c r="O12" s="125">
        <f t="shared" si="1"/>
        <v>4.1906944444444445</v>
      </c>
      <c r="P12" s="125">
        <f t="shared" si="2"/>
        <v>3.9788888888888887</v>
      </c>
      <c r="Q12" s="213">
        <f>'2020-2024 Data long term avg'!CO27</f>
        <v>15086.5</v>
      </c>
      <c r="R12" s="26">
        <v>14324</v>
      </c>
      <c r="T12" s="180">
        <f>AO12*$P12/1000</f>
        <v>3.9788888888888888E-2</v>
      </c>
      <c r="U12" s="17">
        <f>AP12*$P12/1000</f>
        <v>3.9788888888888888E-2</v>
      </c>
      <c r="V12" s="17">
        <f>AQ12*$P12/1000</f>
        <v>0.7957777777777777</v>
      </c>
      <c r="W12" s="14"/>
      <c r="X12" s="17">
        <f>AS12*$P12/1000</f>
        <v>7.9577777777777775E-2</v>
      </c>
      <c r="Y12" s="17">
        <f>AT12*$P12/1000</f>
        <v>5.9683333333333331E-2</v>
      </c>
      <c r="Z12" s="14"/>
      <c r="AA12" s="14"/>
      <c r="AB12" s="14"/>
      <c r="AC12" s="15"/>
      <c r="AD12" s="180">
        <f t="shared" ref="AD12:AD25" si="16">(AY12/3600)+(BI12*$P12/1000)</f>
        <v>1.3611111111111109E-3</v>
      </c>
      <c r="AE12" s="17">
        <f t="shared" ref="AE12:AE25" si="17">(AZ12/3600)+(BJ12*$P12/1000)</f>
        <v>1.8055555555555555E-3</v>
      </c>
      <c r="AF12" s="17">
        <f t="shared" si="4"/>
        <v>3.2916666666666671E-3</v>
      </c>
      <c r="AG12" s="14"/>
      <c r="AH12" s="17">
        <f t="shared" si="10"/>
        <v>6.3055555555555556E-3</v>
      </c>
      <c r="AI12" s="17">
        <f t="shared" si="5"/>
        <v>4.4999999999999999E-4</v>
      </c>
      <c r="AJ12" s="14"/>
      <c r="AK12" s="14"/>
      <c r="AL12" s="14"/>
      <c r="AM12" s="16"/>
      <c r="AO12" s="30">
        <v>10</v>
      </c>
      <c r="AP12" s="29">
        <v>10</v>
      </c>
      <c r="AQ12" s="29">
        <v>200</v>
      </c>
      <c r="AR12" s="13"/>
      <c r="AS12" s="29">
        <v>20</v>
      </c>
      <c r="AT12" s="29">
        <v>15</v>
      </c>
      <c r="AU12" s="13"/>
      <c r="AV12" s="13"/>
      <c r="AW12" s="13"/>
      <c r="AX12" s="13"/>
      <c r="AY12" s="147">
        <f>'2020-2024 Data long term avg'!AD29</f>
        <v>4.8999999999999995</v>
      </c>
      <c r="AZ12" s="143">
        <f>'2020-2024 Data long term avg'!AD28</f>
        <v>6.5</v>
      </c>
      <c r="BA12" s="143">
        <f>'2020-2024 Data long term avg'!AD31</f>
        <v>11.850000000000001</v>
      </c>
      <c r="BB12" s="144"/>
      <c r="BC12" s="143">
        <f>'2020-2024 Data long term avg'!AD27</f>
        <v>22.7</v>
      </c>
      <c r="BD12" s="143">
        <f>'2020-2024 Data long term avg'!AD30</f>
        <v>1.6199999999999999</v>
      </c>
      <c r="BE12" s="144"/>
      <c r="BF12" s="144"/>
      <c r="BG12" s="144"/>
      <c r="BH12" s="88"/>
      <c r="BI12" s="12"/>
      <c r="BJ12" s="13"/>
      <c r="BK12" s="13"/>
      <c r="BL12" s="13"/>
      <c r="BM12" s="13"/>
      <c r="BN12" s="13"/>
      <c r="BO12" s="13"/>
      <c r="BP12" s="13"/>
      <c r="BQ12" s="13"/>
      <c r="BR12" s="15"/>
    </row>
    <row r="13" spans="1:70" s="1" customFormat="1" ht="15.75" customHeight="1">
      <c r="A13" s="56" t="s">
        <v>90</v>
      </c>
      <c r="B13" s="308" t="s">
        <v>73</v>
      </c>
      <c r="C13" s="57" t="s">
        <v>84</v>
      </c>
      <c r="D13" s="58" t="s">
        <v>91</v>
      </c>
      <c r="E13" s="59">
        <v>12</v>
      </c>
      <c r="F13" s="58">
        <v>0.15</v>
      </c>
      <c r="G13" s="202">
        <f t="shared" si="13"/>
        <v>1.7672062499999999E-2</v>
      </c>
      <c r="H13" s="63">
        <v>15</v>
      </c>
      <c r="I13" s="63">
        <f t="shared" si="6"/>
        <v>15</v>
      </c>
      <c r="J13" s="63">
        <v>20.3</v>
      </c>
      <c r="K13" s="60">
        <f t="shared" si="8"/>
        <v>20.3</v>
      </c>
      <c r="L13" s="126">
        <v>0.25</v>
      </c>
      <c r="M13" s="127">
        <v>7.3</v>
      </c>
      <c r="N13" s="186">
        <f t="shared" si="11"/>
        <v>4.9087385212340517E-2</v>
      </c>
      <c r="O13" s="128">
        <f>J13*G13</f>
        <v>0.35874286875</v>
      </c>
      <c r="P13" s="192">
        <f>O13*(273/(I13+273))</f>
        <v>0.34005834433593751</v>
      </c>
      <c r="Q13" s="187">
        <f>O13*3600</f>
        <v>1291.4743275000001</v>
      </c>
      <c r="R13" s="188">
        <f>P13*3600</f>
        <v>1224.2100396093751</v>
      </c>
      <c r="T13" s="181"/>
      <c r="U13" s="61"/>
      <c r="V13" s="61"/>
      <c r="W13" s="61"/>
      <c r="X13" s="61"/>
      <c r="Y13" s="61"/>
      <c r="Z13" s="61"/>
      <c r="AA13" s="17">
        <v>0.15855</v>
      </c>
      <c r="AB13" s="58"/>
      <c r="AC13" s="62"/>
      <c r="AD13" s="181"/>
      <c r="AE13" s="61"/>
      <c r="AF13" s="61"/>
      <c r="AG13" s="61"/>
      <c r="AH13" s="61"/>
      <c r="AI13" s="61"/>
      <c r="AJ13" s="61"/>
      <c r="AK13" s="17">
        <v>6.8599999999999994E-2</v>
      </c>
      <c r="AL13" s="61"/>
      <c r="AM13" s="182"/>
      <c r="AO13" s="12"/>
      <c r="AP13" s="13"/>
      <c r="AQ13" s="13"/>
      <c r="AR13" s="13"/>
      <c r="AS13" s="13"/>
      <c r="AT13" s="13"/>
      <c r="AU13" s="13"/>
      <c r="AV13" s="177"/>
      <c r="AW13" s="13"/>
      <c r="AX13" s="13"/>
      <c r="AY13" s="12"/>
      <c r="AZ13" s="13"/>
      <c r="BA13" s="13"/>
      <c r="BB13" s="13"/>
      <c r="BC13" s="13"/>
      <c r="BD13" s="13"/>
      <c r="BE13" s="13"/>
      <c r="BF13" s="13"/>
      <c r="BG13" s="13"/>
      <c r="BH13" s="15"/>
      <c r="BI13" s="12"/>
      <c r="BJ13" s="13"/>
      <c r="BK13" s="13"/>
      <c r="BL13" s="13"/>
      <c r="BM13" s="13"/>
      <c r="BN13" s="13"/>
      <c r="BO13" s="13"/>
      <c r="BP13" s="177"/>
      <c r="BQ13" s="13"/>
      <c r="BR13" s="15"/>
    </row>
    <row r="14" spans="1:70" s="284" customFormat="1" ht="15.75" customHeight="1">
      <c r="A14" s="269" t="s">
        <v>92</v>
      </c>
      <c r="B14" s="310" t="s">
        <v>73</v>
      </c>
      <c r="C14" s="270" t="s">
        <v>74</v>
      </c>
      <c r="D14" s="271" t="s">
        <v>93</v>
      </c>
      <c r="E14" s="272">
        <v>44.7</v>
      </c>
      <c r="F14" s="273">
        <v>0.8</v>
      </c>
      <c r="G14" s="274">
        <f t="shared" si="13"/>
        <v>0.50267200000000012</v>
      </c>
      <c r="H14" s="275">
        <v>25.45</v>
      </c>
      <c r="I14" s="276">
        <f t="shared" si="6"/>
        <v>25.45</v>
      </c>
      <c r="J14" s="275">
        <f t="shared" ref="J14:J26" si="18">O14/$G14</f>
        <v>16.205987793822406</v>
      </c>
      <c r="K14" s="277">
        <f t="shared" si="8"/>
        <v>16.205987793822406</v>
      </c>
      <c r="L14" s="278">
        <v>1.1000000000000001</v>
      </c>
      <c r="M14" s="279"/>
      <c r="N14" s="280">
        <f t="shared" si="11"/>
        <v>0.9503317777109126</v>
      </c>
      <c r="O14" s="281">
        <f t="shared" si="1"/>
        <v>8.1462962962962973</v>
      </c>
      <c r="P14" s="281">
        <f t="shared" si="2"/>
        <v>7.7740277777777775</v>
      </c>
      <c r="Q14" s="282">
        <f>'2020-2024 Data long term avg'!CO33</f>
        <v>29326.666666666668</v>
      </c>
      <c r="R14" s="283">
        <v>27986.5</v>
      </c>
      <c r="T14" s="288">
        <f t="shared" ref="T14:U17" si="19">AO14*$P14/1000</f>
        <v>7.7740277777777783E-2</v>
      </c>
      <c r="U14" s="289">
        <f t="shared" si="19"/>
        <v>0.54418194444444445</v>
      </c>
      <c r="V14" s="286"/>
      <c r="W14" s="286"/>
      <c r="X14" s="286"/>
      <c r="Y14" s="286"/>
      <c r="Z14" s="289">
        <f>AU14*$P14/1000</f>
        <v>7.7740277777777783E-2</v>
      </c>
      <c r="AA14" s="286"/>
      <c r="AB14" s="286"/>
      <c r="AC14" s="287"/>
      <c r="AD14" s="288">
        <f t="shared" si="16"/>
        <v>2.1967592592592591E-2</v>
      </c>
      <c r="AE14" s="289">
        <f t="shared" si="17"/>
        <v>2.2837962962962959E-3</v>
      </c>
      <c r="AF14" s="286"/>
      <c r="AG14" s="286"/>
      <c r="AH14" s="286"/>
      <c r="AI14" s="286"/>
      <c r="AJ14" s="289">
        <f t="shared" ref="AJ14:AJ16" si="20">(BE14/3600)+(BO14*$P14/1000)</f>
        <v>1.0766203703703706E-3</v>
      </c>
      <c r="AK14" s="286"/>
      <c r="AL14" s="286"/>
      <c r="AM14" s="287"/>
      <c r="AN14" s="289"/>
      <c r="AO14" s="290">
        <v>10</v>
      </c>
      <c r="AP14" s="291">
        <v>70</v>
      </c>
      <c r="AQ14" s="285"/>
      <c r="AR14" s="285"/>
      <c r="AS14" s="285"/>
      <c r="AT14" s="285"/>
      <c r="AU14" s="291">
        <v>10</v>
      </c>
      <c r="AV14" s="285"/>
      <c r="AW14" s="285"/>
      <c r="AX14" s="285"/>
      <c r="AY14" s="292">
        <f>'2020-2024 Data long term avg'!AD33</f>
        <v>79.083333333333329</v>
      </c>
      <c r="AZ14" s="293">
        <f>'2020-2024 Data long term avg'!AD35</f>
        <v>8.2216666666666658</v>
      </c>
      <c r="BA14" s="286"/>
      <c r="BB14" s="285"/>
      <c r="BC14" s="285"/>
      <c r="BD14" s="285"/>
      <c r="BE14" s="293">
        <f>'2020-2024 Data long term avg'!AD34</f>
        <v>3.8758333333333344</v>
      </c>
      <c r="BF14" s="285"/>
      <c r="BG14" s="285"/>
      <c r="BH14" s="294"/>
      <c r="BI14" s="295"/>
      <c r="BJ14" s="285"/>
      <c r="BK14" s="285"/>
      <c r="BL14" s="285"/>
      <c r="BM14" s="285"/>
      <c r="BN14" s="285"/>
      <c r="BO14" s="285"/>
      <c r="BP14" s="285"/>
      <c r="BQ14" s="285"/>
      <c r="BR14" s="294"/>
    </row>
    <row r="15" spans="1:70" s="284" customFormat="1" ht="15.75" customHeight="1">
      <c r="A15" s="269" t="s">
        <v>92</v>
      </c>
      <c r="B15" s="310" t="s">
        <v>73</v>
      </c>
      <c r="C15" s="270" t="s">
        <v>74</v>
      </c>
      <c r="D15" s="271" t="s">
        <v>94</v>
      </c>
      <c r="E15" s="272">
        <v>44.7</v>
      </c>
      <c r="F15" s="273">
        <v>0.8</v>
      </c>
      <c r="G15" s="274">
        <f t="shared" si="13"/>
        <v>0.50267200000000012</v>
      </c>
      <c r="H15" s="275">
        <v>21.28</v>
      </c>
      <c r="I15" s="276">
        <f t="shared" si="6"/>
        <v>21.28</v>
      </c>
      <c r="J15" s="275">
        <f t="shared" si="18"/>
        <v>15.176351282450288</v>
      </c>
      <c r="K15" s="277">
        <f t="shared" si="8"/>
        <v>15.176351282450288</v>
      </c>
      <c r="L15" s="278">
        <v>1.1000000000000001</v>
      </c>
      <c r="M15" s="279"/>
      <c r="N15" s="280">
        <f t="shared" si="11"/>
        <v>0.9503317777109126</v>
      </c>
      <c r="O15" s="281">
        <f t="shared" si="1"/>
        <v>7.6287268518518525</v>
      </c>
      <c r="P15" s="281">
        <f t="shared" si="2"/>
        <v>7.4737222222222224</v>
      </c>
      <c r="Q15" s="282">
        <f>'2020-2024 Data long term avg'!CO36</f>
        <v>27463.416666666668</v>
      </c>
      <c r="R15" s="283">
        <v>26905.4</v>
      </c>
      <c r="T15" s="288">
        <f t="shared" si="19"/>
        <v>7.4737222222222233E-2</v>
      </c>
      <c r="U15" s="289">
        <f t="shared" si="19"/>
        <v>0.52316055555555552</v>
      </c>
      <c r="V15" s="286"/>
      <c r="W15" s="286"/>
      <c r="X15" s="286"/>
      <c r="Y15" s="286"/>
      <c r="Z15" s="289">
        <f>AU15*$P15/1000</f>
        <v>7.4737222222222233E-2</v>
      </c>
      <c r="AA15" s="286"/>
      <c r="AB15" s="286"/>
      <c r="AC15" s="287"/>
      <c r="AD15" s="288">
        <f t="shared" si="16"/>
        <v>2.0758101851851854E-2</v>
      </c>
      <c r="AE15" s="289">
        <f t="shared" si="17"/>
        <v>8.2523148148148148E-4</v>
      </c>
      <c r="AF15" s="286"/>
      <c r="AG15" s="286"/>
      <c r="AH15" s="286"/>
      <c r="AI15" s="286"/>
      <c r="AJ15" s="289">
        <f t="shared" si="20"/>
        <v>6.5490740740740743E-3</v>
      </c>
      <c r="AK15" s="286"/>
      <c r="AL15" s="286"/>
      <c r="AM15" s="287"/>
      <c r="AN15" s="289"/>
      <c r="AO15" s="290">
        <v>10</v>
      </c>
      <c r="AP15" s="291">
        <v>70</v>
      </c>
      <c r="AQ15" s="286"/>
      <c r="AR15" s="285"/>
      <c r="AS15" s="285"/>
      <c r="AT15" s="285"/>
      <c r="AU15" s="291">
        <v>10</v>
      </c>
      <c r="AV15" s="285"/>
      <c r="AW15" s="285"/>
      <c r="AX15" s="285"/>
      <c r="AY15" s="292">
        <f>'2020-2024 Data long term avg'!AD36</f>
        <v>74.729166666666671</v>
      </c>
      <c r="AZ15" s="293">
        <f>'2020-2024 Data long term avg'!AD38</f>
        <v>2.9708333333333332</v>
      </c>
      <c r="BA15" s="286"/>
      <c r="BB15" s="285"/>
      <c r="BC15" s="285"/>
      <c r="BD15" s="285"/>
      <c r="BE15" s="293">
        <f>'2020-2024 Data long term avg'!AD37</f>
        <v>23.576666666666668</v>
      </c>
      <c r="BF15" s="285"/>
      <c r="BG15" s="285"/>
      <c r="BH15" s="294"/>
      <c r="BI15" s="295"/>
      <c r="BJ15" s="285"/>
      <c r="BK15" s="285"/>
      <c r="BL15" s="285"/>
      <c r="BM15" s="285"/>
      <c r="BN15" s="285"/>
      <c r="BO15" s="285"/>
      <c r="BP15" s="285"/>
      <c r="BQ15" s="285"/>
      <c r="BR15" s="294"/>
    </row>
    <row r="16" spans="1:70" s="284" customFormat="1" ht="15.75" customHeight="1">
      <c r="A16" s="269" t="s">
        <v>92</v>
      </c>
      <c r="B16" s="310" t="s">
        <v>73</v>
      </c>
      <c r="C16" s="270" t="s">
        <v>74</v>
      </c>
      <c r="D16" s="271" t="s">
        <v>95</v>
      </c>
      <c r="E16" s="272">
        <v>44.7</v>
      </c>
      <c r="F16" s="273">
        <v>0.8</v>
      </c>
      <c r="G16" s="274">
        <f t="shared" si="13"/>
        <v>0.50267200000000012</v>
      </c>
      <c r="H16" s="275">
        <v>22.46</v>
      </c>
      <c r="I16" s="276">
        <f t="shared" si="6"/>
        <v>22.46</v>
      </c>
      <c r="J16" s="275">
        <f t="shared" si="18"/>
        <v>17.151398482067385</v>
      </c>
      <c r="K16" s="277">
        <f t="shared" si="8"/>
        <v>17.151398482067385</v>
      </c>
      <c r="L16" s="278">
        <v>1.1000000000000001</v>
      </c>
      <c r="M16" s="279"/>
      <c r="N16" s="280">
        <f t="shared" si="11"/>
        <v>0.9503317777109126</v>
      </c>
      <c r="O16" s="281">
        <f t="shared" si="1"/>
        <v>8.6215277777777786</v>
      </c>
      <c r="P16" s="281">
        <f t="shared" si="2"/>
        <v>7.5540277777777778</v>
      </c>
      <c r="Q16" s="282">
        <f>'2020-2024 Data long term avg'!CO40</f>
        <v>31037.5</v>
      </c>
      <c r="R16" s="283">
        <v>27194.5</v>
      </c>
      <c r="T16" s="288">
        <f t="shared" si="19"/>
        <v>7.5540277777777776E-2</v>
      </c>
      <c r="U16" s="289">
        <f t="shared" si="19"/>
        <v>0.52878194444444448</v>
      </c>
      <c r="V16" s="286"/>
      <c r="W16" s="286"/>
      <c r="X16" s="286"/>
      <c r="Y16" s="286"/>
      <c r="Z16" s="289">
        <f>AU16*$P16/1000</f>
        <v>7.5540277777777776E-2</v>
      </c>
      <c r="AA16" s="286"/>
      <c r="AB16" s="286"/>
      <c r="AC16" s="287"/>
      <c r="AD16" s="288">
        <f t="shared" si="16"/>
        <v>5.3784090909090906E-2</v>
      </c>
      <c r="AE16" s="289">
        <f t="shared" si="17"/>
        <v>1.3588383838383838E-3</v>
      </c>
      <c r="AF16" s="286"/>
      <c r="AG16" s="286"/>
      <c r="AH16" s="286"/>
      <c r="AI16" s="286"/>
      <c r="AJ16" s="289">
        <f t="shared" si="20"/>
        <v>8.1186868686868702E-4</v>
      </c>
      <c r="AK16" s="286"/>
      <c r="AL16" s="286"/>
      <c r="AM16" s="287"/>
      <c r="AN16" s="289"/>
      <c r="AO16" s="290">
        <v>10</v>
      </c>
      <c r="AP16" s="291">
        <v>70</v>
      </c>
      <c r="AQ16" s="285"/>
      <c r="AR16" s="285"/>
      <c r="AS16" s="285"/>
      <c r="AT16" s="285"/>
      <c r="AU16" s="291">
        <v>10</v>
      </c>
      <c r="AV16" s="285"/>
      <c r="AW16" s="285"/>
      <c r="AX16" s="285"/>
      <c r="AY16" s="292">
        <f>'2020-2024 Data long term avg'!AD40</f>
        <v>193.62272727272727</v>
      </c>
      <c r="AZ16" s="293">
        <f>'2020-2024 Data long term avg'!AD42</f>
        <v>4.8918181818181816</v>
      </c>
      <c r="BA16" s="286"/>
      <c r="BB16" s="285"/>
      <c r="BC16" s="285"/>
      <c r="BD16" s="285"/>
      <c r="BE16" s="293">
        <f>'2020-2024 Data long term avg'!AD41</f>
        <v>2.9227272727272733</v>
      </c>
      <c r="BF16" s="285"/>
      <c r="BG16" s="285"/>
      <c r="BH16" s="294"/>
      <c r="BI16" s="295"/>
      <c r="BJ16" s="285"/>
      <c r="BK16" s="285"/>
      <c r="BL16" s="285"/>
      <c r="BM16" s="285"/>
      <c r="BN16" s="285"/>
      <c r="BO16" s="285"/>
      <c r="BP16" s="285"/>
      <c r="BQ16" s="285"/>
      <c r="BR16" s="294"/>
    </row>
    <row r="17" spans="1:70" s="284" customFormat="1" ht="15.75" customHeight="1">
      <c r="A17" s="269" t="s">
        <v>92</v>
      </c>
      <c r="B17" s="310" t="s">
        <v>73</v>
      </c>
      <c r="C17" s="270" t="s">
        <v>74</v>
      </c>
      <c r="D17" s="271" t="s">
        <v>96</v>
      </c>
      <c r="E17" s="272">
        <v>8.01</v>
      </c>
      <c r="F17" s="273">
        <v>0.3</v>
      </c>
      <c r="G17" s="274">
        <f t="shared" si="13"/>
        <v>7.0688249999999994E-2</v>
      </c>
      <c r="H17" s="275">
        <v>23</v>
      </c>
      <c r="I17" s="276">
        <f t="shared" si="6"/>
        <v>23</v>
      </c>
      <c r="J17" s="275">
        <f t="shared" si="18"/>
        <v>4.4339183092794903</v>
      </c>
      <c r="K17" s="277">
        <f t="shared" si="8"/>
        <v>4.4339183092794903</v>
      </c>
      <c r="L17" s="278">
        <v>0.3</v>
      </c>
      <c r="M17" s="279"/>
      <c r="N17" s="280">
        <f t="shared" si="11"/>
        <v>7.0685834705770348E-2</v>
      </c>
      <c r="O17" s="281">
        <f t="shared" si="1"/>
        <v>0.31342592592592589</v>
      </c>
      <c r="P17" s="281">
        <f t="shared" si="2"/>
        <v>0.19277777777777777</v>
      </c>
      <c r="Q17" s="282">
        <f>'2020-2024 Data long term avg'!CO43</f>
        <v>1128.3333333333333</v>
      </c>
      <c r="R17" s="283">
        <v>694</v>
      </c>
      <c r="T17" s="288">
        <f t="shared" si="19"/>
        <v>1.9277777777777776E-3</v>
      </c>
      <c r="U17" s="289">
        <f t="shared" si="19"/>
        <v>9.638888888888888E-4</v>
      </c>
      <c r="V17" s="286"/>
      <c r="W17" s="286"/>
      <c r="X17" s="286"/>
      <c r="Y17" s="286"/>
      <c r="Z17" s="286"/>
      <c r="AA17" s="286"/>
      <c r="AB17" s="286"/>
      <c r="AC17" s="287"/>
      <c r="AD17" s="288">
        <f>(AY17/3600)+(BI17*$P17/1000)</f>
        <v>3.8888888888888892E-4</v>
      </c>
      <c r="AE17" s="289">
        <f t="shared" si="17"/>
        <v>1.2222222222222221E-4</v>
      </c>
      <c r="AF17" s="286"/>
      <c r="AG17" s="286"/>
      <c r="AH17" s="286"/>
      <c r="AI17" s="286"/>
      <c r="AJ17" s="286"/>
      <c r="AK17" s="286"/>
      <c r="AL17" s="286"/>
      <c r="AM17" s="287"/>
      <c r="AN17" s="289"/>
      <c r="AO17" s="290">
        <v>10</v>
      </c>
      <c r="AP17" s="291">
        <v>5</v>
      </c>
      <c r="AQ17" s="285"/>
      <c r="AR17" s="285"/>
      <c r="AS17" s="285"/>
      <c r="AT17" s="285"/>
      <c r="AU17" s="285"/>
      <c r="AV17" s="285"/>
      <c r="AW17" s="285"/>
      <c r="AX17" s="285"/>
      <c r="AY17" s="292">
        <f>'2020-2024 Data long term avg'!AD43</f>
        <v>1.4000000000000001</v>
      </c>
      <c r="AZ17" s="296">
        <f>'2020-2024 Data long term avg'!AD44</f>
        <v>0.43999999999999995</v>
      </c>
      <c r="BA17" s="285"/>
      <c r="BB17" s="285"/>
      <c r="BC17" s="285"/>
      <c r="BD17" s="285"/>
      <c r="BE17" s="285"/>
      <c r="BF17" s="285"/>
      <c r="BG17" s="285"/>
      <c r="BH17" s="294"/>
      <c r="BI17" s="295"/>
      <c r="BJ17" s="285"/>
      <c r="BK17" s="285"/>
      <c r="BL17" s="285"/>
      <c r="BM17" s="285"/>
      <c r="BN17" s="285"/>
      <c r="BO17" s="285"/>
      <c r="BP17" s="285"/>
      <c r="BQ17" s="285"/>
      <c r="BR17" s="294"/>
    </row>
    <row r="18" spans="1:70" s="284" customFormat="1" ht="15.75" customHeight="1">
      <c r="A18" s="269" t="s">
        <v>92</v>
      </c>
      <c r="B18" s="310" t="s">
        <v>73</v>
      </c>
      <c r="C18" s="270" t="s">
        <v>74</v>
      </c>
      <c r="D18" s="271" t="s">
        <v>97</v>
      </c>
      <c r="E18" s="272">
        <v>6.1</v>
      </c>
      <c r="F18" s="273">
        <v>0.2</v>
      </c>
      <c r="G18" s="274">
        <f t="shared" si="13"/>
        <v>3.1417000000000007E-2</v>
      </c>
      <c r="H18" s="275">
        <v>13</v>
      </c>
      <c r="I18" s="276">
        <f t="shared" si="6"/>
        <v>13</v>
      </c>
      <c r="J18" s="275">
        <f t="shared" si="18"/>
        <v>7.1970942837034428</v>
      </c>
      <c r="K18" s="277">
        <f t="shared" si="8"/>
        <v>7.1970942837034428</v>
      </c>
      <c r="L18" s="278">
        <v>0.26</v>
      </c>
      <c r="M18" s="279"/>
      <c r="N18" s="280">
        <f t="shared" si="11"/>
        <v>5.3092915845667506E-2</v>
      </c>
      <c r="O18" s="281">
        <f t="shared" si="1"/>
        <v>0.22611111111111112</v>
      </c>
      <c r="P18" s="281">
        <f t="shared" si="2"/>
        <v>0.21740740740740741</v>
      </c>
      <c r="Q18" s="282">
        <f>'2020-2024 Data long term avg'!CO45</f>
        <v>814</v>
      </c>
      <c r="R18" s="283">
        <v>782.66666666666663</v>
      </c>
      <c r="T18" s="288">
        <f>AO18*$P18/1000</f>
        <v>2.1740740740740739E-3</v>
      </c>
      <c r="U18" s="286"/>
      <c r="V18" s="286"/>
      <c r="W18" s="286"/>
      <c r="X18" s="286"/>
      <c r="Y18" s="286"/>
      <c r="Z18" s="286"/>
      <c r="AA18" s="289">
        <f>AV18*$P18/1000</f>
        <v>1.6305555555555556E-2</v>
      </c>
      <c r="AB18" s="286"/>
      <c r="AC18" s="287"/>
      <c r="AD18" s="288">
        <f>T18</f>
        <v>2.1740740740740739E-3</v>
      </c>
      <c r="AE18" s="286"/>
      <c r="AF18" s="286"/>
      <c r="AG18" s="286"/>
      <c r="AH18" s="286"/>
      <c r="AI18" s="286"/>
      <c r="AJ18" s="286"/>
      <c r="AK18" s="289">
        <f t="shared" si="12"/>
        <v>7.8796296296296288E-3</v>
      </c>
      <c r="AL18" s="286"/>
      <c r="AM18" s="287"/>
      <c r="AN18" s="289"/>
      <c r="AO18" s="290">
        <v>10</v>
      </c>
      <c r="AP18" s="285"/>
      <c r="AQ18" s="285"/>
      <c r="AR18" s="285"/>
      <c r="AS18" s="285"/>
      <c r="AT18" s="285"/>
      <c r="AU18" s="285"/>
      <c r="AV18" s="291">
        <v>75</v>
      </c>
      <c r="AW18" s="285"/>
      <c r="AX18" s="285"/>
      <c r="AY18" s="292">
        <f>'2020-2024 Data long term avg'!AD45</f>
        <v>8.6933333333333334</v>
      </c>
      <c r="AZ18" s="285"/>
      <c r="BA18" s="285"/>
      <c r="BB18" s="285"/>
      <c r="BC18" s="285"/>
      <c r="BD18" s="285"/>
      <c r="BE18" s="285"/>
      <c r="BF18" s="293">
        <f>'2020-2024 Data long term avg'!AD47</f>
        <v>28.366666666666664</v>
      </c>
      <c r="BG18" s="285"/>
      <c r="BH18" s="294"/>
      <c r="BI18" s="295"/>
      <c r="BJ18" s="285"/>
      <c r="BK18" s="285"/>
      <c r="BL18" s="285"/>
      <c r="BM18" s="285"/>
      <c r="BN18" s="285"/>
      <c r="BO18" s="285"/>
      <c r="BP18" s="285"/>
      <c r="BQ18" s="285"/>
      <c r="BR18" s="294"/>
    </row>
    <row r="19" spans="1:70" s="1" customFormat="1" ht="15.75" customHeight="1">
      <c r="A19" s="24" t="s">
        <v>98</v>
      </c>
      <c r="B19" s="309" t="s">
        <v>73</v>
      </c>
      <c r="C19" s="23" t="s">
        <v>74</v>
      </c>
      <c r="D19" s="27" t="s">
        <v>99</v>
      </c>
      <c r="E19" s="205">
        <v>9.5</v>
      </c>
      <c r="F19" s="206">
        <v>0.25</v>
      </c>
      <c r="G19" s="201">
        <f t="shared" si="13"/>
        <v>4.9089062500000002E-2</v>
      </c>
      <c r="H19" s="195">
        <v>27.25</v>
      </c>
      <c r="I19" s="210">
        <f t="shared" si="6"/>
        <v>27.25</v>
      </c>
      <c r="J19" s="195">
        <f t="shared" si="18"/>
        <v>3.3876445755364806</v>
      </c>
      <c r="K19" s="211">
        <f t="shared" si="8"/>
        <v>3.3876445755364806</v>
      </c>
      <c r="L19" s="123">
        <v>0.315</v>
      </c>
      <c r="M19" s="124"/>
      <c r="N19" s="185">
        <f t="shared" si="11"/>
        <v>7.7931132763111796E-2</v>
      </c>
      <c r="O19" s="125">
        <f t="shared" si="1"/>
        <v>0.16629629629629628</v>
      </c>
      <c r="P19" s="125">
        <f t="shared" si="2"/>
        <v>9.2430555555555557E-2</v>
      </c>
      <c r="Q19" s="213">
        <f>'2020-2024 Data long term avg'!CO48</f>
        <v>598.66666666666663</v>
      </c>
      <c r="R19" s="26">
        <v>332.75</v>
      </c>
      <c r="T19" s="180">
        <f>AO19*$P19/1000</f>
        <v>9.243055555555556E-4</v>
      </c>
      <c r="U19" s="17">
        <f>AP19*$P19/1000</f>
        <v>9.243055555555556E-4</v>
      </c>
      <c r="V19" s="14"/>
      <c r="W19" s="14"/>
      <c r="X19" s="14"/>
      <c r="Y19" s="14"/>
      <c r="Z19" s="14"/>
      <c r="AA19" s="14"/>
      <c r="AB19" s="14"/>
      <c r="AC19" s="16"/>
      <c r="AD19" s="180">
        <f t="shared" si="16"/>
        <v>1.6666666666666666E-4</v>
      </c>
      <c r="AE19" s="18">
        <f t="shared" si="17"/>
        <v>1.6805555555555555E-5</v>
      </c>
      <c r="AF19" s="14"/>
      <c r="AG19" s="14"/>
      <c r="AH19" s="14"/>
      <c r="AI19" s="14"/>
      <c r="AJ19" s="14"/>
      <c r="AK19" s="14"/>
      <c r="AL19" s="14"/>
      <c r="AM19" s="16"/>
      <c r="AN19" s="17"/>
      <c r="AO19" s="30">
        <v>10</v>
      </c>
      <c r="AP19" s="29">
        <v>10</v>
      </c>
      <c r="AQ19" s="13"/>
      <c r="AR19" s="13"/>
      <c r="AS19" s="13"/>
      <c r="AT19" s="13"/>
      <c r="AU19" s="13"/>
      <c r="AV19" s="13"/>
      <c r="AW19" s="13"/>
      <c r="AX19" s="13"/>
      <c r="AY19" s="150">
        <f>'2020-2024 Data long term avg'!AD48</f>
        <v>0.6</v>
      </c>
      <c r="AZ19" s="143">
        <f>'2020-2024 Data long term avg'!AD49</f>
        <v>6.0499999999999998E-2</v>
      </c>
      <c r="BA19" s="13"/>
      <c r="BB19" s="13"/>
      <c r="BC19" s="13"/>
      <c r="BD19" s="13"/>
      <c r="BE19" s="13"/>
      <c r="BF19" s="13"/>
      <c r="BG19" s="13"/>
      <c r="BH19" s="15"/>
      <c r="BI19" s="12"/>
      <c r="BJ19" s="13"/>
      <c r="BK19" s="13"/>
      <c r="BL19" s="13"/>
      <c r="BM19" s="13"/>
      <c r="BN19" s="13"/>
      <c r="BO19" s="13"/>
      <c r="BP19" s="13"/>
      <c r="BQ19" s="13"/>
      <c r="BR19" s="15"/>
    </row>
    <row r="20" spans="1:70" s="1" customFormat="1" ht="15.75" customHeight="1">
      <c r="A20" s="24" t="s">
        <v>98</v>
      </c>
      <c r="B20" s="309" t="s">
        <v>73</v>
      </c>
      <c r="C20" s="309" t="s">
        <v>74</v>
      </c>
      <c r="D20" s="27" t="s">
        <v>100</v>
      </c>
      <c r="E20" s="205">
        <v>10</v>
      </c>
      <c r="F20" s="206">
        <v>0.5</v>
      </c>
      <c r="G20" s="201">
        <f t="shared" si="13"/>
        <v>0.19635625000000001</v>
      </c>
      <c r="H20" s="195">
        <v>24.95</v>
      </c>
      <c r="I20" s="210">
        <f t="shared" si="6"/>
        <v>24.95</v>
      </c>
      <c r="J20" s="195">
        <f t="shared" si="18"/>
        <v>8.8416391691688503</v>
      </c>
      <c r="K20" s="211">
        <f t="shared" si="8"/>
        <v>8.8416391691688503</v>
      </c>
      <c r="L20" s="123">
        <v>0.67</v>
      </c>
      <c r="M20" s="124"/>
      <c r="N20" s="185">
        <f t="shared" si="11"/>
        <v>0.35256523554911456</v>
      </c>
      <c r="O20" s="125">
        <f t="shared" si="1"/>
        <v>1.7361111111111112</v>
      </c>
      <c r="P20" s="125">
        <f t="shared" si="2"/>
        <v>1.7430555555555556</v>
      </c>
      <c r="Q20" s="213">
        <f>'2020-2024 Data long term avg'!CO50</f>
        <v>6250</v>
      </c>
      <c r="R20" s="26">
        <v>6275</v>
      </c>
      <c r="T20" s="180">
        <f>AO20*$P20/1000</f>
        <v>1.7430555555555557E-2</v>
      </c>
      <c r="U20" s="14"/>
      <c r="V20" s="17">
        <f>AQ20*$P20/1000</f>
        <v>0.26145833333333329</v>
      </c>
      <c r="W20" s="14"/>
      <c r="X20" s="14"/>
      <c r="Y20" s="14"/>
      <c r="Z20" s="14"/>
      <c r="AA20" s="14"/>
      <c r="AB20" s="14"/>
      <c r="AC20" s="16"/>
      <c r="AD20" s="180">
        <f t="shared" si="16"/>
        <v>1.1666666666666668E-3</v>
      </c>
      <c r="AE20" s="14"/>
      <c r="AF20" s="17">
        <f t="shared" si="4"/>
        <v>6.3888888888888882E-4</v>
      </c>
      <c r="AG20" s="14"/>
      <c r="AH20" s="14"/>
      <c r="AI20" s="14"/>
      <c r="AJ20" s="14"/>
      <c r="AK20" s="14"/>
      <c r="AL20" s="14"/>
      <c r="AM20" s="16"/>
      <c r="AN20" s="17"/>
      <c r="AO20" s="30">
        <v>10</v>
      </c>
      <c r="AP20" s="13"/>
      <c r="AQ20" s="29">
        <v>150</v>
      </c>
      <c r="AR20" s="13"/>
      <c r="AS20" s="13"/>
      <c r="AT20" s="13"/>
      <c r="AU20" s="13"/>
      <c r="AV20" s="13"/>
      <c r="AW20" s="13"/>
      <c r="AX20" s="13"/>
      <c r="AY20" s="150">
        <f>'2020-2024 Data long term avg'!AD50</f>
        <v>4.2</v>
      </c>
      <c r="AZ20" s="13"/>
      <c r="BA20" s="1">
        <f>'2020-2024 Data long term avg'!AD52</f>
        <v>2.2999999999999998</v>
      </c>
      <c r="BB20" s="13"/>
      <c r="BC20" s="13"/>
      <c r="BD20" s="13"/>
      <c r="BE20" s="13"/>
      <c r="BF20" s="13"/>
      <c r="BG20" s="13"/>
      <c r="BH20" s="15"/>
      <c r="BI20" s="12"/>
      <c r="BJ20" s="13"/>
      <c r="BK20" s="13"/>
      <c r="BL20" s="13"/>
      <c r="BM20" s="13"/>
      <c r="BN20" s="13"/>
      <c r="BO20" s="13"/>
      <c r="BP20" s="13"/>
      <c r="BQ20" s="13"/>
      <c r="BR20" s="15"/>
    </row>
    <row r="21" spans="1:70" s="1" customFormat="1" ht="15.75" customHeight="1">
      <c r="A21" s="24" t="s">
        <v>101</v>
      </c>
      <c r="B21" s="309" t="s">
        <v>73</v>
      </c>
      <c r="C21" s="309" t="s">
        <v>102</v>
      </c>
      <c r="D21" s="27" t="s">
        <v>103</v>
      </c>
      <c r="E21" s="205">
        <v>15</v>
      </c>
      <c r="F21" s="206">
        <v>0.6</v>
      </c>
      <c r="G21" s="201">
        <f t="shared" si="13"/>
        <v>0.28275299999999998</v>
      </c>
      <c r="H21" s="195">
        <v>103.27</v>
      </c>
      <c r="I21" s="210">
        <f t="shared" si="6"/>
        <v>61.634999999999998</v>
      </c>
      <c r="J21" s="195">
        <f t="shared" si="18"/>
        <v>8.9732813523542543</v>
      </c>
      <c r="K21" s="211">
        <f t="shared" si="8"/>
        <v>7.980370492851053</v>
      </c>
      <c r="L21" s="123">
        <v>0.6</v>
      </c>
      <c r="M21" s="124"/>
      <c r="N21" s="185">
        <f t="shared" si="11"/>
        <v>0.28274333882308139</v>
      </c>
      <c r="O21" s="125">
        <f t="shared" si="1"/>
        <v>2.5372222222222223</v>
      </c>
      <c r="P21" s="125">
        <f t="shared" si="2"/>
        <v>2.6709259259259261</v>
      </c>
      <c r="Q21" s="213">
        <f>'2020-2024 Data long term avg'!CO53</f>
        <v>9134</v>
      </c>
      <c r="R21" s="26">
        <v>9615.3333333333339</v>
      </c>
      <c r="T21" s="160"/>
      <c r="U21" s="14"/>
      <c r="V21" s="17">
        <f t="shared" ref="V21:W22" si="21">AQ21*$P21/1000</f>
        <v>0.53418518518518521</v>
      </c>
      <c r="W21" s="17">
        <f t="shared" si="21"/>
        <v>0.61431296296296312</v>
      </c>
      <c r="X21" s="14"/>
      <c r="Y21" s="14"/>
      <c r="Z21" s="14"/>
      <c r="AA21" s="14"/>
      <c r="AB21" s="14"/>
      <c r="AC21" s="16"/>
      <c r="AD21" s="160"/>
      <c r="AE21" s="14"/>
      <c r="AF21" s="17">
        <f t="shared" si="4"/>
        <v>0.17379629629629628</v>
      </c>
      <c r="AG21" s="17">
        <f t="shared" si="9"/>
        <v>0.54231481481481481</v>
      </c>
      <c r="AH21" s="14"/>
      <c r="AI21" s="14"/>
      <c r="AJ21" s="14"/>
      <c r="AK21" s="14"/>
      <c r="AL21" s="14"/>
      <c r="AM21" s="16"/>
      <c r="AN21" s="17"/>
      <c r="AO21" s="12"/>
      <c r="AP21" s="13"/>
      <c r="AQ21" s="29">
        <v>200</v>
      </c>
      <c r="AR21" s="5">
        <f>MAX('Short Term 2020-2023 Data'!$D7:$O7)</f>
        <v>230</v>
      </c>
      <c r="AS21" s="13"/>
      <c r="AT21" s="13"/>
      <c r="AU21" s="13"/>
      <c r="AV21" s="13"/>
      <c r="AW21" s="13"/>
      <c r="AX21" s="13"/>
      <c r="AY21" s="12"/>
      <c r="AZ21" s="13"/>
      <c r="BA21" s="143">
        <f>'2020-2024 Data long term avg'!AD53</f>
        <v>625.66666666666663</v>
      </c>
      <c r="BB21" s="143">
        <f>'2020-2024 Data long term avg'!AD54</f>
        <v>1952.3333333333333</v>
      </c>
      <c r="BC21" s="13"/>
      <c r="BD21" s="13"/>
      <c r="BE21" s="13"/>
      <c r="BF21" s="13"/>
      <c r="BG21" s="13"/>
      <c r="BH21" s="15"/>
      <c r="BI21" s="12"/>
      <c r="BJ21" s="13"/>
      <c r="BK21" s="13"/>
      <c r="BL21" s="13"/>
      <c r="BM21" s="13"/>
      <c r="BN21" s="13"/>
      <c r="BO21" s="13"/>
      <c r="BP21" s="13"/>
      <c r="BQ21" s="13"/>
      <c r="BR21" s="15"/>
    </row>
    <row r="22" spans="1:70" s="1" customFormat="1" ht="15.75" customHeight="1">
      <c r="A22" s="24" t="s">
        <v>101</v>
      </c>
      <c r="B22" s="309" t="s">
        <v>73</v>
      </c>
      <c r="C22" s="309" t="s">
        <v>102</v>
      </c>
      <c r="D22" s="27" t="s">
        <v>104</v>
      </c>
      <c r="E22" s="205">
        <v>15</v>
      </c>
      <c r="F22" s="206">
        <v>0.6</v>
      </c>
      <c r="G22" s="201">
        <f t="shared" si="13"/>
        <v>0.28275299999999998</v>
      </c>
      <c r="H22" s="195">
        <v>143</v>
      </c>
      <c r="I22" s="210">
        <f t="shared" si="6"/>
        <v>81.5</v>
      </c>
      <c r="J22" s="195">
        <f t="shared" si="18"/>
        <v>9.6128265855908008</v>
      </c>
      <c r="K22" s="211">
        <f t="shared" si="8"/>
        <v>8.1916995783460074</v>
      </c>
      <c r="L22" s="123">
        <v>0.6</v>
      </c>
      <c r="M22" s="124"/>
      <c r="N22" s="185">
        <f t="shared" si="11"/>
        <v>0.28274333882308139</v>
      </c>
      <c r="O22" s="125">
        <f t="shared" si="1"/>
        <v>2.7180555555555554</v>
      </c>
      <c r="P22" s="125">
        <f>R22/3600</f>
        <v>3.1725925925925926</v>
      </c>
      <c r="Q22" s="213">
        <f>'2020-2024 Data long term avg'!CO55</f>
        <v>9785</v>
      </c>
      <c r="R22" s="26">
        <v>11421.333333333334</v>
      </c>
      <c r="T22" s="160"/>
      <c r="U22" s="14"/>
      <c r="V22" s="17">
        <f t="shared" si="21"/>
        <v>0.63451851851851848</v>
      </c>
      <c r="W22" s="17">
        <f t="shared" si="21"/>
        <v>0.83439185185185183</v>
      </c>
      <c r="X22" s="14"/>
      <c r="Y22" s="14"/>
      <c r="Z22" s="14"/>
      <c r="AA22" s="14"/>
      <c r="AB22" s="14"/>
      <c r="AC22" s="16"/>
      <c r="AD22" s="160"/>
      <c r="AE22" s="14"/>
      <c r="AF22" s="17">
        <f t="shared" si="4"/>
        <v>0.18092592592592593</v>
      </c>
      <c r="AG22" s="17">
        <f t="shared" si="9"/>
        <v>0.55518518518518523</v>
      </c>
      <c r="AH22" s="14"/>
      <c r="AI22" s="14"/>
      <c r="AJ22" s="14"/>
      <c r="AK22" s="14"/>
      <c r="AL22" s="14"/>
      <c r="AM22" s="16"/>
      <c r="AN22" s="17"/>
      <c r="AO22" s="12"/>
      <c r="AP22" s="13"/>
      <c r="AQ22" s="29">
        <v>200</v>
      </c>
      <c r="AR22" s="5">
        <f>MAX('Short Term 2020-2023 Data'!$D9:$O9)</f>
        <v>263</v>
      </c>
      <c r="AS22" s="13"/>
      <c r="AT22" s="13"/>
      <c r="AU22" s="13"/>
      <c r="AV22" s="13"/>
      <c r="AW22" s="13"/>
      <c r="AX22" s="13"/>
      <c r="AY22" s="12"/>
      <c r="AZ22" s="13"/>
      <c r="BA22" s="143">
        <f>'2020-2024 Data long term avg'!AD55</f>
        <v>651.33333333333337</v>
      </c>
      <c r="BB22" s="143">
        <f>'2020-2024 Data long term avg'!AD56</f>
        <v>1998.6666666666667</v>
      </c>
      <c r="BC22" s="13"/>
      <c r="BD22" s="13"/>
      <c r="BE22" s="13"/>
      <c r="BF22" s="13"/>
      <c r="BG22" s="13"/>
      <c r="BH22" s="15"/>
      <c r="BI22" s="12"/>
      <c r="BJ22" s="13"/>
      <c r="BK22" s="13"/>
      <c r="BL22" s="13"/>
      <c r="BM22" s="13"/>
      <c r="BN22" s="13"/>
      <c r="BO22" s="13"/>
      <c r="BP22" s="13"/>
      <c r="BQ22" s="13"/>
      <c r="BR22" s="15"/>
    </row>
    <row r="23" spans="1:70" s="1" customFormat="1" ht="15.75" customHeight="1">
      <c r="A23" s="24" t="s">
        <v>105</v>
      </c>
      <c r="B23" s="309" t="s">
        <v>73</v>
      </c>
      <c r="C23" s="309"/>
      <c r="D23" s="27" t="s">
        <v>106</v>
      </c>
      <c r="E23" s="205">
        <v>18.899999999999999</v>
      </c>
      <c r="F23" s="206">
        <v>0.56000000000000005</v>
      </c>
      <c r="G23" s="201">
        <f>3.1417*(F23/2)^2</f>
        <v>0.24630928000000005</v>
      </c>
      <c r="H23" s="195">
        <v>27.17</v>
      </c>
      <c r="I23" s="210">
        <f t="shared" si="6"/>
        <v>27.17</v>
      </c>
      <c r="J23" s="195">
        <f t="shared" si="18"/>
        <v>6.7116762638750265</v>
      </c>
      <c r="K23" s="211">
        <f t="shared" ref="K23:K26" si="22">J23*(273+I23)/(273+H23)</f>
        <v>6.7116762638750265</v>
      </c>
      <c r="L23" s="123">
        <v>0.6</v>
      </c>
      <c r="M23" s="124"/>
      <c r="N23" s="185">
        <f t="shared" si="11"/>
        <v>0.28274333882308139</v>
      </c>
      <c r="O23" s="125">
        <f t="shared" si="1"/>
        <v>1.653148148148148</v>
      </c>
      <c r="P23" s="125">
        <f t="shared" si="2"/>
        <v>0.89685185185185179</v>
      </c>
      <c r="Q23" s="213">
        <f>'2020-2024 Data long term avg'!CO64</f>
        <v>5951.333333333333</v>
      </c>
      <c r="R23" s="26">
        <v>3228.6666666666665</v>
      </c>
      <c r="T23" s="180">
        <f>AO23*$P23/1000</f>
        <v>8.968518518518518E-3</v>
      </c>
      <c r="U23" s="14"/>
      <c r="V23" s="14"/>
      <c r="W23" s="14"/>
      <c r="X23" s="14"/>
      <c r="Y23" s="17">
        <f>AT23*$P23/1000</f>
        <v>8.968518518518518E-3</v>
      </c>
      <c r="Z23" s="14"/>
      <c r="AA23" s="17">
        <f>AV23*$P23/1000</f>
        <v>8.9685185185185173E-2</v>
      </c>
      <c r="AB23" s="14"/>
      <c r="AC23" s="16"/>
      <c r="AD23" s="180">
        <f t="shared" si="16"/>
        <v>1.9259259259259259E-4</v>
      </c>
      <c r="AE23" s="14"/>
      <c r="AF23" s="14"/>
      <c r="AG23" s="14"/>
      <c r="AH23" s="14"/>
      <c r="AI23" s="17">
        <v>8.9999999999999993E-3</v>
      </c>
      <c r="AJ23" s="14"/>
      <c r="AK23" s="17">
        <f t="shared" si="12"/>
        <v>9.8240740740740736E-3</v>
      </c>
      <c r="AL23" s="14"/>
      <c r="AM23" s="16"/>
      <c r="AN23" s="17"/>
      <c r="AO23" s="30">
        <v>10</v>
      </c>
      <c r="AP23" s="13"/>
      <c r="AQ23" s="13"/>
      <c r="AR23" s="13"/>
      <c r="AS23" s="13"/>
      <c r="AT23" s="29">
        <v>10</v>
      </c>
      <c r="AU23" s="13"/>
      <c r="AV23" s="29">
        <v>100</v>
      </c>
      <c r="AW23" s="13"/>
      <c r="AX23" s="13"/>
      <c r="AY23" s="147">
        <f>'2020-2024 Data long term avg'!AD64</f>
        <v>0.69333333333333336</v>
      </c>
      <c r="AZ23" s="13"/>
      <c r="BA23" s="13"/>
      <c r="BB23" s="13"/>
      <c r="BC23" s="13"/>
      <c r="BD23" s="143">
        <f>'2020-2024 Data long term avg'!AD65</f>
        <v>191.9</v>
      </c>
      <c r="BE23" s="13"/>
      <c r="BF23" s="1">
        <f>'2020-2024 Data long term avg'!AD66</f>
        <v>35.366666666666667</v>
      </c>
      <c r="BG23" s="13"/>
      <c r="BH23" s="15"/>
      <c r="BI23" s="12"/>
      <c r="BJ23" s="13"/>
      <c r="BK23" s="13"/>
      <c r="BL23" s="13"/>
      <c r="BM23" s="13"/>
      <c r="BN23" s="13"/>
      <c r="BO23" s="13"/>
      <c r="BP23" s="13"/>
      <c r="BQ23" s="13"/>
      <c r="BR23" s="15"/>
    </row>
    <row r="24" spans="1:70" s="1" customFormat="1" ht="15.75" customHeight="1">
      <c r="A24" s="24" t="s">
        <v>107</v>
      </c>
      <c r="B24" s="309" t="s">
        <v>73</v>
      </c>
      <c r="C24" s="309" t="s">
        <v>74</v>
      </c>
      <c r="D24" s="27" t="s">
        <v>108</v>
      </c>
      <c r="E24" s="205">
        <v>21</v>
      </c>
      <c r="F24" s="206">
        <v>0.9</v>
      </c>
      <c r="G24" s="201">
        <f t="shared" si="13"/>
        <v>0.63619425000000007</v>
      </c>
      <c r="H24" s="195">
        <v>66.08</v>
      </c>
      <c r="I24" s="210">
        <f t="shared" si="6"/>
        <v>43.04</v>
      </c>
      <c r="J24" s="195">
        <f t="shared" si="18"/>
        <v>14.790905276004754</v>
      </c>
      <c r="K24" s="211">
        <f t="shared" si="22"/>
        <v>13.785884462158023</v>
      </c>
      <c r="L24" s="123">
        <v>1.07</v>
      </c>
      <c r="M24" s="124"/>
      <c r="N24" s="185">
        <f t="shared" si="11"/>
        <v>0.89920235727373865</v>
      </c>
      <c r="O24" s="125">
        <f t="shared" si="1"/>
        <v>9.4098888888888883</v>
      </c>
      <c r="P24" s="125">
        <f>R24/3600</f>
        <v>7.8563333333333327</v>
      </c>
      <c r="Q24" s="213">
        <f>'2020-2024 Data long term avg'!CO67</f>
        <v>33875.599999999999</v>
      </c>
      <c r="R24" s="26">
        <f>'2020-2024 Data long term avg'!CP67</f>
        <v>28282.799999999999</v>
      </c>
      <c r="T24" s="160"/>
      <c r="U24" s="14"/>
      <c r="V24" s="17">
        <f>AQ24*$P24/1000</f>
        <v>7.8563333333333332E-3</v>
      </c>
      <c r="W24" s="14"/>
      <c r="X24" s="14"/>
      <c r="Y24" s="14"/>
      <c r="Z24" s="14"/>
      <c r="AA24" s="14"/>
      <c r="AB24" s="14"/>
      <c r="AC24" s="16"/>
      <c r="AD24" s="160"/>
      <c r="AE24" s="14"/>
      <c r="AF24" s="17">
        <f t="shared" si="4"/>
        <v>5.2666666666666669E-3</v>
      </c>
      <c r="AG24" s="14"/>
      <c r="AH24" s="14"/>
      <c r="AI24" s="14"/>
      <c r="AJ24" s="14"/>
      <c r="AK24" s="14"/>
      <c r="AL24" s="14"/>
      <c r="AM24" s="16"/>
      <c r="AN24" s="17"/>
      <c r="AO24" s="12"/>
      <c r="AP24" s="13"/>
      <c r="AQ24" s="5">
        <f>MAX('Short Term 2020-2023 Data'!$D5:$O5)</f>
        <v>1</v>
      </c>
      <c r="AR24" s="13"/>
      <c r="AS24" s="13"/>
      <c r="AT24" s="13"/>
      <c r="AU24" s="13"/>
      <c r="AV24" s="13"/>
      <c r="AW24" s="13"/>
      <c r="AX24" s="13"/>
      <c r="AY24" s="146"/>
      <c r="AZ24" s="13"/>
      <c r="BA24" s="1">
        <f>'2020-2024 Data long term avg'!AD67</f>
        <v>18.96</v>
      </c>
      <c r="BB24" s="13"/>
      <c r="BC24" s="13"/>
      <c r="BD24" s="13"/>
      <c r="BE24" s="13"/>
      <c r="BF24" s="13"/>
      <c r="BG24" s="13"/>
      <c r="BH24" s="15"/>
      <c r="BI24" s="12"/>
      <c r="BJ24" s="13"/>
      <c r="BK24" s="13"/>
      <c r="BL24" s="13"/>
      <c r="BM24" s="13"/>
      <c r="BN24" s="13"/>
      <c r="BO24" s="13"/>
      <c r="BP24" s="13"/>
      <c r="BQ24" s="13"/>
      <c r="BR24" s="15"/>
    </row>
    <row r="25" spans="1:70" s="1" customFormat="1" ht="15.75" customHeight="1">
      <c r="A25" s="24" t="s">
        <v>109</v>
      </c>
      <c r="B25" s="309" t="s">
        <v>73</v>
      </c>
      <c r="C25" s="23" t="s">
        <v>74</v>
      </c>
      <c r="D25" s="28" t="s">
        <v>110</v>
      </c>
      <c r="E25" s="205">
        <v>24</v>
      </c>
      <c r="F25" s="206">
        <v>0.25</v>
      </c>
      <c r="G25" s="201">
        <f t="shared" si="13"/>
        <v>4.9089062500000002E-2</v>
      </c>
      <c r="H25" s="195">
        <v>29.5</v>
      </c>
      <c r="I25" s="210">
        <f t="shared" si="6"/>
        <v>29.5</v>
      </c>
      <c r="J25" s="195">
        <f>O25/$G25</f>
        <v>9.6347931469044248</v>
      </c>
      <c r="K25" s="211">
        <f t="shared" si="22"/>
        <v>9.6347931469044248</v>
      </c>
      <c r="L25" s="129">
        <v>0.39</v>
      </c>
      <c r="M25" s="124"/>
      <c r="N25" s="185">
        <f t="shared" si="11"/>
        <v>0.11945906065275189</v>
      </c>
      <c r="O25" s="125">
        <f t="shared" si="1"/>
        <v>0.47296296296296297</v>
      </c>
      <c r="P25" s="125">
        <f t="shared" ref="P25:P26" si="23">R25/3600</f>
        <v>0.44462962962962965</v>
      </c>
      <c r="Q25" s="214">
        <f>'2020-2024 Data long term avg'!CO68</f>
        <v>1702.6666666666667</v>
      </c>
      <c r="R25" s="189">
        <f>'2020-2024 Data long term avg'!CP68</f>
        <v>1600.6666666666667</v>
      </c>
      <c r="T25" s="180">
        <f>AO25*$P25/1000</f>
        <v>1.3338888888888888E-3</v>
      </c>
      <c r="U25" s="17">
        <f>AP25*$P25/1000</f>
        <v>1.3338888888888888E-3</v>
      </c>
      <c r="V25" s="14"/>
      <c r="W25" s="14"/>
      <c r="X25" s="14"/>
      <c r="Y25" s="14"/>
      <c r="Z25" s="14"/>
      <c r="AA25" s="14"/>
      <c r="AB25" s="13"/>
      <c r="AC25" s="15"/>
      <c r="AD25" s="183">
        <f t="shared" si="16"/>
        <v>8.5185185185185198E-5</v>
      </c>
      <c r="AE25" s="17">
        <f t="shared" si="17"/>
        <v>6.9444444444444444E-5</v>
      </c>
      <c r="AF25" s="14"/>
      <c r="AG25" s="14"/>
      <c r="AH25" s="14"/>
      <c r="AI25" s="161"/>
      <c r="AJ25" s="14"/>
      <c r="AK25" s="14"/>
      <c r="AL25" s="14"/>
      <c r="AM25" s="16"/>
      <c r="AO25" s="30">
        <v>3</v>
      </c>
      <c r="AP25" s="29">
        <v>3</v>
      </c>
      <c r="AQ25" s="13"/>
      <c r="AR25" s="13"/>
      <c r="AS25" s="13"/>
      <c r="AT25" s="13"/>
      <c r="AU25" s="13"/>
      <c r="AV25" s="13"/>
      <c r="AW25" s="13"/>
      <c r="AX25" s="13"/>
      <c r="AY25" s="148">
        <f>'2020-2024 Data long term avg'!AD68</f>
        <v>0.3066666666666667</v>
      </c>
      <c r="AZ25" s="149">
        <f>'2020-2024 Data long term avg'!AD69</f>
        <v>0.25</v>
      </c>
      <c r="BA25" s="13"/>
      <c r="BB25" s="13"/>
      <c r="BC25" s="13"/>
      <c r="BD25" s="13"/>
      <c r="BE25" s="13"/>
      <c r="BF25" s="13"/>
      <c r="BG25" s="13"/>
      <c r="BH25" s="15"/>
      <c r="BI25" s="12"/>
      <c r="BJ25" s="13"/>
      <c r="BK25" s="13"/>
      <c r="BL25" s="13"/>
      <c r="BM25" s="13"/>
      <c r="BN25" s="13"/>
      <c r="BO25" s="13"/>
      <c r="BP25" s="13"/>
      <c r="BQ25" s="13"/>
      <c r="BR25" s="15"/>
    </row>
    <row r="26" spans="1:70" s="1" customFormat="1" ht="15.75" customHeight="1">
      <c r="A26" s="24" t="s">
        <v>109</v>
      </c>
      <c r="B26" s="309" t="s">
        <v>73</v>
      </c>
      <c r="C26" s="23" t="s">
        <v>74</v>
      </c>
      <c r="D26" s="28" t="s">
        <v>111</v>
      </c>
      <c r="E26" s="205">
        <v>24</v>
      </c>
      <c r="F26" s="206">
        <v>0.2</v>
      </c>
      <c r="G26" s="201">
        <f t="shared" si="13"/>
        <v>3.1417000000000007E-2</v>
      </c>
      <c r="H26" s="195">
        <v>18.329999999999998</v>
      </c>
      <c r="I26" s="210">
        <f t="shared" si="6"/>
        <v>18.329999999999998</v>
      </c>
      <c r="J26" s="196">
        <f t="shared" si="18"/>
        <v>10.164937831487787</v>
      </c>
      <c r="K26" s="211">
        <f t="shared" si="22"/>
        <v>10.164937831487787</v>
      </c>
      <c r="L26" s="129">
        <v>0.31</v>
      </c>
      <c r="M26" s="124"/>
      <c r="N26" s="185">
        <f>PI()*L26*L26/4</f>
        <v>7.5476763502494784E-2</v>
      </c>
      <c r="O26" s="125">
        <f>Q26/3600</f>
        <v>0.31935185185185189</v>
      </c>
      <c r="P26" s="125">
        <f t="shared" si="23"/>
        <v>0.30101851851851852</v>
      </c>
      <c r="Q26" s="214">
        <f>'2020-2024 Data long term avg'!CO70</f>
        <v>1149.6666666666667</v>
      </c>
      <c r="R26" s="189">
        <f>'2020-2024 Data long term avg'!CP70</f>
        <v>1083.6666666666667</v>
      </c>
      <c r="T26" s="160"/>
      <c r="U26" s="14"/>
      <c r="V26" s="17">
        <f>AQ26*$P26/1000</f>
        <v>6.0203703703703704E-2</v>
      </c>
      <c r="W26" s="14"/>
      <c r="X26" s="14"/>
      <c r="Y26" s="17">
        <f>AT26*$P26/1000</f>
        <v>3.913240740740741E-4</v>
      </c>
      <c r="Z26" s="14"/>
      <c r="AA26" s="14"/>
      <c r="AB26" s="13"/>
      <c r="AC26" s="15"/>
      <c r="AD26" s="160"/>
      <c r="AE26" s="14"/>
      <c r="AF26" s="190">
        <f t="shared" si="4"/>
        <v>0</v>
      </c>
      <c r="AG26" s="14"/>
      <c r="AH26" s="14"/>
      <c r="AI26" s="18">
        <f t="shared" si="5"/>
        <v>2.8425925925925928E-5</v>
      </c>
      <c r="AJ26" s="14"/>
      <c r="AK26" s="14"/>
      <c r="AL26" s="14"/>
      <c r="AM26" s="16"/>
      <c r="AN26" s="241"/>
      <c r="AO26" s="12"/>
      <c r="AP26" s="13"/>
      <c r="AQ26" s="29">
        <v>200</v>
      </c>
      <c r="AR26" s="13"/>
      <c r="AS26" s="13"/>
      <c r="AT26" s="29">
        <v>1.3</v>
      </c>
      <c r="AU26" s="13"/>
      <c r="AV26" s="13"/>
      <c r="AW26" s="13"/>
      <c r="AX26" s="13"/>
      <c r="AY26" s="12"/>
      <c r="AZ26" s="13"/>
      <c r="BA26" s="13"/>
      <c r="BB26" s="13"/>
      <c r="BC26" s="13"/>
      <c r="BD26" s="145">
        <f>'2020-2024 Data long term avg'!AD70</f>
        <v>0.10233333333333335</v>
      </c>
      <c r="BE26" s="13"/>
      <c r="BF26" s="13"/>
      <c r="BG26" s="13"/>
      <c r="BH26" s="15"/>
      <c r="BI26" s="12"/>
      <c r="BJ26" s="13"/>
      <c r="BK26" s="13"/>
      <c r="BL26" s="13"/>
      <c r="BM26" s="13"/>
      <c r="BN26" s="13"/>
      <c r="BO26" s="13"/>
      <c r="BP26" s="13"/>
      <c r="BQ26" s="13"/>
      <c r="BR26" s="15"/>
    </row>
    <row r="27" spans="1:70" s="1" customFormat="1">
      <c r="A27" s="248" t="s">
        <v>112</v>
      </c>
      <c r="B27" s="249"/>
      <c r="C27" s="250" t="s">
        <v>74</v>
      </c>
      <c r="D27" s="251" t="s">
        <v>113</v>
      </c>
      <c r="E27" s="252">
        <v>25</v>
      </c>
      <c r="F27" s="253">
        <v>1.25</v>
      </c>
      <c r="G27" s="254"/>
      <c r="H27" s="253"/>
      <c r="I27" s="255">
        <v>110</v>
      </c>
      <c r="J27" s="255">
        <f>O27/(PI()*((F27^2)/4))</f>
        <v>5.6588424210451675</v>
      </c>
      <c r="K27" s="256">
        <f>J27</f>
        <v>5.6588424210451675</v>
      </c>
      <c r="L27" s="257"/>
      <c r="M27" s="254"/>
      <c r="N27" s="254"/>
      <c r="O27" s="258">
        <f>Q27/3600</f>
        <v>6.9444444444444446</v>
      </c>
      <c r="P27" s="259">
        <f>O27*(273/(I27+273))</f>
        <v>4.9499564838990429</v>
      </c>
      <c r="Q27" s="260">
        <v>25000</v>
      </c>
      <c r="R27" s="261"/>
      <c r="S27" s="215"/>
      <c r="T27" s="262"/>
      <c r="U27" s="253"/>
      <c r="V27" s="263">
        <f t="shared" ref="V27:AA33" si="24">AQ27*$P27/1000</f>
        <v>0.14849869451697129</v>
      </c>
      <c r="W27" s="263">
        <f t="shared" si="24"/>
        <v>0.24749782419495214</v>
      </c>
      <c r="X27" s="253"/>
      <c r="Y27" s="253"/>
      <c r="Z27" s="253"/>
      <c r="AA27" s="263">
        <f>AV27*$P27/1000</f>
        <v>9.8999129677980857E-2</v>
      </c>
      <c r="AB27" s="253"/>
      <c r="AC27" s="264"/>
      <c r="AD27" s="252"/>
      <c r="AE27" s="253"/>
      <c r="AF27" s="265">
        <f t="shared" ref="AF27:AG33" si="25">(BA27/3600)+(BK27*$P27/1000)</f>
        <v>0.14849869451697129</v>
      </c>
      <c r="AG27" s="265">
        <f t="shared" ref="AG27:AG28" si="26">(BB27/3600)+(BL27*$P27/1000)</f>
        <v>0.24749782419495214</v>
      </c>
      <c r="AH27" s="263"/>
      <c r="AI27" s="263"/>
      <c r="AJ27" s="263"/>
      <c r="AK27" s="263">
        <f>BP27*$P27/1000</f>
        <v>9.8999129677980857E-2</v>
      </c>
      <c r="AL27" s="253"/>
      <c r="AM27" s="264"/>
      <c r="AN27" s="215"/>
      <c r="AO27" s="257"/>
      <c r="AP27" s="254"/>
      <c r="AQ27" s="254">
        <v>30</v>
      </c>
      <c r="AR27" s="254">
        <v>50</v>
      </c>
      <c r="AS27" s="254"/>
      <c r="AT27" s="254"/>
      <c r="AU27" s="254"/>
      <c r="AV27" s="254">
        <v>20</v>
      </c>
      <c r="AW27" s="254"/>
      <c r="AX27" s="266"/>
      <c r="AY27" s="262"/>
      <c r="AZ27" s="254"/>
      <c r="BA27" s="254"/>
      <c r="BB27" s="254"/>
      <c r="BC27" s="254"/>
      <c r="BD27" s="254"/>
      <c r="BE27" s="254"/>
      <c r="BF27" s="254"/>
      <c r="BG27" s="254"/>
      <c r="BH27" s="267"/>
      <c r="BI27" s="262"/>
      <c r="BJ27" s="254"/>
      <c r="BK27" s="254">
        <v>30</v>
      </c>
      <c r="BL27" s="254">
        <v>50</v>
      </c>
      <c r="BM27" s="254"/>
      <c r="BN27" s="254"/>
      <c r="BO27" s="254"/>
      <c r="BP27" s="254">
        <v>20</v>
      </c>
      <c r="BQ27" s="254"/>
      <c r="BR27" s="267"/>
    </row>
    <row r="28" spans="1:70" s="1" customFormat="1">
      <c r="A28" s="101" t="s">
        <v>114</v>
      </c>
      <c r="B28" s="102"/>
      <c r="C28" s="307" t="s">
        <v>74</v>
      </c>
      <c r="D28" s="111" t="s">
        <v>113</v>
      </c>
      <c r="E28" s="117">
        <v>25</v>
      </c>
      <c r="F28" s="103">
        <v>1.25</v>
      </c>
      <c r="G28" s="104"/>
      <c r="H28" s="103"/>
      <c r="I28" s="105">
        <v>110</v>
      </c>
      <c r="J28" s="105">
        <f>O28/(PI()*((F28^2)/4))</f>
        <v>6.7906109052542014</v>
      </c>
      <c r="K28" s="152">
        <f t="shared" ref="K28:K31" si="27">J28</f>
        <v>6.7906109052542014</v>
      </c>
      <c r="L28" s="114"/>
      <c r="M28" s="104"/>
      <c r="N28" s="104"/>
      <c r="O28" s="184">
        <f>Q28/3600</f>
        <v>8.3333333333333339</v>
      </c>
      <c r="P28" s="159">
        <f t="shared" ref="P28:P30" si="28">O28*(273/(I28+273))</f>
        <v>5.9399477806788514</v>
      </c>
      <c r="Q28" s="103">
        <v>30000</v>
      </c>
      <c r="R28" s="131"/>
      <c r="S28"/>
      <c r="T28" s="130"/>
      <c r="U28" s="103"/>
      <c r="V28" s="169">
        <f t="shared" si="24"/>
        <v>0.17819843342036554</v>
      </c>
      <c r="W28" s="169">
        <f t="shared" si="24"/>
        <v>0.29699738903394257</v>
      </c>
      <c r="X28" s="103"/>
      <c r="Y28" s="103"/>
      <c r="Z28" s="103"/>
      <c r="AA28" s="169">
        <f>AV28*$P28/1000</f>
        <v>0.11879895561357702</v>
      </c>
      <c r="AB28" s="103"/>
      <c r="AC28" s="153"/>
      <c r="AD28" s="117"/>
      <c r="AE28" s="103"/>
      <c r="AF28" s="170">
        <f t="shared" si="25"/>
        <v>0.17819843342036554</v>
      </c>
      <c r="AG28" s="170">
        <f t="shared" si="26"/>
        <v>0.29699738903394257</v>
      </c>
      <c r="AH28" s="171"/>
      <c r="AI28" s="171"/>
      <c r="AJ28" s="171"/>
      <c r="AK28" s="169">
        <f>BP28*$P28/1000</f>
        <v>0.11879895561357702</v>
      </c>
      <c r="AL28" s="103"/>
      <c r="AM28" s="153"/>
      <c r="AN28" s="215"/>
      <c r="AO28" s="114"/>
      <c r="AP28" s="104"/>
      <c r="AQ28" s="104">
        <v>30</v>
      </c>
      <c r="AR28" s="104">
        <v>50</v>
      </c>
      <c r="AS28" s="104"/>
      <c r="AT28" s="104"/>
      <c r="AU28" s="104"/>
      <c r="AV28" s="104">
        <v>20</v>
      </c>
      <c r="AW28" s="104"/>
      <c r="AX28" s="138"/>
      <c r="AY28" s="130"/>
      <c r="AZ28" s="104"/>
      <c r="BA28" s="104"/>
      <c r="BB28" s="104"/>
      <c r="BC28" s="104"/>
      <c r="BD28" s="104"/>
      <c r="BE28" s="104"/>
      <c r="BF28" s="104"/>
      <c r="BG28" s="104"/>
      <c r="BH28" s="132"/>
      <c r="BI28" s="130"/>
      <c r="BJ28" s="104"/>
      <c r="BK28" s="51">
        <v>30</v>
      </c>
      <c r="BL28" s="51">
        <v>50</v>
      </c>
      <c r="BM28" s="104"/>
      <c r="BN28" s="104"/>
      <c r="BO28" s="104"/>
      <c r="BP28" s="51">
        <v>20</v>
      </c>
      <c r="BQ28" s="104"/>
      <c r="BR28" s="132"/>
    </row>
    <row r="29" spans="1:70" ht="16.5" customHeight="1">
      <c r="A29" s="101" t="s">
        <v>115</v>
      </c>
      <c r="B29" s="102"/>
      <c r="C29" s="307" t="s">
        <v>116</v>
      </c>
      <c r="D29" s="111" t="s">
        <v>117</v>
      </c>
      <c r="E29" s="118">
        <v>9.9</v>
      </c>
      <c r="F29" s="101">
        <v>0.35</v>
      </c>
      <c r="G29" s="104"/>
      <c r="H29" s="103"/>
      <c r="I29" s="105">
        <v>194</v>
      </c>
      <c r="J29" s="105">
        <v>12.71</v>
      </c>
      <c r="K29" s="152">
        <f t="shared" si="27"/>
        <v>12.71</v>
      </c>
      <c r="L29" s="114"/>
      <c r="M29" s="104"/>
      <c r="N29" s="104"/>
      <c r="O29" s="103">
        <v>1.22</v>
      </c>
      <c r="P29" s="159">
        <f>O29*(273/(I29+273))</f>
        <v>0.71319057815845821</v>
      </c>
      <c r="Q29" s="103">
        <f>O29*3600</f>
        <v>4392</v>
      </c>
      <c r="R29" s="132"/>
      <c r="S29" s="215"/>
      <c r="T29" s="130"/>
      <c r="U29" s="103"/>
      <c r="V29" s="169">
        <f t="shared" si="24"/>
        <v>0.10697858672376873</v>
      </c>
      <c r="W29" s="169">
        <f>AG29</f>
        <v>1.4444444444444446E-3</v>
      </c>
      <c r="X29" s="103"/>
      <c r="Y29" s="154"/>
      <c r="Z29" s="103"/>
      <c r="AA29" s="103"/>
      <c r="AB29" s="103"/>
      <c r="AC29" s="153"/>
      <c r="AD29" s="117"/>
      <c r="AE29" s="103"/>
      <c r="AF29" s="170">
        <f t="shared" si="25"/>
        <v>4.6944444444444441E-2</v>
      </c>
      <c r="AG29" s="170">
        <f>(BB29/3600)+(BL29*$P29/1000)</f>
        <v>1.4444444444444446E-3</v>
      </c>
      <c r="AH29" s="171"/>
      <c r="AI29" s="171"/>
      <c r="AJ29" s="171"/>
      <c r="AK29" s="171"/>
      <c r="AL29" s="103"/>
      <c r="AM29" s="153"/>
      <c r="AN29" s="215"/>
      <c r="AO29" s="114"/>
      <c r="AP29" s="104"/>
      <c r="AQ29" s="104">
        <v>150</v>
      </c>
      <c r="AR29" s="268">
        <f>W29*1000/P29</f>
        <v>2.0253274351635011</v>
      </c>
      <c r="AS29" s="104"/>
      <c r="AT29" s="104"/>
      <c r="AU29" s="104"/>
      <c r="AV29" s="104"/>
      <c r="AW29" s="104"/>
      <c r="AX29" s="138"/>
      <c r="AY29" s="130"/>
      <c r="AZ29" s="104"/>
      <c r="BA29" s="51">
        <f>'2020-2024 Data long term avg'!AD57</f>
        <v>169</v>
      </c>
      <c r="BB29" s="51">
        <f>'2020-2024 Data long term avg'!AD58</f>
        <v>5.2</v>
      </c>
      <c r="BC29" s="104"/>
      <c r="BD29" s="104"/>
      <c r="BE29" s="104"/>
      <c r="BF29" s="104"/>
      <c r="BG29" s="104"/>
      <c r="BH29" s="132"/>
      <c r="BI29" s="130"/>
      <c r="BJ29" s="104"/>
      <c r="BK29" s="104"/>
      <c r="BL29" s="104"/>
      <c r="BM29" s="104"/>
      <c r="BN29" s="104"/>
      <c r="BO29" s="104"/>
      <c r="BP29" s="104"/>
      <c r="BQ29" s="104"/>
      <c r="BR29" s="132"/>
    </row>
    <row r="30" spans="1:70" ht="15.75" customHeight="1">
      <c r="A30" s="101" t="s">
        <v>115</v>
      </c>
      <c r="B30" s="102"/>
      <c r="C30" s="307" t="s">
        <v>116</v>
      </c>
      <c r="D30" s="111" t="s">
        <v>118</v>
      </c>
      <c r="E30" s="167">
        <v>9.9</v>
      </c>
      <c r="F30" s="101">
        <v>0.35</v>
      </c>
      <c r="G30" s="104"/>
      <c r="H30" s="103"/>
      <c r="I30" s="105">
        <v>194</v>
      </c>
      <c r="J30" s="105">
        <v>12.71</v>
      </c>
      <c r="K30" s="152">
        <f t="shared" si="27"/>
        <v>12.71</v>
      </c>
      <c r="L30" s="114"/>
      <c r="M30" s="104"/>
      <c r="N30" s="104"/>
      <c r="O30" s="103">
        <v>1.22</v>
      </c>
      <c r="P30" s="159">
        <f t="shared" si="28"/>
        <v>0.71319057815845821</v>
      </c>
      <c r="Q30" s="103">
        <f>O30*3600</f>
        <v>4392</v>
      </c>
      <c r="R30" s="132"/>
      <c r="S30" s="215"/>
      <c r="T30" s="130"/>
      <c r="U30" s="103"/>
      <c r="V30" s="169">
        <f>AQ30*$P30/1000</f>
        <v>0.10697858672376873</v>
      </c>
      <c r="W30" s="169">
        <f>AG30</f>
        <v>6.1111111111111121E-4</v>
      </c>
      <c r="X30" s="103"/>
      <c r="Y30" s="154"/>
      <c r="Z30" s="103"/>
      <c r="AA30" s="103"/>
      <c r="AB30" s="103"/>
      <c r="AC30" s="153"/>
      <c r="AD30" s="117"/>
      <c r="AE30" s="103"/>
      <c r="AF30" s="170">
        <f t="shared" si="25"/>
        <v>1.9333333333333331E-2</v>
      </c>
      <c r="AG30" s="170">
        <f t="shared" si="25"/>
        <v>6.1111111111111121E-4</v>
      </c>
      <c r="AH30" s="171"/>
      <c r="AI30" s="171"/>
      <c r="AJ30" s="171"/>
      <c r="AK30" s="171"/>
      <c r="AL30" s="103"/>
      <c r="AM30" s="153"/>
      <c r="AN30" s="215"/>
      <c r="AO30" s="114"/>
      <c r="AP30" s="104"/>
      <c r="AQ30" s="104">
        <v>150</v>
      </c>
      <c r="AR30" s="268">
        <f>W30*1000/P30</f>
        <v>0.85686929949225044</v>
      </c>
      <c r="AS30" s="104"/>
      <c r="AT30" s="104"/>
      <c r="AU30" s="104"/>
      <c r="AV30" s="104"/>
      <c r="AW30" s="104"/>
      <c r="AX30" s="138"/>
      <c r="AY30" s="130"/>
      <c r="AZ30" s="104"/>
      <c r="BA30" s="51">
        <f>'2020-2024 Data long term avg'!AD60</f>
        <v>69.599999999999994</v>
      </c>
      <c r="BB30" s="51">
        <f>'2020-2024 Data long term avg'!AD61</f>
        <v>2.2000000000000002</v>
      </c>
      <c r="BC30" s="104"/>
      <c r="BD30" s="104"/>
      <c r="BE30" s="104"/>
      <c r="BF30" s="104"/>
      <c r="BG30" s="104"/>
      <c r="BH30" s="132"/>
      <c r="BI30" s="130"/>
      <c r="BJ30" s="104"/>
      <c r="BK30" s="104"/>
      <c r="BL30" s="104"/>
      <c r="BM30" s="104"/>
      <c r="BN30" s="104"/>
      <c r="BO30" s="104"/>
      <c r="BP30" s="104"/>
      <c r="BQ30" s="104"/>
      <c r="BR30" s="132"/>
    </row>
    <row r="31" spans="1:70" ht="15" customHeight="1">
      <c r="A31" s="106" t="s">
        <v>115</v>
      </c>
      <c r="B31" s="107"/>
      <c r="C31" s="307" t="s">
        <v>116</v>
      </c>
      <c r="D31" s="112" t="s">
        <v>119</v>
      </c>
      <c r="E31" s="168">
        <v>9.9</v>
      </c>
      <c r="F31" s="106">
        <v>0.35</v>
      </c>
      <c r="G31" s="109"/>
      <c r="H31" s="103"/>
      <c r="I31" s="165">
        <v>194</v>
      </c>
      <c r="J31" s="165">
        <v>12.71</v>
      </c>
      <c r="K31" s="152">
        <f t="shared" si="27"/>
        <v>12.71</v>
      </c>
      <c r="L31" s="115"/>
      <c r="M31" s="109"/>
      <c r="N31" s="109"/>
      <c r="O31" s="108">
        <v>1.22</v>
      </c>
      <c r="P31" s="159">
        <f>O31*(273/(I31+273))</f>
        <v>0.71319057815845821</v>
      </c>
      <c r="Q31" s="103">
        <f t="shared" ref="Q31" si="29">O31*3600</f>
        <v>4392</v>
      </c>
      <c r="R31" s="134"/>
      <c r="S31" s="215"/>
      <c r="T31" s="133"/>
      <c r="U31" s="108"/>
      <c r="V31" s="169">
        <f t="shared" si="24"/>
        <v>0.10697858672376873</v>
      </c>
      <c r="W31" s="169">
        <f>AG31</f>
        <v>9.4444444444444437E-4</v>
      </c>
      <c r="X31" s="108"/>
      <c r="Y31" s="155"/>
      <c r="Z31" s="108"/>
      <c r="AA31" s="108"/>
      <c r="AB31" s="108"/>
      <c r="AC31" s="156"/>
      <c r="AD31" s="157"/>
      <c r="AE31" s="108"/>
      <c r="AF31" s="170">
        <f t="shared" si="25"/>
        <v>4.583333333333333E-2</v>
      </c>
      <c r="AG31" s="170">
        <f t="shared" si="25"/>
        <v>9.4444444444444437E-4</v>
      </c>
      <c r="AH31" s="172"/>
      <c r="AI31" s="172"/>
      <c r="AJ31" s="172"/>
      <c r="AK31" s="172"/>
      <c r="AL31" s="108"/>
      <c r="AM31" s="156"/>
      <c r="AN31" s="215"/>
      <c r="AO31" s="110"/>
      <c r="AP31" s="104"/>
      <c r="AQ31" s="104">
        <v>150</v>
      </c>
      <c r="AR31" s="268">
        <f t="shared" ref="AR31" si="30">W31*1000/P31</f>
        <v>1.3242525537607506</v>
      </c>
      <c r="AS31" s="138"/>
      <c r="AT31" s="104"/>
      <c r="AU31" s="109"/>
      <c r="AV31" s="109"/>
      <c r="AW31" s="109"/>
      <c r="AX31" s="139"/>
      <c r="AY31" s="133"/>
      <c r="AZ31" s="109"/>
      <c r="BA31" s="51">
        <f>'2020-2024 Data long term avg'!AD62</f>
        <v>165</v>
      </c>
      <c r="BB31" s="51">
        <f>'2020-2024 Data long term avg'!AD63</f>
        <v>3.4</v>
      </c>
      <c r="BC31" s="109"/>
      <c r="BD31" s="109"/>
      <c r="BE31" s="109"/>
      <c r="BF31" s="109"/>
      <c r="BG31" s="109"/>
      <c r="BH31" s="134"/>
      <c r="BI31" s="133"/>
      <c r="BJ31" s="109"/>
      <c r="BK31" s="109"/>
      <c r="BL31" s="109"/>
      <c r="BM31" s="109"/>
      <c r="BN31" s="109"/>
      <c r="BO31" s="109"/>
      <c r="BP31" s="109"/>
      <c r="BQ31" s="109"/>
      <c r="BR31" s="134"/>
    </row>
    <row r="32" spans="1:70">
      <c r="A32" s="53" t="s">
        <v>120</v>
      </c>
      <c r="B32" s="54"/>
      <c r="C32" s="308" t="s">
        <v>74</v>
      </c>
      <c r="D32" s="113" t="s">
        <v>121</v>
      </c>
      <c r="E32" s="163">
        <v>28.114999999999998</v>
      </c>
      <c r="F32" s="53">
        <v>0.62</v>
      </c>
      <c r="G32" s="55"/>
      <c r="H32" s="53"/>
      <c r="I32" s="163">
        <v>45</v>
      </c>
      <c r="J32" s="163">
        <f>O32/(PI()*((F32^2)/4))</f>
        <v>15.128828357382558</v>
      </c>
      <c r="K32" s="164">
        <f>J32</f>
        <v>15.128828357382558</v>
      </c>
      <c r="L32" s="116"/>
      <c r="M32" s="55"/>
      <c r="N32" s="55"/>
      <c r="O32" s="162">
        <f>Q32/3600</f>
        <v>4.5674999999999999</v>
      </c>
      <c r="P32" s="166">
        <f t="shared" ref="P32:P33" si="31">O32*(273/(I32+273))</f>
        <v>3.9211556603773587</v>
      </c>
      <c r="Q32" s="53">
        <v>16443</v>
      </c>
      <c r="R32" s="119"/>
      <c r="T32" s="174">
        <f t="shared" ref="T32:T33" si="32">AO32*$P32/1000</f>
        <v>3.9211556603773588E-2</v>
      </c>
      <c r="U32" s="169">
        <f t="shared" ref="U32:U33" si="33">AP32*$P32/1000</f>
        <v>7.8423113207547173E-3</v>
      </c>
      <c r="V32" s="169">
        <f t="shared" si="24"/>
        <v>0.58817334905660379</v>
      </c>
      <c r="W32" s="53"/>
      <c r="X32" s="53"/>
      <c r="Y32" s="169">
        <f t="shared" si="24"/>
        <v>3.9211556603773588E-2</v>
      </c>
      <c r="Z32" s="53"/>
      <c r="AA32" s="169">
        <f t="shared" si="24"/>
        <v>7.8423113207547177E-2</v>
      </c>
      <c r="AB32" s="53"/>
      <c r="AC32" s="158"/>
      <c r="AD32" s="170">
        <f t="shared" ref="AD32:AD33" si="34">(AY32/3600)+(BI32*$P32/1000)</f>
        <v>3.9211556603773588E-2</v>
      </c>
      <c r="AE32" s="170">
        <f t="shared" ref="AE32:AE33" si="35">(AZ32/3600)+(BJ32*$P32/1000)</f>
        <v>7.8423113207547173E-3</v>
      </c>
      <c r="AF32" s="170">
        <f t="shared" si="25"/>
        <v>0.58817334905660379</v>
      </c>
      <c r="AG32" s="173"/>
      <c r="AH32" s="173"/>
      <c r="AI32" s="170">
        <f t="shared" ref="AI32:AI33" si="36">(BD32/3600)+(BN32*$P32/1000)</f>
        <v>3.9211556603773588E-2</v>
      </c>
      <c r="AJ32" s="173"/>
      <c r="AK32" s="170">
        <f t="shared" ref="AK32:AK33" si="37">(BF32/3600)+(BP32*$P32/1000)</f>
        <v>7.8423113207547177E-2</v>
      </c>
      <c r="AL32" s="53"/>
      <c r="AM32" s="158"/>
      <c r="AN32" s="215"/>
      <c r="AO32" s="135">
        <v>10</v>
      </c>
      <c r="AP32" s="55">
        <v>2</v>
      </c>
      <c r="AQ32" s="55">
        <v>150</v>
      </c>
      <c r="AR32" s="55"/>
      <c r="AS32" s="55"/>
      <c r="AT32" s="55">
        <v>10</v>
      </c>
      <c r="AU32" s="55"/>
      <c r="AV32" s="55">
        <v>20</v>
      </c>
      <c r="AW32" s="55"/>
      <c r="AX32" s="140"/>
      <c r="AY32" s="135"/>
      <c r="AZ32" s="55"/>
      <c r="BA32" s="55"/>
      <c r="BB32" s="55"/>
      <c r="BC32" s="55"/>
      <c r="BD32" s="55"/>
      <c r="BE32" s="55"/>
      <c r="BF32" s="55"/>
      <c r="BG32" s="55"/>
      <c r="BH32" s="119"/>
      <c r="BI32" s="178">
        <v>10</v>
      </c>
      <c r="BJ32" s="51">
        <v>2</v>
      </c>
      <c r="BK32" s="51">
        <v>150</v>
      </c>
      <c r="BL32" s="55"/>
      <c r="BM32" s="55"/>
      <c r="BN32" s="51">
        <v>10</v>
      </c>
      <c r="BO32" s="55"/>
      <c r="BP32" s="51">
        <v>20</v>
      </c>
      <c r="BQ32" s="55"/>
      <c r="BR32" s="119"/>
    </row>
    <row r="33" spans="1:70">
      <c r="A33" s="53" t="s">
        <v>120</v>
      </c>
      <c r="B33" s="54"/>
      <c r="C33" s="57" t="s">
        <v>74</v>
      </c>
      <c r="D33" s="113" t="s">
        <v>122</v>
      </c>
      <c r="E33" s="164">
        <v>28.114999999999998</v>
      </c>
      <c r="F33" s="299">
        <v>0.41399999999999998</v>
      </c>
      <c r="G33" s="55"/>
      <c r="H33" s="53"/>
      <c r="I33" s="163">
        <v>23</v>
      </c>
      <c r="J33" s="163">
        <f>O33/(PI()*((F33^2)/4))</f>
        <v>15.402051328021486</v>
      </c>
      <c r="K33" s="164">
        <f>J33</f>
        <v>15.402051328021486</v>
      </c>
      <c r="L33" s="116"/>
      <c r="M33" s="55"/>
      <c r="N33" s="55"/>
      <c r="O33" s="162">
        <f>Q33/3600</f>
        <v>2.0733333333333333</v>
      </c>
      <c r="P33" s="166">
        <f t="shared" si="31"/>
        <v>1.9122297297297295</v>
      </c>
      <c r="Q33" s="53">
        <v>7464</v>
      </c>
      <c r="R33" s="119"/>
      <c r="S33" s="215"/>
      <c r="T33" s="174">
        <f t="shared" si="32"/>
        <v>1.9122297297297294E-2</v>
      </c>
      <c r="U33" s="169">
        <f t="shared" si="33"/>
        <v>3.8244594594594589E-3</v>
      </c>
      <c r="V33" s="169">
        <f t="shared" si="24"/>
        <v>0.2868344594594594</v>
      </c>
      <c r="W33" s="53"/>
      <c r="X33" s="53"/>
      <c r="Y33" s="169">
        <f t="shared" si="24"/>
        <v>1.9122297297297294E-2</v>
      </c>
      <c r="Z33" s="53"/>
      <c r="AA33" s="169">
        <f t="shared" si="24"/>
        <v>3.8244594594594589E-2</v>
      </c>
      <c r="AB33" s="53"/>
      <c r="AC33" s="158"/>
      <c r="AD33" s="170">
        <f t="shared" si="34"/>
        <v>1.9122297297297294E-2</v>
      </c>
      <c r="AE33" s="170">
        <f t="shared" si="35"/>
        <v>3.8244594594594589E-3</v>
      </c>
      <c r="AF33" s="170">
        <f t="shared" si="25"/>
        <v>0.2868344594594594</v>
      </c>
      <c r="AG33" s="173"/>
      <c r="AH33" s="173"/>
      <c r="AI33" s="170">
        <f t="shared" si="36"/>
        <v>1.9122297297297294E-2</v>
      </c>
      <c r="AJ33" s="173"/>
      <c r="AK33" s="170">
        <f t="shared" si="37"/>
        <v>3.8244594594594589E-2</v>
      </c>
      <c r="AL33" s="53"/>
      <c r="AM33" s="158"/>
      <c r="AN33" s="215"/>
      <c r="AO33" s="135">
        <v>10</v>
      </c>
      <c r="AP33" s="55">
        <v>2</v>
      </c>
      <c r="AQ33" s="55">
        <v>150</v>
      </c>
      <c r="AR33" s="55"/>
      <c r="AS33" s="55"/>
      <c r="AT33" s="55">
        <v>10</v>
      </c>
      <c r="AU33" s="55"/>
      <c r="AV33" s="55">
        <v>20</v>
      </c>
      <c r="AW33" s="55"/>
      <c r="AX33" s="140"/>
      <c r="AY33" s="135"/>
      <c r="AZ33" s="55"/>
      <c r="BA33" s="55"/>
      <c r="BB33" s="55"/>
      <c r="BC33" s="55"/>
      <c r="BD33" s="55"/>
      <c r="BE33" s="55"/>
      <c r="BF33" s="55"/>
      <c r="BG33" s="55"/>
      <c r="BH33" s="119"/>
      <c r="BI33" s="178">
        <v>10</v>
      </c>
      <c r="BJ33" s="51">
        <v>2</v>
      </c>
      <c r="BK33" s="51">
        <v>150</v>
      </c>
      <c r="BL33" s="55"/>
      <c r="BM33" s="55"/>
      <c r="BN33" s="51">
        <v>10</v>
      </c>
      <c r="BO33" s="55"/>
      <c r="BP33" s="51">
        <v>20</v>
      </c>
      <c r="BQ33" s="55"/>
      <c r="BR33" s="119"/>
    </row>
    <row r="34" spans="1:70">
      <c r="H34"/>
      <c r="Q34"/>
    </row>
    <row r="35" spans="1:70">
      <c r="B35" s="298"/>
      <c r="C35" s="4" t="s">
        <v>123</v>
      </c>
      <c r="H35"/>
      <c r="Q35"/>
    </row>
    <row r="36" spans="1:70">
      <c r="B36" s="136"/>
      <c r="C36" s="4" t="s">
        <v>124</v>
      </c>
      <c r="H36"/>
      <c r="Q36"/>
      <c r="AO36" s="52"/>
      <c r="AP36" s="51" t="s">
        <v>125</v>
      </c>
      <c r="AQ36" s="51"/>
      <c r="AR36" s="51"/>
      <c r="AS36" s="239"/>
      <c r="AT36" s="240"/>
    </row>
    <row r="37" spans="1:70">
      <c r="B37" s="137"/>
      <c r="C37" s="4" t="s">
        <v>126</v>
      </c>
      <c r="H37"/>
      <c r="Q37"/>
      <c r="AO37" s="50"/>
      <c r="AP37" s="51" t="s">
        <v>127</v>
      </c>
      <c r="AQ37" s="51"/>
      <c r="AR37" s="51"/>
      <c r="AS37" s="51"/>
      <c r="AT37" s="51"/>
    </row>
    <row r="38" spans="1:70">
      <c r="B38" s="297" t="s">
        <v>128</v>
      </c>
      <c r="C38" s="4" t="s">
        <v>129</v>
      </c>
      <c r="H38"/>
      <c r="Q38"/>
    </row>
    <row r="39" spans="1:70">
      <c r="B39" s="245"/>
      <c r="C39" s="4" t="s">
        <v>130</v>
      </c>
      <c r="H39"/>
      <c r="Q39"/>
    </row>
    <row r="40" spans="1:70">
      <c r="H40"/>
      <c r="Q40"/>
    </row>
    <row r="41" spans="1:70">
      <c r="H41"/>
      <c r="Q41"/>
    </row>
    <row r="42" spans="1:70">
      <c r="H42"/>
      <c r="Q42"/>
    </row>
    <row r="43" spans="1:70">
      <c r="H43"/>
      <c r="Q43"/>
    </row>
    <row r="44" spans="1:70">
      <c r="H44"/>
      <c r="Q44"/>
    </row>
    <row r="45" spans="1:70">
      <c r="H45"/>
      <c r="Q45"/>
    </row>
    <row r="46" spans="1:70">
      <c r="H46"/>
      <c r="Q46"/>
    </row>
    <row r="47" spans="1:70">
      <c r="H47"/>
      <c r="Q47"/>
    </row>
    <row r="48" spans="1:70">
      <c r="H48"/>
      <c r="Q48"/>
    </row>
    <row r="49" spans="8:17">
      <c r="H49"/>
      <c r="Q49"/>
    </row>
    <row r="50" spans="8:17">
      <c r="H50"/>
      <c r="Q50"/>
    </row>
    <row r="51" spans="8:17">
      <c r="H51"/>
      <c r="Q51"/>
    </row>
    <row r="52" spans="8:17">
      <c r="H52"/>
      <c r="Q52"/>
    </row>
    <row r="53" spans="8:17">
      <c r="H53"/>
      <c r="Q53"/>
    </row>
    <row r="54" spans="8:17">
      <c r="H54"/>
      <c r="Q54"/>
    </row>
    <row r="55" spans="8:17">
      <c r="H55"/>
      <c r="Q55"/>
    </row>
    <row r="56" spans="8:17">
      <c r="H56"/>
      <c r="Q56"/>
    </row>
    <row r="57" spans="8:17">
      <c r="H57"/>
      <c r="Q57"/>
    </row>
    <row r="58" spans="8:17">
      <c r="H58"/>
      <c r="Q58"/>
    </row>
    <row r="59" spans="8:17">
      <c r="H59"/>
      <c r="Q59"/>
    </row>
    <row r="60" spans="8:17">
      <c r="H60"/>
      <c r="Q60"/>
    </row>
    <row r="61" spans="8:17">
      <c r="H61"/>
      <c r="Q61"/>
    </row>
    <row r="62" spans="8:17">
      <c r="H62"/>
      <c r="Q62"/>
    </row>
    <row r="63" spans="8:17">
      <c r="H63"/>
      <c r="Q63"/>
    </row>
    <row r="64" spans="8:17">
      <c r="H64"/>
      <c r="Q64"/>
    </row>
    <row r="65" spans="8:17">
      <c r="H65"/>
      <c r="Q65"/>
    </row>
    <row r="66" spans="8:17">
      <c r="H66"/>
      <c r="Q66"/>
    </row>
    <row r="67" spans="8:17">
      <c r="H67"/>
      <c r="Q67"/>
    </row>
    <row r="68" spans="8:17">
      <c r="H68"/>
      <c r="Q68"/>
    </row>
    <row r="69" spans="8:17">
      <c r="H69"/>
      <c r="Q69"/>
    </row>
    <row r="70" spans="8:17">
      <c r="H70"/>
      <c r="Q70"/>
    </row>
    <row r="71" spans="8:17">
      <c r="H71"/>
      <c r="Q71"/>
    </row>
    <row r="72" spans="8:17">
      <c r="H72"/>
      <c r="Q72"/>
    </row>
    <row r="73" spans="8:17">
      <c r="H73"/>
      <c r="Q73"/>
    </row>
    <row r="74" spans="8:17">
      <c r="H74"/>
      <c r="Q74"/>
    </row>
    <row r="75" spans="8:17">
      <c r="H75"/>
      <c r="Q75"/>
    </row>
    <row r="76" spans="8:17">
      <c r="H76"/>
      <c r="Q76"/>
    </row>
    <row r="77" spans="8:17">
      <c r="H77"/>
      <c r="Q77"/>
    </row>
    <row r="78" spans="8:17">
      <c r="H78"/>
      <c r="Q78"/>
    </row>
    <row r="79" spans="8:17">
      <c r="H79"/>
      <c r="Q79"/>
    </row>
    <row r="80" spans="8:17">
      <c r="H80"/>
      <c r="Q80"/>
    </row>
    <row r="81" spans="8:17">
      <c r="H81"/>
      <c r="Q81"/>
    </row>
    <row r="82" spans="8:17">
      <c r="H82"/>
      <c r="Q82"/>
    </row>
    <row r="83" spans="8:17">
      <c r="H83"/>
      <c r="Q83"/>
    </row>
    <row r="84" spans="8:17">
      <c r="H84"/>
      <c r="Q84"/>
    </row>
    <row r="85" spans="8:17">
      <c r="H85"/>
      <c r="Q85"/>
    </row>
    <row r="86" spans="8:17">
      <c r="H86"/>
      <c r="Q86"/>
    </row>
    <row r="87" spans="8:17">
      <c r="H87"/>
      <c r="Q87"/>
    </row>
    <row r="88" spans="8:17">
      <c r="H88"/>
      <c r="Q88"/>
    </row>
    <row r="89" spans="8:17">
      <c r="H89"/>
      <c r="Q89"/>
    </row>
    <row r="90" spans="8:17">
      <c r="H90"/>
      <c r="Q90"/>
    </row>
    <row r="91" spans="8:17">
      <c r="H91"/>
      <c r="Q91"/>
    </row>
    <row r="92" spans="8:17">
      <c r="H92"/>
      <c r="Q92"/>
    </row>
    <row r="93" spans="8:17">
      <c r="H93"/>
      <c r="Q93"/>
    </row>
    <row r="94" spans="8:17">
      <c r="H94"/>
      <c r="Q94"/>
    </row>
    <row r="95" spans="8:17">
      <c r="H95"/>
      <c r="Q95"/>
    </row>
    <row r="96" spans="8:17">
      <c r="H96"/>
      <c r="Q96"/>
    </row>
    <row r="97" spans="8:17">
      <c r="H97"/>
      <c r="Q97"/>
    </row>
    <row r="98" spans="8:17">
      <c r="H98"/>
      <c r="Q98"/>
    </row>
    <row r="99" spans="8:17">
      <c r="H99"/>
      <c r="Q99"/>
    </row>
    <row r="100" spans="8:17">
      <c r="H100"/>
      <c r="Q100"/>
    </row>
    <row r="101" spans="8:17">
      <c r="H101"/>
      <c r="Q101"/>
    </row>
    <row r="102" spans="8:17">
      <c r="H102"/>
      <c r="Q102"/>
    </row>
    <row r="103" spans="8:17">
      <c r="H103"/>
      <c r="Q103"/>
    </row>
    <row r="104" spans="8:17">
      <c r="H104"/>
      <c r="Q104"/>
    </row>
    <row r="105" spans="8:17">
      <c r="H105"/>
      <c r="Q105"/>
    </row>
    <row r="106" spans="8:17">
      <c r="H106"/>
      <c r="Q106"/>
    </row>
    <row r="107" spans="8:17">
      <c r="H107"/>
      <c r="Q107"/>
    </row>
    <row r="108" spans="8:17">
      <c r="H108"/>
      <c r="Q108"/>
    </row>
    <row r="109" spans="8:17">
      <c r="H109"/>
      <c r="Q109"/>
    </row>
    <row r="110" spans="8:17">
      <c r="H110"/>
      <c r="Q110"/>
    </row>
    <row r="111" spans="8:17">
      <c r="H111"/>
      <c r="Q111"/>
    </row>
    <row r="112" spans="8:17">
      <c r="H112"/>
      <c r="Q112"/>
    </row>
    <row r="113" spans="8:17">
      <c r="H113"/>
      <c r="Q113"/>
    </row>
    <row r="114" spans="8:17">
      <c r="H114"/>
      <c r="Q114"/>
    </row>
    <row r="115" spans="8:17">
      <c r="H115"/>
      <c r="Q115"/>
    </row>
    <row r="116" spans="8:17">
      <c r="H116"/>
      <c r="Q116"/>
    </row>
    <row r="117" spans="8:17">
      <c r="H117"/>
      <c r="Q117"/>
    </row>
    <row r="118" spans="8:17">
      <c r="H118"/>
      <c r="Q118"/>
    </row>
    <row r="119" spans="8:17">
      <c r="H119"/>
      <c r="Q119"/>
    </row>
    <row r="120" spans="8:17">
      <c r="H120"/>
      <c r="Q120"/>
    </row>
    <row r="121" spans="8:17">
      <c r="H121"/>
      <c r="Q121"/>
    </row>
    <row r="122" spans="8:17">
      <c r="H122"/>
      <c r="Q122"/>
    </row>
    <row r="123" spans="8:17">
      <c r="H123"/>
      <c r="Q123"/>
    </row>
    <row r="124" spans="8:17">
      <c r="H124"/>
      <c r="Q124"/>
    </row>
    <row r="125" spans="8:17">
      <c r="H125"/>
      <c r="Q125"/>
    </row>
    <row r="126" spans="8:17">
      <c r="H126"/>
      <c r="Q126"/>
    </row>
    <row r="127" spans="8:17">
      <c r="H127"/>
      <c r="Q127"/>
    </row>
    <row r="128" spans="8:17">
      <c r="H128"/>
      <c r="Q128"/>
    </row>
    <row r="129" spans="8:17">
      <c r="H129"/>
      <c r="Q129"/>
    </row>
    <row r="130" spans="8:17">
      <c r="H130"/>
      <c r="Q130"/>
    </row>
    <row r="131" spans="8:17">
      <c r="H131"/>
      <c r="Q131"/>
    </row>
    <row r="132" spans="8:17">
      <c r="H132"/>
      <c r="Q132"/>
    </row>
    <row r="133" spans="8:17">
      <c r="H133"/>
      <c r="Q133"/>
    </row>
    <row r="134" spans="8:17">
      <c r="H134"/>
      <c r="Q134"/>
    </row>
    <row r="135" spans="8:17">
      <c r="H135"/>
      <c r="Q135"/>
    </row>
    <row r="136" spans="8:17">
      <c r="H136"/>
      <c r="Q136"/>
    </row>
    <row r="137" spans="8:17">
      <c r="H137"/>
      <c r="Q137"/>
    </row>
    <row r="138" spans="8:17">
      <c r="H138"/>
      <c r="Q138"/>
    </row>
    <row r="139" spans="8:17">
      <c r="H139"/>
      <c r="Q139"/>
    </row>
    <row r="140" spans="8:17">
      <c r="H140"/>
      <c r="Q140"/>
    </row>
    <row r="141" spans="8:17">
      <c r="H141"/>
      <c r="Q141"/>
    </row>
    <row r="142" spans="8:17">
      <c r="H142"/>
      <c r="Q142"/>
    </row>
    <row r="143" spans="8:17">
      <c r="H143"/>
      <c r="Q143"/>
    </row>
    <row r="144" spans="8:17">
      <c r="H144"/>
      <c r="Q144"/>
    </row>
    <row r="145" spans="8:17">
      <c r="H145"/>
      <c r="Q145"/>
    </row>
    <row r="146" spans="8:17">
      <c r="H146"/>
      <c r="Q146"/>
    </row>
    <row r="147" spans="8:17">
      <c r="H147"/>
      <c r="Q147"/>
    </row>
    <row r="148" spans="8:17">
      <c r="H148"/>
      <c r="Q148"/>
    </row>
    <row r="149" spans="8:17">
      <c r="H149"/>
      <c r="Q149"/>
    </row>
    <row r="150" spans="8:17">
      <c r="H150"/>
      <c r="Q150"/>
    </row>
    <row r="151" spans="8:17">
      <c r="H151"/>
      <c r="Q151"/>
    </row>
    <row r="152" spans="8:17">
      <c r="H152"/>
      <c r="Q152"/>
    </row>
    <row r="153" spans="8:17">
      <c r="H153"/>
      <c r="Q153"/>
    </row>
    <row r="154" spans="8:17">
      <c r="H154"/>
      <c r="Q154"/>
    </row>
    <row r="155" spans="8:17">
      <c r="H155"/>
      <c r="Q155"/>
    </row>
    <row r="156" spans="8:17">
      <c r="H156"/>
      <c r="Q156"/>
    </row>
    <row r="157" spans="8:17">
      <c r="H157"/>
      <c r="Q157"/>
    </row>
    <row r="158" spans="8:17">
      <c r="H158"/>
      <c r="Q158"/>
    </row>
    <row r="159" spans="8:17">
      <c r="H159"/>
      <c r="Q159"/>
    </row>
    <row r="160" spans="8:17">
      <c r="H160"/>
      <c r="Q160"/>
    </row>
    <row r="161" spans="8:17">
      <c r="H161"/>
      <c r="Q161"/>
    </row>
    <row r="162" spans="8:17">
      <c r="H162"/>
      <c r="Q162"/>
    </row>
    <row r="163" spans="8:17">
      <c r="H163"/>
      <c r="Q163"/>
    </row>
    <row r="164" spans="8:17">
      <c r="H164"/>
      <c r="Q164"/>
    </row>
    <row r="165" spans="8:17">
      <c r="H165"/>
      <c r="Q165"/>
    </row>
    <row r="166" spans="8:17">
      <c r="H166"/>
      <c r="Q166"/>
    </row>
    <row r="167" spans="8:17">
      <c r="H167"/>
      <c r="Q167"/>
    </row>
    <row r="168" spans="8:17">
      <c r="H168"/>
      <c r="Q168"/>
    </row>
    <row r="169" spans="8:17">
      <c r="H169"/>
      <c r="Q169"/>
    </row>
    <row r="170" spans="8:17">
      <c r="H170"/>
      <c r="Q170"/>
    </row>
    <row r="171" spans="8:17">
      <c r="H171"/>
      <c r="Q171"/>
    </row>
    <row r="172" spans="8:17">
      <c r="H172"/>
      <c r="Q172"/>
    </row>
    <row r="173" spans="8:17">
      <c r="H173"/>
      <c r="Q173"/>
    </row>
    <row r="174" spans="8:17">
      <c r="H174"/>
      <c r="Q174"/>
    </row>
    <row r="175" spans="8:17">
      <c r="H175"/>
      <c r="Q175"/>
    </row>
    <row r="176" spans="8:17">
      <c r="H176"/>
      <c r="Q176"/>
    </row>
    <row r="177" spans="8:17">
      <c r="H177"/>
      <c r="Q177"/>
    </row>
    <row r="178" spans="8:17">
      <c r="H178"/>
      <c r="Q178"/>
    </row>
    <row r="179" spans="8:17">
      <c r="H179"/>
      <c r="Q179"/>
    </row>
    <row r="180" spans="8:17">
      <c r="H180"/>
      <c r="Q180"/>
    </row>
    <row r="181" spans="8:17">
      <c r="H181"/>
      <c r="Q181"/>
    </row>
    <row r="182" spans="8:17">
      <c r="H182"/>
      <c r="Q182"/>
    </row>
    <row r="183" spans="8:17">
      <c r="H183"/>
      <c r="Q183"/>
    </row>
    <row r="184" spans="8:17">
      <c r="H184"/>
      <c r="Q184"/>
    </row>
    <row r="185" spans="8:17">
      <c r="H185"/>
      <c r="Q185"/>
    </row>
    <row r="186" spans="8:17">
      <c r="H186"/>
      <c r="Q186"/>
    </row>
    <row r="187" spans="8:17">
      <c r="H187"/>
      <c r="Q187"/>
    </row>
    <row r="188" spans="8:17">
      <c r="H188"/>
      <c r="Q188"/>
    </row>
    <row r="189" spans="8:17">
      <c r="H189"/>
      <c r="Q189"/>
    </row>
    <row r="190" spans="8:17">
      <c r="H190"/>
      <c r="Q190"/>
    </row>
    <row r="191" spans="8:17">
      <c r="H191"/>
      <c r="Q191"/>
    </row>
    <row r="192" spans="8:17">
      <c r="H192"/>
      <c r="Q192"/>
    </row>
    <row r="193" spans="8:17">
      <c r="H193"/>
      <c r="Q193"/>
    </row>
    <row r="194" spans="8:17">
      <c r="H194"/>
      <c r="Q194"/>
    </row>
    <row r="195" spans="8:17">
      <c r="H195"/>
      <c r="Q195"/>
    </row>
    <row r="196" spans="8:17">
      <c r="H196"/>
      <c r="Q196"/>
    </row>
    <row r="197" spans="8:17">
      <c r="H197"/>
      <c r="Q197"/>
    </row>
    <row r="198" spans="8:17">
      <c r="H198"/>
      <c r="Q198"/>
    </row>
    <row r="199" spans="8:17">
      <c r="H199"/>
      <c r="Q199"/>
    </row>
    <row r="200" spans="8:17">
      <c r="H200"/>
      <c r="Q200"/>
    </row>
    <row r="201" spans="8:17">
      <c r="H201"/>
      <c r="Q201"/>
    </row>
    <row r="202" spans="8:17">
      <c r="H202"/>
      <c r="Q202"/>
    </row>
    <row r="203" spans="8:17">
      <c r="H203"/>
      <c r="Q203"/>
    </row>
    <row r="204" spans="8:17">
      <c r="H204"/>
      <c r="Q204"/>
    </row>
    <row r="205" spans="8:17">
      <c r="H205"/>
      <c r="Q205"/>
    </row>
  </sheetData>
  <mergeCells count="5">
    <mergeCell ref="BI2:BR2"/>
    <mergeCell ref="T2:AB2"/>
    <mergeCell ref="AD2:AM2"/>
    <mergeCell ref="AO2:AW2"/>
    <mergeCell ref="AY2:BH2"/>
  </mergeCells>
  <phoneticPr fontId="6" type="noConversion"/>
  <conditionalFormatting sqref="T4">
    <cfRule type="cellIs" dxfId="1" priority="2" operator="greaterThan">
      <formula>$AD$4</formula>
    </cfRule>
  </conditionalFormatting>
  <conditionalFormatting sqref="AO4">
    <cfRule type="cellIs" dxfId="0" priority="1" operator="greaterThan">
      <formula>$AD$4</formula>
    </cfRule>
  </conditionalFormatting>
  <pageMargins left="0.70866141732283472" right="0.70866141732283472" top="0.74803149606299213" bottom="0.74803149606299213" header="0.31496062992125984" footer="0.31496062992125984"/>
  <pageSetup paperSize="8" scale="95" fitToWidth="0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F4D59-98C3-44D4-B563-0872D55EF29B}">
  <dimension ref="B2:P13"/>
  <sheetViews>
    <sheetView workbookViewId="0">
      <selection activeCell="G24" sqref="G24"/>
    </sheetView>
  </sheetViews>
  <sheetFormatPr defaultRowHeight="15"/>
  <cols>
    <col min="3" max="3" width="16.7109375" customWidth="1"/>
    <col min="4" max="11" width="8.85546875" customWidth="1"/>
    <col min="13" max="15" width="8.7109375" customWidth="1"/>
    <col min="16" max="16" width="19" customWidth="1"/>
  </cols>
  <sheetData>
    <row r="2" spans="2:16" ht="15.75" thickBot="1"/>
    <row r="3" spans="2:16" ht="15.75" thickBot="1">
      <c r="B3" s="243"/>
      <c r="C3" s="315"/>
      <c r="D3" s="243" t="s">
        <v>131</v>
      </c>
      <c r="E3" s="316"/>
      <c r="F3" s="311"/>
      <c r="G3" s="151"/>
      <c r="H3" s="243" t="s">
        <v>132</v>
      </c>
      <c r="I3" s="316"/>
      <c r="J3" s="311"/>
      <c r="K3" s="151"/>
      <c r="L3" s="243" t="s">
        <v>133</v>
      </c>
      <c r="M3" s="316"/>
      <c r="N3" s="311"/>
      <c r="O3" s="151"/>
      <c r="P3" s="314" t="s">
        <v>134</v>
      </c>
    </row>
    <row r="4" spans="2:16">
      <c r="B4" s="312" t="s">
        <v>135</v>
      </c>
      <c r="C4" s="317" t="s">
        <v>136</v>
      </c>
      <c r="D4" s="312" t="s">
        <v>137</v>
      </c>
      <c r="E4" s="20" t="s">
        <v>138</v>
      </c>
      <c r="F4" s="20" t="s">
        <v>139</v>
      </c>
      <c r="G4" s="313" t="s">
        <v>140</v>
      </c>
      <c r="H4" s="312" t="s">
        <v>137</v>
      </c>
      <c r="I4" s="20" t="s">
        <v>138</v>
      </c>
      <c r="J4" s="20" t="s">
        <v>139</v>
      </c>
      <c r="K4" s="313" t="s">
        <v>140</v>
      </c>
      <c r="L4" s="312" t="s">
        <v>137</v>
      </c>
      <c r="M4" s="20" t="s">
        <v>138</v>
      </c>
      <c r="N4" s="20" t="s">
        <v>139</v>
      </c>
      <c r="O4" s="313" t="s">
        <v>140</v>
      </c>
      <c r="P4" s="91"/>
    </row>
    <row r="5" spans="2:16">
      <c r="B5" s="31" t="s">
        <v>108</v>
      </c>
      <c r="C5" s="215" t="s">
        <v>141</v>
      </c>
      <c r="D5" s="31"/>
      <c r="E5">
        <v>0.54</v>
      </c>
      <c r="G5" s="32">
        <v>0.43</v>
      </c>
      <c r="H5" s="31"/>
      <c r="K5" s="32">
        <v>0.7</v>
      </c>
      <c r="L5" s="31">
        <v>0.59</v>
      </c>
      <c r="O5" s="32">
        <v>1</v>
      </c>
      <c r="P5" s="92">
        <f>AVERAGE(D5:O5)</f>
        <v>0.65199999999999991</v>
      </c>
    </row>
    <row r="6" spans="2:16">
      <c r="B6" s="31" t="s">
        <v>103</v>
      </c>
      <c r="C6" s="215" t="s">
        <v>34</v>
      </c>
      <c r="D6" s="31"/>
      <c r="F6">
        <v>47.9</v>
      </c>
      <c r="G6" s="32"/>
      <c r="H6" s="31"/>
      <c r="J6">
        <v>75.400000000000006</v>
      </c>
      <c r="K6" s="32"/>
      <c r="L6" s="31"/>
      <c r="N6">
        <v>67.099999999999994</v>
      </c>
      <c r="O6" s="32"/>
      <c r="P6" s="92">
        <f t="shared" ref="P6:P13" si="0">AVERAGE(D6:O6)</f>
        <v>63.466666666666669</v>
      </c>
    </row>
    <row r="7" spans="2:16">
      <c r="B7" s="31"/>
      <c r="C7" s="215" t="s">
        <v>35</v>
      </c>
      <c r="D7" s="31"/>
      <c r="F7">
        <v>217</v>
      </c>
      <c r="G7" s="32"/>
      <c r="H7" s="31"/>
      <c r="J7">
        <v>136</v>
      </c>
      <c r="K7" s="32"/>
      <c r="L7" s="31"/>
      <c r="N7">
        <v>230</v>
      </c>
      <c r="O7" s="32"/>
      <c r="P7" s="92">
        <f t="shared" si="0"/>
        <v>194.33333333333334</v>
      </c>
    </row>
    <row r="8" spans="2:16">
      <c r="B8" s="31" t="s">
        <v>104</v>
      </c>
      <c r="C8" s="215" t="s">
        <v>34</v>
      </c>
      <c r="D8" s="31"/>
      <c r="F8">
        <v>59.2</v>
      </c>
      <c r="G8" s="32"/>
      <c r="H8" s="31"/>
      <c r="J8">
        <v>93.7</v>
      </c>
      <c r="K8" s="32"/>
      <c r="L8" s="31"/>
      <c r="N8">
        <v>31.2</v>
      </c>
      <c r="O8" s="32"/>
      <c r="P8" s="92">
        <f t="shared" si="0"/>
        <v>61.366666666666667</v>
      </c>
    </row>
    <row r="9" spans="2:16">
      <c r="B9" s="31"/>
      <c r="C9" s="215" t="s">
        <v>35</v>
      </c>
      <c r="D9" s="31"/>
      <c r="F9">
        <v>137</v>
      </c>
      <c r="G9" s="32"/>
      <c r="H9" s="31"/>
      <c r="J9">
        <v>179</v>
      </c>
      <c r="K9" s="32"/>
      <c r="L9" s="31"/>
      <c r="N9">
        <v>263</v>
      </c>
      <c r="O9" s="32"/>
      <c r="P9" s="92">
        <f t="shared" si="0"/>
        <v>193</v>
      </c>
    </row>
    <row r="10" spans="2:16">
      <c r="B10" s="31" t="s">
        <v>83</v>
      </c>
      <c r="C10" s="215" t="s">
        <v>39</v>
      </c>
      <c r="D10" s="31"/>
      <c r="G10" s="32">
        <v>65.599999999999994</v>
      </c>
      <c r="H10" s="31"/>
      <c r="K10" s="32">
        <v>52.9</v>
      </c>
      <c r="L10" s="31"/>
      <c r="O10" s="32">
        <v>87.3</v>
      </c>
      <c r="P10" s="92">
        <f t="shared" si="0"/>
        <v>68.600000000000009</v>
      </c>
    </row>
    <row r="11" spans="2:16">
      <c r="B11" s="31" t="s">
        <v>86</v>
      </c>
      <c r="C11" s="215" t="s">
        <v>39</v>
      </c>
      <c r="D11" s="31"/>
      <c r="E11">
        <v>50.8</v>
      </c>
      <c r="G11" s="32">
        <v>4.7</v>
      </c>
      <c r="H11" s="31"/>
      <c r="I11">
        <v>20.2</v>
      </c>
      <c r="K11" s="32">
        <v>1.7</v>
      </c>
      <c r="L11" s="31"/>
      <c r="M11">
        <v>6.2</v>
      </c>
      <c r="O11" s="32">
        <v>3.8</v>
      </c>
      <c r="P11" s="92">
        <f>AVERAGE(D11:O11)</f>
        <v>14.566666666666668</v>
      </c>
    </row>
    <row r="12" spans="2:16">
      <c r="B12" s="31" t="s">
        <v>142</v>
      </c>
      <c r="C12" s="215"/>
      <c r="D12" s="31"/>
      <c r="G12" s="32"/>
      <c r="H12" s="31"/>
      <c r="K12" s="32"/>
      <c r="L12" s="31"/>
      <c r="O12" s="32"/>
      <c r="P12" s="92" t="e">
        <f t="shared" si="0"/>
        <v>#DIV/0!</v>
      </c>
    </row>
    <row r="13" spans="2:16" ht="15.75" thickBot="1">
      <c r="B13" s="33" t="s">
        <v>91</v>
      </c>
      <c r="C13" s="216"/>
      <c r="D13" s="33"/>
      <c r="E13" s="34"/>
      <c r="F13" s="34"/>
      <c r="G13" s="35"/>
      <c r="H13" s="33"/>
      <c r="I13" s="34"/>
      <c r="J13" s="34"/>
      <c r="K13" s="35"/>
      <c r="L13" s="33"/>
      <c r="M13" s="34"/>
      <c r="N13" s="34"/>
      <c r="O13" s="35"/>
      <c r="P13" s="93" t="e">
        <f t="shared" si="0"/>
        <v>#DIV/0!</v>
      </c>
    </row>
  </sheetData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6B83-1021-4D94-B3E0-1C3C96A2F90C}">
  <dimension ref="A2:CT73"/>
  <sheetViews>
    <sheetView tabSelected="1" zoomScale="70" zoomScaleNormal="70" workbookViewId="0">
      <pane xSplit="3" ySplit="5" topLeftCell="D61" activePane="bottomRight" state="frozen"/>
      <selection pane="bottomRight" activeCell="AG37" sqref="AG37"/>
      <selection pane="bottomLeft" activeCell="A6" sqref="A6"/>
      <selection pane="topRight" activeCell="D1" sqref="D1"/>
    </sheetView>
  </sheetViews>
  <sheetFormatPr defaultRowHeight="15"/>
  <cols>
    <col min="1" max="1" width="9.42578125" customWidth="1"/>
    <col min="2" max="2" width="16.140625" customWidth="1"/>
    <col min="3" max="3" width="6.28515625" customWidth="1"/>
    <col min="4" max="4" width="10.7109375" customWidth="1"/>
    <col min="5" max="5" width="5.140625" customWidth="1"/>
    <col min="6" max="6" width="7.42578125" bestFit="1" customWidth="1"/>
    <col min="7" max="8" width="5.5703125" customWidth="1"/>
    <col min="9" max="9" width="5.140625" customWidth="1"/>
    <col min="10" max="10" width="7.42578125" bestFit="1" customWidth="1"/>
    <col min="11" max="12" width="5.5703125" customWidth="1"/>
    <col min="13" max="13" width="5.140625" customWidth="1"/>
    <col min="14" max="14" width="6.28515625" bestFit="1" customWidth="1"/>
    <col min="15" max="16" width="5.5703125" customWidth="1"/>
    <col min="17" max="17" width="5.42578125" customWidth="1"/>
    <col min="18" max="18" width="4.85546875" customWidth="1"/>
    <col min="19" max="19" width="6.140625" customWidth="1"/>
    <col min="20" max="20" width="4.85546875" customWidth="1"/>
    <col min="21" max="21" width="5.140625" style="74" hidden="1" customWidth="1"/>
    <col min="22" max="22" width="5.28515625" style="74" hidden="1" customWidth="1"/>
    <col min="23" max="23" width="6.140625" style="74" hidden="1" customWidth="1"/>
    <col min="24" max="24" width="4.7109375" style="74" hidden="1" customWidth="1"/>
    <col min="25" max="25" width="8.140625" style="74" hidden="1" customWidth="1"/>
    <col min="26" max="26" width="7.7109375" style="74" hidden="1" customWidth="1"/>
    <col min="27" max="27" width="4.85546875" style="74" hidden="1" customWidth="1"/>
    <col min="28" max="28" width="5" style="74" hidden="1" customWidth="1"/>
    <col min="29" max="29" width="5" customWidth="1"/>
    <col min="30" max="30" width="12.42578125" customWidth="1"/>
    <col min="31" max="31" width="7.5703125" customWidth="1"/>
    <col min="58" max="58" width="8.7109375" customWidth="1"/>
    <col min="80" max="91" width="9.140625" style="74" hidden="1" customWidth="1"/>
    <col min="93" max="93" width="12.85546875" customWidth="1"/>
    <col min="94" max="94" width="10.5703125" bestFit="1" customWidth="1"/>
  </cols>
  <sheetData>
    <row r="2" spans="1:98" ht="15.75" thickBot="1">
      <c r="BP2" t="s">
        <v>143</v>
      </c>
    </row>
    <row r="3" spans="1:98" ht="15.75" thickBot="1">
      <c r="Q3" t="s">
        <v>144</v>
      </c>
      <c r="AF3" s="67">
        <v>2024</v>
      </c>
      <c r="AG3" s="68"/>
      <c r="AH3" s="68"/>
      <c r="AI3" s="68">
        <v>2024</v>
      </c>
      <c r="AJ3" s="68"/>
      <c r="AK3" s="68"/>
      <c r="AL3" s="68">
        <v>2024</v>
      </c>
      <c r="AM3" s="68"/>
      <c r="AN3" s="68"/>
      <c r="AO3" s="68">
        <v>2024</v>
      </c>
      <c r="AP3" s="68"/>
      <c r="AQ3" s="69"/>
      <c r="AR3" s="67">
        <v>2023</v>
      </c>
      <c r="AS3" s="68"/>
      <c r="AT3" s="68"/>
      <c r="AU3" s="68">
        <v>2023</v>
      </c>
      <c r="AV3" s="68"/>
      <c r="AW3" s="68"/>
      <c r="AX3" s="68">
        <v>2023</v>
      </c>
      <c r="AY3" s="68"/>
      <c r="AZ3" s="68"/>
      <c r="BA3" s="68">
        <v>2023</v>
      </c>
      <c r="BB3" s="68"/>
      <c r="BC3" s="69"/>
      <c r="BD3" s="324">
        <v>2022</v>
      </c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6"/>
      <c r="BP3" s="67"/>
      <c r="BQ3" s="68"/>
      <c r="BR3" s="68"/>
      <c r="BS3" s="68"/>
      <c r="BT3" s="68"/>
      <c r="BU3" s="68">
        <v>2021</v>
      </c>
      <c r="BV3" s="68"/>
      <c r="BW3" s="68"/>
      <c r="BX3" s="68"/>
      <c r="BY3" s="68"/>
      <c r="BZ3" s="68"/>
      <c r="CA3" s="69"/>
      <c r="CB3" s="83"/>
      <c r="CC3" s="84"/>
      <c r="CD3" s="84"/>
      <c r="CE3" s="84"/>
      <c r="CF3" s="84"/>
      <c r="CG3" s="84">
        <v>2019</v>
      </c>
      <c r="CH3" s="84"/>
      <c r="CI3" s="84"/>
      <c r="CJ3" s="84"/>
      <c r="CK3" s="84"/>
      <c r="CL3" s="84"/>
      <c r="CM3" s="85"/>
      <c r="CN3" s="9"/>
      <c r="CO3" s="91"/>
      <c r="CP3" s="7"/>
      <c r="CQ3" s="7"/>
      <c r="CR3" s="7"/>
      <c r="CS3" s="7"/>
      <c r="CT3" s="8"/>
    </row>
    <row r="4" spans="1:98" ht="15.75" thickBot="1">
      <c r="A4" t="s">
        <v>5</v>
      </c>
      <c r="F4">
        <v>2024</v>
      </c>
      <c r="J4">
        <v>2023</v>
      </c>
      <c r="N4">
        <v>2022</v>
      </c>
      <c r="S4">
        <v>2021</v>
      </c>
      <c r="V4" s="74">
        <v>2020</v>
      </c>
      <c r="Z4" s="74">
        <v>2019</v>
      </c>
      <c r="AF4" s="9" t="s">
        <v>137</v>
      </c>
      <c r="AG4" s="7"/>
      <c r="AH4" s="8"/>
      <c r="AI4" s="9" t="s">
        <v>138</v>
      </c>
      <c r="AJ4" s="7"/>
      <c r="AK4" s="8"/>
      <c r="AL4" s="9" t="s">
        <v>139</v>
      </c>
      <c r="AM4" s="7"/>
      <c r="AN4" s="8"/>
      <c r="AO4" s="9" t="s">
        <v>140</v>
      </c>
      <c r="AP4" s="7"/>
      <c r="AQ4" s="8"/>
      <c r="AR4" s="9" t="s">
        <v>137</v>
      </c>
      <c r="AS4" s="7"/>
      <c r="AT4" s="8"/>
      <c r="AU4" s="9" t="s">
        <v>138</v>
      </c>
      <c r="AV4" s="7"/>
      <c r="AW4" s="8"/>
      <c r="AX4" s="9" t="s">
        <v>139</v>
      </c>
      <c r="AY4" s="7"/>
      <c r="AZ4" s="8"/>
      <c r="BA4" s="9" t="s">
        <v>140</v>
      </c>
      <c r="BB4" s="7"/>
      <c r="BC4" s="8"/>
      <c r="BD4" s="9" t="s">
        <v>137</v>
      </c>
      <c r="BE4" s="7"/>
      <c r="BF4" s="8"/>
      <c r="BG4" s="9" t="s">
        <v>138</v>
      </c>
      <c r="BH4" s="7"/>
      <c r="BI4" s="8"/>
      <c r="BJ4" s="9" t="s">
        <v>139</v>
      </c>
      <c r="BK4" s="7"/>
      <c r="BL4" s="8"/>
      <c r="BM4" s="9" t="s">
        <v>140</v>
      </c>
      <c r="BN4" s="7"/>
      <c r="BO4" s="8"/>
      <c r="BP4" s="9" t="s">
        <v>137</v>
      </c>
      <c r="BQ4" s="7"/>
      <c r="BR4" s="8"/>
      <c r="BS4" s="9" t="s">
        <v>138</v>
      </c>
      <c r="BT4" s="7"/>
      <c r="BU4" s="8"/>
      <c r="BV4" s="9" t="s">
        <v>139</v>
      </c>
      <c r="BW4" s="7"/>
      <c r="BX4" s="8"/>
      <c r="BY4" s="9" t="s">
        <v>140</v>
      </c>
      <c r="BZ4" s="7"/>
      <c r="CA4" s="8"/>
      <c r="CB4" s="75" t="s">
        <v>137</v>
      </c>
      <c r="CC4" s="76"/>
      <c r="CD4" s="77"/>
      <c r="CE4" s="75" t="s">
        <v>138</v>
      </c>
      <c r="CF4" s="76"/>
      <c r="CG4" s="77"/>
      <c r="CH4" s="75"/>
      <c r="CI4" s="76"/>
      <c r="CJ4" s="77"/>
      <c r="CK4" s="75" t="s">
        <v>140</v>
      </c>
      <c r="CL4" s="76"/>
      <c r="CM4" s="77"/>
      <c r="CN4" s="9"/>
      <c r="CO4" s="91"/>
      <c r="CP4" s="7"/>
      <c r="CQ4" s="7"/>
      <c r="CR4" s="7"/>
      <c r="CS4" s="7"/>
      <c r="CT4" s="8"/>
    </row>
    <row r="5" spans="1:98" ht="60.75" thickBot="1">
      <c r="A5" t="s">
        <v>14</v>
      </c>
      <c r="B5" t="s">
        <v>15</v>
      </c>
      <c r="C5" t="s">
        <v>17</v>
      </c>
      <c r="E5" s="9" t="s">
        <v>137</v>
      </c>
      <c r="F5" s="7" t="s">
        <v>138</v>
      </c>
      <c r="G5" s="7" t="s">
        <v>139</v>
      </c>
      <c r="H5" s="7" t="s">
        <v>140</v>
      </c>
      <c r="I5" s="9" t="s">
        <v>137</v>
      </c>
      <c r="J5" s="7" t="s">
        <v>138</v>
      </c>
      <c r="K5" s="7" t="s">
        <v>139</v>
      </c>
      <c r="L5" s="7" t="s">
        <v>140</v>
      </c>
      <c r="M5" s="9" t="s">
        <v>137</v>
      </c>
      <c r="N5" s="68" t="s">
        <v>138</v>
      </c>
      <c r="O5" s="68" t="s">
        <v>139</v>
      </c>
      <c r="P5" s="7" t="s">
        <v>140</v>
      </c>
      <c r="Q5" s="9" t="s">
        <v>137</v>
      </c>
      <c r="R5" s="7" t="s">
        <v>138</v>
      </c>
      <c r="S5" s="7" t="s">
        <v>139</v>
      </c>
      <c r="T5" s="8" t="s">
        <v>140</v>
      </c>
      <c r="U5" s="75" t="s">
        <v>137</v>
      </c>
      <c r="V5" s="76" t="s">
        <v>138</v>
      </c>
      <c r="W5" s="76" t="s">
        <v>139</v>
      </c>
      <c r="X5" s="77" t="s">
        <v>140</v>
      </c>
      <c r="Y5" s="75" t="s">
        <v>137</v>
      </c>
      <c r="Z5" s="76" t="s">
        <v>138</v>
      </c>
      <c r="AA5" s="76" t="s">
        <v>139</v>
      </c>
      <c r="AB5" s="77" t="s">
        <v>140</v>
      </c>
      <c r="AD5" s="4" t="s">
        <v>145</v>
      </c>
      <c r="AE5" s="4"/>
      <c r="AF5" s="33" t="s">
        <v>146</v>
      </c>
      <c r="AG5" s="34" t="s">
        <v>147</v>
      </c>
      <c r="AH5" s="35" t="s">
        <v>148</v>
      </c>
      <c r="AI5" s="33" t="s">
        <v>146</v>
      </c>
      <c r="AJ5" s="34" t="s">
        <v>147</v>
      </c>
      <c r="AK5" s="35" t="s">
        <v>148</v>
      </c>
      <c r="AL5" s="33" t="s">
        <v>146</v>
      </c>
      <c r="AM5" s="34" t="s">
        <v>147</v>
      </c>
      <c r="AN5" s="35" t="s">
        <v>148</v>
      </c>
      <c r="AO5" s="33" t="s">
        <v>146</v>
      </c>
      <c r="AP5" s="34" t="s">
        <v>147</v>
      </c>
      <c r="AQ5" s="35" t="s">
        <v>148</v>
      </c>
      <c r="AR5" s="33" t="s">
        <v>146</v>
      </c>
      <c r="AS5" s="34" t="s">
        <v>147</v>
      </c>
      <c r="AT5" s="35" t="s">
        <v>148</v>
      </c>
      <c r="AU5" s="33" t="s">
        <v>146</v>
      </c>
      <c r="AV5" s="34" t="s">
        <v>147</v>
      </c>
      <c r="AW5" s="35" t="s">
        <v>148</v>
      </c>
      <c r="AX5" s="33" t="s">
        <v>146</v>
      </c>
      <c r="AY5" s="34" t="s">
        <v>147</v>
      </c>
      <c r="AZ5" s="35" t="s">
        <v>148</v>
      </c>
      <c r="BA5" s="33" t="s">
        <v>146</v>
      </c>
      <c r="BB5" s="34" t="s">
        <v>147</v>
      </c>
      <c r="BC5" s="35" t="s">
        <v>148</v>
      </c>
      <c r="BD5" s="33" t="s">
        <v>146</v>
      </c>
      <c r="BE5" s="34" t="s">
        <v>147</v>
      </c>
      <c r="BF5" s="35" t="s">
        <v>148</v>
      </c>
      <c r="BG5" s="33" t="s">
        <v>149</v>
      </c>
      <c r="BH5" s="34" t="s">
        <v>150</v>
      </c>
      <c r="BI5" s="35" t="s">
        <v>148</v>
      </c>
      <c r="BJ5" s="33" t="s">
        <v>149</v>
      </c>
      <c r="BK5" s="34" t="s">
        <v>150</v>
      </c>
      <c r="BL5" s="35" t="s">
        <v>148</v>
      </c>
      <c r="BM5" s="33" t="s">
        <v>149</v>
      </c>
      <c r="BN5" s="34" t="s">
        <v>150</v>
      </c>
      <c r="BO5" s="35" t="s">
        <v>148</v>
      </c>
      <c r="BP5" s="33" t="s">
        <v>149</v>
      </c>
      <c r="BQ5" s="34" t="s">
        <v>150</v>
      </c>
      <c r="BR5" s="32" t="s">
        <v>148</v>
      </c>
      <c r="BS5" s="33" t="s">
        <v>149</v>
      </c>
      <c r="BT5" s="34" t="s">
        <v>150</v>
      </c>
      <c r="BU5" s="32" t="s">
        <v>151</v>
      </c>
      <c r="BV5" s="33" t="s">
        <v>149</v>
      </c>
      <c r="BW5" s="34" t="s">
        <v>150</v>
      </c>
      <c r="BX5" s="35" t="s">
        <v>152</v>
      </c>
      <c r="BY5" s="33" t="s">
        <v>149</v>
      </c>
      <c r="BZ5" s="34" t="s">
        <v>150</v>
      </c>
      <c r="CA5" s="35" t="s">
        <v>148</v>
      </c>
      <c r="CB5" s="80" t="s">
        <v>149</v>
      </c>
      <c r="CC5" s="81" t="s">
        <v>150</v>
      </c>
      <c r="CD5" s="79" t="s">
        <v>148</v>
      </c>
      <c r="CE5" s="80" t="s">
        <v>149</v>
      </c>
      <c r="CF5" s="81" t="s">
        <v>150</v>
      </c>
      <c r="CG5" s="79" t="s">
        <v>151</v>
      </c>
      <c r="CH5" s="80" t="s">
        <v>149</v>
      </c>
      <c r="CI5" s="81" t="s">
        <v>150</v>
      </c>
      <c r="CJ5" s="82" t="s">
        <v>152</v>
      </c>
      <c r="CK5" s="80" t="s">
        <v>149</v>
      </c>
      <c r="CL5" s="81" t="s">
        <v>150</v>
      </c>
      <c r="CM5" s="82" t="s">
        <v>148</v>
      </c>
      <c r="CN5" s="33"/>
      <c r="CO5" s="94" t="s">
        <v>153</v>
      </c>
      <c r="CP5" s="95" t="s">
        <v>154</v>
      </c>
      <c r="CQ5" s="95" t="s">
        <v>155</v>
      </c>
      <c r="CR5" s="95" t="s">
        <v>156</v>
      </c>
      <c r="CS5" s="95" t="s">
        <v>157</v>
      </c>
      <c r="CT5" s="96" t="s">
        <v>158</v>
      </c>
    </row>
    <row r="6" spans="1:98" ht="15.75" thickBot="1">
      <c r="A6" s="9" t="s">
        <v>72</v>
      </c>
      <c r="B6" s="7" t="s">
        <v>159</v>
      </c>
      <c r="C6" s="7" t="s">
        <v>75</v>
      </c>
      <c r="D6" s="7" t="s">
        <v>37</v>
      </c>
      <c r="E6" s="9"/>
      <c r="F6" s="7"/>
      <c r="G6" s="7"/>
      <c r="H6" s="7"/>
      <c r="I6" s="9"/>
      <c r="J6" s="7"/>
      <c r="K6" s="7"/>
      <c r="L6" s="7">
        <v>10.6</v>
      </c>
      <c r="M6" s="9"/>
      <c r="N6" s="7"/>
      <c r="O6" s="7"/>
      <c r="P6" s="7">
        <v>5.9</v>
      </c>
      <c r="Q6" s="9"/>
      <c r="R6" s="7"/>
      <c r="S6" s="7"/>
      <c r="T6" s="8">
        <v>13</v>
      </c>
      <c r="U6" s="75"/>
      <c r="V6" s="76"/>
      <c r="W6" s="76"/>
      <c r="X6" s="77">
        <v>205.8</v>
      </c>
      <c r="Y6" s="75"/>
      <c r="Z6" s="76"/>
      <c r="AA6" s="76"/>
      <c r="AB6" s="77">
        <v>12.5</v>
      </c>
      <c r="AC6" s="8"/>
      <c r="AD6" s="73">
        <f>AVERAGE(I6:T6)</f>
        <v>9.8333333333333339</v>
      </c>
      <c r="AF6" s="31"/>
      <c r="AH6" s="32"/>
      <c r="AI6" s="31"/>
      <c r="AK6" s="32"/>
      <c r="AL6" s="31"/>
      <c r="AN6" s="32"/>
      <c r="AO6" s="31"/>
      <c r="AQ6" s="32"/>
      <c r="AR6" s="31"/>
      <c r="AT6" s="32"/>
      <c r="AU6" s="31"/>
      <c r="AW6" s="32"/>
      <c r="AX6" s="31"/>
      <c r="AZ6" s="32"/>
      <c r="BA6" s="31">
        <v>51293</v>
      </c>
      <c r="BB6">
        <v>47634</v>
      </c>
      <c r="BC6" s="32">
        <v>19</v>
      </c>
      <c r="BD6" s="31"/>
      <c r="BF6" s="32"/>
      <c r="BG6" s="31"/>
      <c r="BI6" s="32"/>
      <c r="BJ6" s="31"/>
      <c r="BL6" s="32"/>
      <c r="BM6" s="31">
        <v>45970</v>
      </c>
      <c r="BN6">
        <v>41379</v>
      </c>
      <c r="BO6" s="32">
        <v>24.8</v>
      </c>
      <c r="BP6" s="31"/>
      <c r="BR6" s="32"/>
      <c r="BS6" s="31"/>
      <c r="BU6" s="32"/>
      <c r="BV6" s="31"/>
      <c r="BX6" s="32"/>
      <c r="BY6" s="31">
        <v>47852</v>
      </c>
      <c r="BZ6">
        <v>42930</v>
      </c>
      <c r="CA6" s="32">
        <v>27.5</v>
      </c>
      <c r="CB6" s="78"/>
      <c r="CD6" s="79"/>
      <c r="CE6" s="78"/>
      <c r="CG6" s="79"/>
      <c r="CH6" s="78"/>
      <c r="CJ6" s="79"/>
      <c r="CK6" s="78">
        <v>45964</v>
      </c>
      <c r="CL6" s="74">
        <v>41179</v>
      </c>
      <c r="CM6" s="79">
        <v>34.299999999999997</v>
      </c>
      <c r="CN6" s="31"/>
      <c r="CO6" s="92">
        <f>AVERAGE(BD6,BG6,BJ6,BP6,BS6,BV6,BY6,AR6,AU6,AX6,BA6,BM6)</f>
        <v>48371.666666666664</v>
      </c>
      <c r="CP6" s="39">
        <f>AVERAGE(BE6,BH6,BK6,BQ6,BT6,BW6,BZ6,AS6,AV6,AY6,BB6,BN6)</f>
        <v>43981</v>
      </c>
      <c r="CQ6" s="9"/>
      <c r="CR6" s="8"/>
      <c r="CS6" s="97">
        <f>AVERAGE(BF6,BI6,BR6,BU6,BX6,CA6,AT6,AW6,AZ6,BL6,BC6,BO6)</f>
        <v>23.766666666666666</v>
      </c>
      <c r="CT6" s="32"/>
    </row>
    <row r="7" spans="1:98" ht="15.75" thickBot="1">
      <c r="A7" s="31"/>
      <c r="B7" t="s">
        <v>159</v>
      </c>
      <c r="D7" t="s">
        <v>160</v>
      </c>
      <c r="E7" s="31"/>
      <c r="I7" s="31"/>
      <c r="L7">
        <v>56.4</v>
      </c>
      <c r="M7" s="31"/>
      <c r="P7">
        <v>37.1</v>
      </c>
      <c r="Q7" s="31"/>
      <c r="T7" s="32">
        <v>63.8</v>
      </c>
      <c r="U7" s="78"/>
      <c r="X7" s="79">
        <v>55.3</v>
      </c>
      <c r="Y7" s="78"/>
      <c r="AB7" s="79">
        <v>61.4</v>
      </c>
      <c r="AC7" s="32"/>
      <c r="AD7" s="73">
        <f t="shared" ref="AD7:AD69" si="0">AVERAGE(I7:T7)</f>
        <v>52.433333333333337</v>
      </c>
      <c r="AE7" s="39"/>
      <c r="AF7" s="31"/>
      <c r="AH7" s="32"/>
      <c r="AI7" s="31"/>
      <c r="AK7" s="32"/>
      <c r="AL7" s="31"/>
      <c r="AN7" s="32"/>
      <c r="AO7" s="31"/>
      <c r="AQ7" s="32"/>
      <c r="AR7" s="31"/>
      <c r="AT7" s="32"/>
      <c r="AU7" s="31"/>
      <c r="AW7" s="32"/>
      <c r="AX7" s="31"/>
      <c r="AZ7" s="32"/>
      <c r="BA7" s="31"/>
      <c r="BC7" s="32"/>
      <c r="BD7" s="31"/>
      <c r="BF7" s="32"/>
      <c r="BG7" s="31"/>
      <c r="BI7" s="32"/>
      <c r="BJ7" s="31"/>
      <c r="BL7" s="32"/>
      <c r="BM7" s="31"/>
      <c r="BO7" s="32"/>
      <c r="BP7" s="31"/>
      <c r="BR7" s="32"/>
      <c r="BS7" s="31"/>
      <c r="BU7" s="32"/>
      <c r="BV7" s="31"/>
      <c r="BX7" s="32"/>
      <c r="BY7" s="31"/>
      <c r="CA7" s="32"/>
      <c r="CB7" s="78"/>
      <c r="CD7" s="79"/>
      <c r="CE7" s="78"/>
      <c r="CG7" s="79"/>
      <c r="CH7" s="78"/>
      <c r="CJ7" s="79"/>
      <c r="CK7" s="78"/>
      <c r="CM7" s="79"/>
      <c r="CN7" s="31"/>
      <c r="CO7" s="92"/>
      <c r="CP7" s="39"/>
      <c r="CQ7" s="31"/>
      <c r="CR7" s="32"/>
      <c r="CS7" s="92"/>
      <c r="CT7" s="32"/>
    </row>
    <row r="8" spans="1:98" ht="15.75" thickBot="1">
      <c r="A8" s="31"/>
      <c r="B8" t="s">
        <v>159</v>
      </c>
      <c r="D8" t="s">
        <v>34</v>
      </c>
      <c r="E8" s="31"/>
      <c r="I8" s="31"/>
      <c r="L8">
        <v>18.5</v>
      </c>
      <c r="M8" s="31"/>
      <c r="P8">
        <v>22.5</v>
      </c>
      <c r="Q8" s="31"/>
      <c r="T8" s="32">
        <v>17.5</v>
      </c>
      <c r="U8" s="78"/>
      <c r="X8" s="79">
        <v>300</v>
      </c>
      <c r="Y8" s="78"/>
      <c r="AB8" s="79">
        <v>453</v>
      </c>
      <c r="AC8" s="32"/>
      <c r="AD8" s="73">
        <f t="shared" si="0"/>
        <v>19.5</v>
      </c>
      <c r="AE8" s="39"/>
      <c r="AF8" s="31"/>
      <c r="AH8" s="32"/>
      <c r="AI8" s="31"/>
      <c r="AK8" s="32"/>
      <c r="AL8" s="31"/>
      <c r="AN8" s="32"/>
      <c r="AO8" s="31"/>
      <c r="AQ8" s="32"/>
      <c r="AR8" s="31"/>
      <c r="AT8" s="32"/>
      <c r="AU8" s="31"/>
      <c r="AW8" s="32"/>
      <c r="AX8" s="31"/>
      <c r="AZ8" s="32"/>
      <c r="BA8" s="31"/>
      <c r="BC8" s="32"/>
      <c r="BD8" s="31"/>
      <c r="BF8" s="32"/>
      <c r="BG8" s="31"/>
      <c r="BI8" s="32"/>
      <c r="BJ8" s="31"/>
      <c r="BL8" s="32"/>
      <c r="BM8" s="31"/>
      <c r="BO8" s="32"/>
      <c r="BP8" s="31"/>
      <c r="BR8" s="32"/>
      <c r="BS8" s="31"/>
      <c r="BU8" s="32"/>
      <c r="BV8" s="31"/>
      <c r="BX8" s="32"/>
      <c r="BY8" s="31"/>
      <c r="CA8" s="32"/>
      <c r="CB8" s="78"/>
      <c r="CD8" s="79"/>
      <c r="CE8" s="78"/>
      <c r="CG8" s="79"/>
      <c r="CH8" s="78"/>
      <c r="CJ8" s="79"/>
      <c r="CK8" s="78"/>
      <c r="CM8" s="79"/>
      <c r="CN8" s="31"/>
      <c r="CO8" s="92"/>
      <c r="CP8" s="39"/>
      <c r="CQ8" s="31"/>
      <c r="CR8" s="32"/>
      <c r="CS8" s="92"/>
      <c r="CT8" s="32"/>
    </row>
    <row r="9" spans="1:98" ht="15.75" thickBot="1">
      <c r="A9" s="31"/>
      <c r="B9" s="34" t="s">
        <v>159</v>
      </c>
      <c r="D9" t="s">
        <v>35</v>
      </c>
      <c r="E9" s="31"/>
      <c r="I9" s="31"/>
      <c r="L9">
        <v>11.4</v>
      </c>
      <c r="M9" s="31"/>
      <c r="P9">
        <v>10</v>
      </c>
      <c r="Q9" s="31"/>
      <c r="T9" s="32">
        <v>10.3</v>
      </c>
      <c r="U9" s="78"/>
      <c r="X9" s="79">
        <v>26.9</v>
      </c>
      <c r="Y9" s="78"/>
      <c r="AB9" s="79">
        <v>14.6</v>
      </c>
      <c r="AC9" s="32"/>
      <c r="AD9" s="73">
        <f t="shared" si="0"/>
        <v>10.566666666666666</v>
      </c>
      <c r="AE9" s="39"/>
      <c r="AF9" s="31"/>
      <c r="AH9" s="32"/>
      <c r="AI9" s="31"/>
      <c r="AK9" s="32"/>
      <c r="AL9" s="31"/>
      <c r="AN9" s="32"/>
      <c r="AO9" s="31"/>
      <c r="AQ9" s="32"/>
      <c r="AR9" s="31"/>
      <c r="AT9" s="32"/>
      <c r="AU9" s="31"/>
      <c r="AW9" s="32"/>
      <c r="AX9" s="31"/>
      <c r="AZ9" s="32"/>
      <c r="BA9" s="31"/>
      <c r="BC9" s="32"/>
      <c r="BD9" s="31"/>
      <c r="BF9" s="32"/>
      <c r="BG9" s="31"/>
      <c r="BI9" s="32"/>
      <c r="BJ9" s="31"/>
      <c r="BL9" s="32"/>
      <c r="BM9" s="31"/>
      <c r="BO9" s="32"/>
      <c r="BP9" s="31"/>
      <c r="BR9" s="32"/>
      <c r="BS9" s="31"/>
      <c r="BU9" s="32"/>
      <c r="BV9" s="31"/>
      <c r="BX9" s="32"/>
      <c r="BY9" s="31"/>
      <c r="CA9" s="32"/>
      <c r="CB9" s="78"/>
      <c r="CD9" s="79"/>
      <c r="CE9" s="78"/>
      <c r="CG9" s="79"/>
      <c r="CH9" s="78"/>
      <c r="CJ9" s="79"/>
      <c r="CK9" s="78"/>
      <c r="CM9" s="79"/>
      <c r="CN9" s="31"/>
      <c r="CO9" s="92"/>
      <c r="CP9" s="39"/>
      <c r="CQ9" s="31"/>
      <c r="CR9" s="32"/>
      <c r="CS9" s="92"/>
      <c r="CT9" s="32"/>
    </row>
    <row r="10" spans="1:98" ht="15.75" thickBot="1">
      <c r="A10" s="9" t="s">
        <v>76</v>
      </c>
      <c r="B10" s="7" t="s">
        <v>159</v>
      </c>
      <c r="C10" s="7" t="s">
        <v>77</v>
      </c>
      <c r="D10" s="7" t="s">
        <v>37</v>
      </c>
      <c r="E10" s="9"/>
      <c r="F10" s="7"/>
      <c r="G10" s="7"/>
      <c r="H10" s="7"/>
      <c r="I10" s="9"/>
      <c r="J10" s="7"/>
      <c r="K10" s="7"/>
      <c r="L10" s="7">
        <v>4.3</v>
      </c>
      <c r="M10" s="9"/>
      <c r="N10" s="7"/>
      <c r="O10" s="7"/>
      <c r="P10" s="7">
        <v>5.6</v>
      </c>
      <c r="Q10" s="9"/>
      <c r="R10" s="7"/>
      <c r="S10" s="7"/>
      <c r="T10" s="8">
        <v>5.0999999999999996</v>
      </c>
      <c r="U10" s="75"/>
      <c r="V10" s="76"/>
      <c r="W10" s="76"/>
      <c r="X10" s="77">
        <v>54.1</v>
      </c>
      <c r="Y10" s="75"/>
      <c r="Z10" s="76"/>
      <c r="AA10" s="76"/>
      <c r="AB10" s="77">
        <v>6.3</v>
      </c>
      <c r="AC10" s="8"/>
      <c r="AD10" s="73">
        <f t="shared" si="0"/>
        <v>4.9999999999999991</v>
      </c>
      <c r="AE10" s="65"/>
      <c r="AF10" s="9"/>
      <c r="AG10" s="7"/>
      <c r="AH10" s="8"/>
      <c r="AI10" s="9"/>
      <c r="AJ10" s="7"/>
      <c r="AK10" s="8"/>
      <c r="AL10" s="9"/>
      <c r="AM10" s="7"/>
      <c r="AN10" s="8"/>
      <c r="AO10" s="9"/>
      <c r="AP10" s="7"/>
      <c r="AQ10" s="8"/>
      <c r="AR10" s="9"/>
      <c r="AS10" s="7"/>
      <c r="AT10" s="8"/>
      <c r="AU10" s="9"/>
      <c r="AV10" s="7"/>
      <c r="AW10" s="8"/>
      <c r="AX10" s="9"/>
      <c r="AY10" s="7"/>
      <c r="AZ10" s="8"/>
      <c r="BA10" s="9">
        <v>28148</v>
      </c>
      <c r="BB10" s="7">
        <v>18467</v>
      </c>
      <c r="BC10" s="8">
        <v>141</v>
      </c>
      <c r="BD10" s="9"/>
      <c r="BE10" s="7"/>
      <c r="BF10" s="8"/>
      <c r="BG10" s="9"/>
      <c r="BH10" s="7"/>
      <c r="BI10" s="8"/>
      <c r="BJ10" s="9"/>
      <c r="BK10" s="7"/>
      <c r="BL10" s="8"/>
      <c r="BM10" s="9">
        <v>26641</v>
      </c>
      <c r="BN10" s="7">
        <v>16712</v>
      </c>
      <c r="BO10" s="8">
        <v>154</v>
      </c>
      <c r="BP10" s="9"/>
      <c r="BQ10" s="7"/>
      <c r="BR10" s="8"/>
      <c r="BS10" s="9"/>
      <c r="BT10" s="7"/>
      <c r="BU10" s="8"/>
      <c r="BV10" s="9"/>
      <c r="BW10" s="7"/>
      <c r="BX10" s="8"/>
      <c r="BY10" s="9">
        <v>27381</v>
      </c>
      <c r="BZ10" s="7">
        <v>17252</v>
      </c>
      <c r="CA10" s="8">
        <v>154.9</v>
      </c>
      <c r="CB10" s="75"/>
      <c r="CC10" s="76"/>
      <c r="CD10" s="77"/>
      <c r="CE10" s="75"/>
      <c r="CF10" s="76"/>
      <c r="CG10" s="77"/>
      <c r="CH10" s="75"/>
      <c r="CI10" s="76"/>
      <c r="CJ10" s="77"/>
      <c r="CK10" s="75">
        <v>35609</v>
      </c>
      <c r="CL10" s="76">
        <v>22385</v>
      </c>
      <c r="CM10" s="77">
        <v>164</v>
      </c>
      <c r="CN10" s="9"/>
      <c r="CO10" s="97">
        <f t="shared" ref="CO10:CO70" si="1">AVERAGE(BD10,BG10,BJ10,BP10,BS10,BV10,BY10,AR10,AU10,AX10,BA10,BM10)</f>
        <v>27390</v>
      </c>
      <c r="CP10" s="65">
        <f t="shared" ref="CP10:CP70" si="2">AVERAGE(BE10,BH10,BK10,BQ10,BT10,BW10,BZ10,AS10,AV10,AY10,BB10,BN10)</f>
        <v>17477</v>
      </c>
      <c r="CQ10" s="9"/>
      <c r="CR10" s="8"/>
      <c r="CS10" s="97">
        <f t="shared" ref="CS10:CS70" si="3">AVERAGE(BF10,BI10,BR10,BU10,BX10,CA10,AT10,AW10,AZ10,BL10,BC10,BO10)</f>
        <v>149.96666666666667</v>
      </c>
      <c r="CT10" s="8"/>
    </row>
    <row r="11" spans="1:98" ht="15.75" thickBot="1">
      <c r="A11" s="31"/>
      <c r="B11" s="7" t="s">
        <v>159</v>
      </c>
      <c r="D11" t="s">
        <v>160</v>
      </c>
      <c r="E11" s="31"/>
      <c r="I11" s="31"/>
      <c r="L11">
        <v>130</v>
      </c>
      <c r="M11" s="31"/>
      <c r="P11">
        <v>97.5</v>
      </c>
      <c r="Q11" s="31"/>
      <c r="T11" s="32">
        <v>83.9</v>
      </c>
      <c r="U11" s="78"/>
      <c r="X11" s="79">
        <v>87.6</v>
      </c>
      <c r="Y11" s="78"/>
      <c r="AB11" s="79">
        <v>121</v>
      </c>
      <c r="AC11" s="32"/>
      <c r="AD11" s="73">
        <f t="shared" si="0"/>
        <v>103.8</v>
      </c>
      <c r="AE11" s="39"/>
      <c r="AF11" s="31"/>
      <c r="AH11" s="32"/>
      <c r="AI11" s="31"/>
      <c r="AK11" s="32"/>
      <c r="AL11" s="31"/>
      <c r="AN11" s="32"/>
      <c r="AO11" s="31"/>
      <c r="AQ11" s="32"/>
      <c r="AR11" s="31"/>
      <c r="AT11" s="32"/>
      <c r="AU11" s="31"/>
      <c r="AW11" s="32"/>
      <c r="AX11" s="31"/>
      <c r="AZ11" s="32"/>
      <c r="BA11" s="31"/>
      <c r="BC11" s="32"/>
      <c r="BD11" s="31"/>
      <c r="BF11" s="32"/>
      <c r="BG11" s="31"/>
      <c r="BI11" s="32"/>
      <c r="BJ11" s="31"/>
      <c r="BL11" s="32"/>
      <c r="BM11" s="31"/>
      <c r="BO11" s="32"/>
      <c r="BP11" s="31"/>
      <c r="BR11" s="32"/>
      <c r="BS11" s="31"/>
      <c r="BU11" s="32"/>
      <c r="BV11" s="31"/>
      <c r="BX11" s="32"/>
      <c r="BY11" s="31"/>
      <c r="CA11" s="32"/>
      <c r="CB11" s="78"/>
      <c r="CD11" s="79"/>
      <c r="CE11" s="78"/>
      <c r="CG11" s="79"/>
      <c r="CH11" s="78"/>
      <c r="CJ11" s="79"/>
      <c r="CK11" s="78"/>
      <c r="CM11" s="79"/>
      <c r="CN11" s="31"/>
      <c r="CO11" s="92"/>
      <c r="CP11" s="39"/>
      <c r="CQ11" s="31"/>
      <c r="CR11" s="32"/>
      <c r="CS11" s="92"/>
      <c r="CT11" s="32"/>
    </row>
    <row r="12" spans="1:98" ht="15.75" thickBot="1">
      <c r="A12" s="31"/>
      <c r="B12" s="7" t="s">
        <v>159</v>
      </c>
      <c r="D12" t="s">
        <v>34</v>
      </c>
      <c r="E12" s="31"/>
      <c r="I12" s="31"/>
      <c r="L12">
        <v>65.3</v>
      </c>
      <c r="M12" s="31"/>
      <c r="P12">
        <v>103</v>
      </c>
      <c r="Q12" s="31"/>
      <c r="T12" s="32">
        <v>209.4</v>
      </c>
      <c r="U12" s="78"/>
      <c r="X12" s="79">
        <v>158</v>
      </c>
      <c r="Y12" s="78"/>
      <c r="AB12" s="79">
        <v>286</v>
      </c>
      <c r="AC12" s="32"/>
      <c r="AD12" s="73">
        <f t="shared" si="0"/>
        <v>125.90000000000002</v>
      </c>
      <c r="AE12" s="39"/>
      <c r="AF12" s="31"/>
      <c r="AH12" s="32"/>
      <c r="AI12" s="31"/>
      <c r="AK12" s="32"/>
      <c r="AL12" s="31"/>
      <c r="AN12" s="32"/>
      <c r="AO12" s="31"/>
      <c r="AQ12" s="32"/>
      <c r="AR12" s="31"/>
      <c r="AT12" s="32"/>
      <c r="AU12" s="31"/>
      <c r="AW12" s="32"/>
      <c r="AX12" s="31"/>
      <c r="AZ12" s="32"/>
      <c r="BA12" s="31"/>
      <c r="BC12" s="32"/>
      <c r="BD12" s="31"/>
      <c r="BF12" s="32"/>
      <c r="BG12" s="31"/>
      <c r="BI12" s="32"/>
      <c r="BJ12" s="31"/>
      <c r="BL12" s="32"/>
      <c r="BM12" s="31"/>
      <c r="BO12" s="32"/>
      <c r="BP12" s="31"/>
      <c r="BR12" s="32"/>
      <c r="BS12" s="31"/>
      <c r="BU12" s="32"/>
      <c r="BV12" s="31"/>
      <c r="BX12" s="32"/>
      <c r="BY12" s="31"/>
      <c r="CA12" s="32"/>
      <c r="CB12" s="78"/>
      <c r="CD12" s="79"/>
      <c r="CE12" s="78"/>
      <c r="CG12" s="79"/>
      <c r="CH12" s="78"/>
      <c r="CJ12" s="79"/>
      <c r="CK12" s="78"/>
      <c r="CM12" s="79"/>
      <c r="CN12" s="31"/>
      <c r="CO12" s="92"/>
      <c r="CP12" s="39"/>
      <c r="CQ12" s="31"/>
      <c r="CR12" s="32"/>
      <c r="CS12" s="92"/>
      <c r="CT12" s="32"/>
    </row>
    <row r="13" spans="1:98" ht="15.75" thickBot="1">
      <c r="A13" s="33"/>
      <c r="B13" s="7" t="s">
        <v>159</v>
      </c>
      <c r="C13" s="34"/>
      <c r="D13" s="34" t="s">
        <v>35</v>
      </c>
      <c r="E13" s="33"/>
      <c r="F13" s="34"/>
      <c r="G13" s="34"/>
      <c r="H13" s="34"/>
      <c r="I13" s="33"/>
      <c r="J13" s="34"/>
      <c r="K13" s="34"/>
      <c r="L13" s="34">
        <v>108</v>
      </c>
      <c r="M13" s="33"/>
      <c r="N13" s="34"/>
      <c r="O13" s="34"/>
      <c r="P13" s="34">
        <v>8.5</v>
      </c>
      <c r="Q13" s="33"/>
      <c r="R13" s="34"/>
      <c r="S13" s="34"/>
      <c r="T13" s="35">
        <v>16.2</v>
      </c>
      <c r="U13" s="80"/>
      <c r="V13" s="81"/>
      <c r="W13" s="81"/>
      <c r="X13" s="82">
        <v>25.5</v>
      </c>
      <c r="Y13" s="80"/>
      <c r="Z13" s="81"/>
      <c r="AA13" s="81"/>
      <c r="AB13" s="82">
        <v>145</v>
      </c>
      <c r="AC13" s="35"/>
      <c r="AD13" s="73">
        <f t="shared" si="0"/>
        <v>44.233333333333327</v>
      </c>
      <c r="AE13" s="66"/>
      <c r="AF13" s="33"/>
      <c r="AG13" s="34"/>
      <c r="AH13" s="35"/>
      <c r="AI13" s="33"/>
      <c r="AJ13" s="34"/>
      <c r="AK13" s="35"/>
      <c r="AL13" s="33"/>
      <c r="AM13" s="34"/>
      <c r="AN13" s="35"/>
      <c r="AO13" s="33"/>
      <c r="AP13" s="34"/>
      <c r="AQ13" s="35"/>
      <c r="AR13" s="33"/>
      <c r="AS13" s="34"/>
      <c r="AT13" s="35"/>
      <c r="AU13" s="33"/>
      <c r="AV13" s="34"/>
      <c r="AW13" s="35"/>
      <c r="AX13" s="33"/>
      <c r="AY13" s="34"/>
      <c r="AZ13" s="35"/>
      <c r="BA13" s="33"/>
      <c r="BB13" s="34"/>
      <c r="BC13" s="35"/>
      <c r="BD13" s="33"/>
      <c r="BE13" s="34"/>
      <c r="BF13" s="35"/>
      <c r="BG13" s="33"/>
      <c r="BH13" s="34"/>
      <c r="BI13" s="35"/>
      <c r="BJ13" s="33"/>
      <c r="BK13" s="34"/>
      <c r="BL13" s="35"/>
      <c r="BM13" s="33"/>
      <c r="BN13" s="34"/>
      <c r="BO13" s="35"/>
      <c r="BP13" s="33"/>
      <c r="BQ13" s="34"/>
      <c r="BR13" s="35"/>
      <c r="BS13" s="33"/>
      <c r="BT13" s="34"/>
      <c r="BU13" s="35"/>
      <c r="BV13" s="33"/>
      <c r="BW13" s="34"/>
      <c r="BX13" s="35"/>
      <c r="BY13" s="33"/>
      <c r="BZ13" s="34"/>
      <c r="CA13" s="35"/>
      <c r="CB13" s="80"/>
      <c r="CC13" s="81"/>
      <c r="CD13" s="82"/>
      <c r="CE13" s="80"/>
      <c r="CF13" s="81"/>
      <c r="CG13" s="82"/>
      <c r="CH13" s="80"/>
      <c r="CI13" s="81"/>
      <c r="CJ13" s="82"/>
      <c r="CK13" s="80"/>
      <c r="CL13" s="81"/>
      <c r="CM13" s="82"/>
      <c r="CN13" s="33"/>
      <c r="CO13" s="93"/>
      <c r="CP13" s="66"/>
      <c r="CQ13" s="33"/>
      <c r="CR13" s="35"/>
      <c r="CS13" s="93"/>
      <c r="CT13" s="35"/>
    </row>
    <row r="14" spans="1:98" ht="15.75" thickBot="1">
      <c r="A14" s="9" t="s">
        <v>78</v>
      </c>
      <c r="B14" s="7" t="s">
        <v>159</v>
      </c>
      <c r="C14" s="7" t="s">
        <v>79</v>
      </c>
      <c r="D14" s="7" t="s">
        <v>37</v>
      </c>
      <c r="E14" s="9"/>
      <c r="F14" s="7"/>
      <c r="G14" s="7"/>
      <c r="H14" s="7"/>
      <c r="I14" s="9"/>
      <c r="J14" s="7"/>
      <c r="K14" s="7"/>
      <c r="L14" s="7">
        <v>8.9</v>
      </c>
      <c r="M14" s="9"/>
      <c r="N14" s="7"/>
      <c r="O14" s="7"/>
      <c r="P14" s="7">
        <v>3.5</v>
      </c>
      <c r="Q14" s="9"/>
      <c r="R14" s="7"/>
      <c r="S14" s="7"/>
      <c r="T14" s="8">
        <v>8.4</v>
      </c>
      <c r="U14" s="75"/>
      <c r="V14" s="76"/>
      <c r="W14" s="76"/>
      <c r="X14" s="77">
        <v>146.30000000000001</v>
      </c>
      <c r="Y14" s="75"/>
      <c r="Z14" s="76"/>
      <c r="AA14" s="76"/>
      <c r="AB14" s="77">
        <v>1.9</v>
      </c>
      <c r="AC14" s="8"/>
      <c r="AD14" s="73">
        <f t="shared" si="0"/>
        <v>6.9333333333333336</v>
      </c>
      <c r="AE14" s="65"/>
      <c r="AF14" s="9"/>
      <c r="AG14" s="7"/>
      <c r="AH14" s="8"/>
      <c r="AI14" s="9"/>
      <c r="AJ14" s="7"/>
      <c r="AK14" s="8"/>
      <c r="AL14" s="9"/>
      <c r="AM14" s="7"/>
      <c r="AN14" s="8"/>
      <c r="AO14" s="9"/>
      <c r="AP14" s="7"/>
      <c r="AQ14" s="8"/>
      <c r="AR14" s="9"/>
      <c r="AS14" s="7"/>
      <c r="AT14" s="8"/>
      <c r="AU14" s="9"/>
      <c r="AV14" s="7"/>
      <c r="AW14" s="8"/>
      <c r="AX14" s="9"/>
      <c r="AY14" s="7"/>
      <c r="AZ14" s="8"/>
      <c r="BA14" s="9">
        <v>38741</v>
      </c>
      <c r="BB14" s="7">
        <v>30226</v>
      </c>
      <c r="BC14" s="8">
        <v>71.3</v>
      </c>
      <c r="BD14" s="9"/>
      <c r="BE14" s="7"/>
      <c r="BF14" s="8"/>
      <c r="BG14" s="9"/>
      <c r="BH14" s="7"/>
      <c r="BI14" s="8"/>
      <c r="BJ14" s="9"/>
      <c r="BK14" s="7"/>
      <c r="BL14" s="8"/>
      <c r="BM14" s="9">
        <v>35726</v>
      </c>
      <c r="BN14" s="7">
        <v>25425</v>
      </c>
      <c r="BO14" s="8">
        <v>104</v>
      </c>
      <c r="BP14" s="9"/>
      <c r="BQ14" s="7"/>
      <c r="BR14" s="8"/>
      <c r="BS14" s="9"/>
      <c r="BT14" s="7"/>
      <c r="BU14" s="8"/>
      <c r="BV14" s="9"/>
      <c r="BW14" s="7"/>
      <c r="BX14" s="8"/>
      <c r="BY14" s="9">
        <v>37172</v>
      </c>
      <c r="BZ14" s="7">
        <v>26837</v>
      </c>
      <c r="CA14" s="8">
        <v>104.1</v>
      </c>
      <c r="CB14" s="75"/>
      <c r="CC14" s="76"/>
      <c r="CD14" s="77"/>
      <c r="CE14" s="75"/>
      <c r="CF14" s="76"/>
      <c r="CG14" s="77"/>
      <c r="CH14" s="75"/>
      <c r="CI14" s="76"/>
      <c r="CJ14" s="77"/>
      <c r="CK14" s="75">
        <v>43766</v>
      </c>
      <c r="CL14" s="76">
        <v>31571</v>
      </c>
      <c r="CM14" s="77">
        <v>108</v>
      </c>
      <c r="CN14" s="9"/>
      <c r="CO14" s="92">
        <f t="shared" si="1"/>
        <v>37213</v>
      </c>
      <c r="CP14" s="39">
        <f t="shared" si="2"/>
        <v>27496</v>
      </c>
      <c r="CQ14" s="31"/>
      <c r="CR14" s="32"/>
      <c r="CS14" s="92">
        <f t="shared" si="3"/>
        <v>93.133333333333326</v>
      </c>
      <c r="CT14" s="32"/>
    </row>
    <row r="15" spans="1:98" ht="15.75" thickBot="1">
      <c r="A15" s="31"/>
      <c r="B15" s="7" t="s">
        <v>159</v>
      </c>
      <c r="D15" t="s">
        <v>160</v>
      </c>
      <c r="E15" s="31"/>
      <c r="I15" s="31"/>
      <c r="L15">
        <v>187</v>
      </c>
      <c r="M15" s="31"/>
      <c r="P15">
        <v>140</v>
      </c>
      <c r="Q15" s="31"/>
      <c r="T15" s="32">
        <v>66.7</v>
      </c>
      <c r="U15" s="78"/>
      <c r="X15" s="79">
        <v>56.6</v>
      </c>
      <c r="Y15" s="78"/>
      <c r="AB15" s="79">
        <v>238</v>
      </c>
      <c r="AC15" s="32"/>
      <c r="AD15" s="73">
        <f t="shared" si="0"/>
        <v>131.23333333333332</v>
      </c>
      <c r="AE15" s="39"/>
      <c r="AF15" s="31"/>
      <c r="AH15" s="32"/>
      <c r="AI15" s="31"/>
      <c r="AK15" s="32"/>
      <c r="AL15" s="31"/>
      <c r="AN15" s="32"/>
      <c r="AO15" s="31"/>
      <c r="AQ15" s="32"/>
      <c r="AR15" s="31"/>
      <c r="AT15" s="32"/>
      <c r="AU15" s="31"/>
      <c r="AW15" s="32"/>
      <c r="AX15" s="31"/>
      <c r="AZ15" s="32"/>
      <c r="BA15" s="31"/>
      <c r="BC15" s="32"/>
      <c r="BD15" s="31"/>
      <c r="BF15" s="32"/>
      <c r="BG15" s="31"/>
      <c r="BI15" s="32"/>
      <c r="BJ15" s="31"/>
      <c r="BL15" s="32"/>
      <c r="BM15" s="31"/>
      <c r="BO15" s="32"/>
      <c r="BP15" s="31"/>
      <c r="BR15" s="32"/>
      <c r="BS15" s="31"/>
      <c r="BU15" s="32"/>
      <c r="BV15" s="31"/>
      <c r="BX15" s="32"/>
      <c r="BY15" s="31"/>
      <c r="CA15" s="32"/>
      <c r="CB15" s="78"/>
      <c r="CD15" s="79"/>
      <c r="CE15" s="78"/>
      <c r="CG15" s="79"/>
      <c r="CH15" s="78"/>
      <c r="CJ15" s="79"/>
      <c r="CK15" s="78"/>
      <c r="CM15" s="79"/>
      <c r="CN15" s="31"/>
      <c r="CO15" s="92"/>
      <c r="CP15" s="39"/>
      <c r="CQ15" s="31"/>
      <c r="CR15" s="32"/>
      <c r="CS15" s="92"/>
      <c r="CT15" s="32"/>
    </row>
    <row r="16" spans="1:98" ht="15.75" thickBot="1">
      <c r="A16" s="31"/>
      <c r="B16" s="7" t="s">
        <v>159</v>
      </c>
      <c r="D16" t="s">
        <v>34</v>
      </c>
      <c r="E16" s="31"/>
      <c r="I16" s="31"/>
      <c r="L16">
        <v>109</v>
      </c>
      <c r="M16" s="31"/>
      <c r="P16">
        <v>79.5</v>
      </c>
      <c r="Q16" s="31"/>
      <c r="T16" s="32">
        <v>89.1</v>
      </c>
      <c r="U16" s="78"/>
      <c r="X16" s="79">
        <v>93.5</v>
      </c>
      <c r="Y16" s="78"/>
      <c r="AB16" s="79">
        <v>112</v>
      </c>
      <c r="AC16" s="32"/>
      <c r="AD16" s="73">
        <f t="shared" si="0"/>
        <v>92.533333333333346</v>
      </c>
      <c r="AE16" s="39"/>
      <c r="AF16" s="31"/>
      <c r="AH16" s="32"/>
      <c r="AI16" s="31"/>
      <c r="AK16" s="32"/>
      <c r="AL16" s="31"/>
      <c r="AN16" s="32"/>
      <c r="AO16" s="31"/>
      <c r="AQ16" s="32"/>
      <c r="AR16" s="31"/>
      <c r="AT16" s="32"/>
      <c r="AU16" s="31"/>
      <c r="AW16" s="32"/>
      <c r="AX16" s="31"/>
      <c r="AZ16" s="32"/>
      <c r="BA16" s="31"/>
      <c r="BC16" s="32"/>
      <c r="BD16" s="31"/>
      <c r="BF16" s="32"/>
      <c r="BG16" s="31"/>
      <c r="BI16" s="32"/>
      <c r="BJ16" s="31"/>
      <c r="BL16" s="32"/>
      <c r="BM16" s="31"/>
      <c r="BO16" s="32"/>
      <c r="BP16" s="31"/>
      <c r="BR16" s="32"/>
      <c r="BS16" s="31"/>
      <c r="BU16" s="32"/>
      <c r="BV16" s="31"/>
      <c r="BX16" s="32"/>
      <c r="BY16" s="31"/>
      <c r="CA16" s="32"/>
      <c r="CB16" s="78"/>
      <c r="CD16" s="79"/>
      <c r="CE16" s="78"/>
      <c r="CG16" s="79"/>
      <c r="CH16" s="78"/>
      <c r="CJ16" s="79"/>
      <c r="CK16" s="78"/>
      <c r="CM16" s="79"/>
      <c r="CN16" s="31"/>
      <c r="CO16" s="92"/>
      <c r="CP16" s="39"/>
      <c r="CQ16" s="31"/>
      <c r="CR16" s="32"/>
      <c r="CS16" s="92"/>
      <c r="CT16" s="32"/>
    </row>
    <row r="17" spans="1:98" ht="15.75" thickBot="1">
      <c r="A17" s="33"/>
      <c r="B17" s="7" t="s">
        <v>159</v>
      </c>
      <c r="C17" s="34"/>
      <c r="D17" s="34" t="s">
        <v>35</v>
      </c>
      <c r="E17" s="33"/>
      <c r="F17" s="34"/>
      <c r="G17" s="34"/>
      <c r="H17" s="34"/>
      <c r="I17" s="33"/>
      <c r="J17" s="34"/>
      <c r="K17" s="34"/>
      <c r="L17" s="34">
        <v>188</v>
      </c>
      <c r="M17" s="33"/>
      <c r="N17" s="34"/>
      <c r="O17" s="34"/>
      <c r="P17" s="34">
        <v>332</v>
      </c>
      <c r="Q17" s="33"/>
      <c r="R17" s="34"/>
      <c r="S17" s="34"/>
      <c r="T17" s="35">
        <v>93.1</v>
      </c>
      <c r="U17" s="80"/>
      <c r="V17" s="81"/>
      <c r="W17" s="81"/>
      <c r="X17" s="82">
        <v>119</v>
      </c>
      <c r="Y17" s="80"/>
      <c r="Z17" s="81"/>
      <c r="AA17" s="81"/>
      <c r="AB17" s="82">
        <v>151</v>
      </c>
      <c r="AC17" s="216"/>
      <c r="AD17" s="73">
        <f t="shared" si="0"/>
        <v>204.36666666666667</v>
      </c>
      <c r="AE17" s="66"/>
      <c r="AF17" s="33"/>
      <c r="AG17" s="34"/>
      <c r="AH17" s="35"/>
      <c r="AI17" s="33"/>
      <c r="AJ17" s="34"/>
      <c r="AK17" s="35"/>
      <c r="AL17" s="33"/>
      <c r="AM17" s="34"/>
      <c r="AN17" s="35"/>
      <c r="AO17" s="33"/>
      <c r="AP17" s="34"/>
      <c r="AQ17" s="35"/>
      <c r="AR17" s="33"/>
      <c r="AS17" s="34"/>
      <c r="AT17" s="35"/>
      <c r="AU17" s="33"/>
      <c r="AV17" s="34"/>
      <c r="AW17" s="35"/>
      <c r="AX17" s="33"/>
      <c r="AY17" s="34"/>
      <c r="AZ17" s="35"/>
      <c r="BA17" s="33"/>
      <c r="BB17" s="34"/>
      <c r="BC17" s="35"/>
      <c r="BD17" s="33"/>
      <c r="BE17" s="34"/>
      <c r="BF17" s="35"/>
      <c r="BG17" s="33"/>
      <c r="BH17" s="34"/>
      <c r="BI17" s="35"/>
      <c r="BJ17" s="33"/>
      <c r="BK17" s="34"/>
      <c r="BL17" s="35"/>
      <c r="BM17" s="33"/>
      <c r="BN17" s="34"/>
      <c r="BO17" s="35"/>
      <c r="BP17" s="33"/>
      <c r="BQ17" s="34"/>
      <c r="BR17" s="35"/>
      <c r="BS17" s="33"/>
      <c r="BT17" s="34"/>
      <c r="BU17" s="35"/>
      <c r="BV17" s="33"/>
      <c r="BW17" s="34"/>
      <c r="BX17" s="35"/>
      <c r="BY17" s="33"/>
      <c r="BZ17" s="34"/>
      <c r="CA17" s="35"/>
      <c r="CB17" s="80"/>
      <c r="CC17" s="81"/>
      <c r="CD17" s="82"/>
      <c r="CE17" s="80"/>
      <c r="CF17" s="81"/>
      <c r="CG17" s="82"/>
      <c r="CH17" s="80"/>
      <c r="CI17" s="81"/>
      <c r="CJ17" s="82"/>
      <c r="CK17" s="80"/>
      <c r="CL17" s="81"/>
      <c r="CM17" s="82"/>
      <c r="CN17" s="33"/>
      <c r="CO17" s="92"/>
      <c r="CP17" s="39"/>
      <c r="CQ17" s="31"/>
      <c r="CR17" s="32"/>
      <c r="CS17" s="92"/>
      <c r="CT17" s="32"/>
    </row>
    <row r="18" spans="1:98" ht="15.75" thickBot="1">
      <c r="A18" s="47" t="s">
        <v>80</v>
      </c>
      <c r="B18" s="7" t="s">
        <v>159</v>
      </c>
      <c r="C18" s="47" t="s">
        <v>81</v>
      </c>
      <c r="D18" s="47" t="s">
        <v>161</v>
      </c>
      <c r="E18" s="48"/>
      <c r="F18" s="47"/>
      <c r="G18" s="47"/>
      <c r="H18" s="47"/>
      <c r="I18" s="48"/>
      <c r="J18" s="47"/>
      <c r="K18" s="47">
        <v>1.8</v>
      </c>
      <c r="L18" s="47"/>
      <c r="M18" s="48"/>
      <c r="N18" s="47"/>
      <c r="O18" s="47">
        <v>0.34</v>
      </c>
      <c r="P18" s="47"/>
      <c r="Q18" s="48"/>
      <c r="R18" s="47"/>
      <c r="S18" s="47">
        <v>1.2</v>
      </c>
      <c r="T18" s="49"/>
      <c r="U18" s="78"/>
      <c r="W18" s="74">
        <v>2.1</v>
      </c>
      <c r="X18" s="79"/>
      <c r="Y18" s="78"/>
      <c r="AA18" s="74">
        <v>39.1</v>
      </c>
      <c r="AB18" s="79">
        <v>1.1000000000000001</v>
      </c>
      <c r="AC18" s="215"/>
      <c r="AD18" s="73">
        <f t="shared" si="0"/>
        <v>1.1133333333333333</v>
      </c>
      <c r="AE18" s="39"/>
      <c r="AF18" s="31"/>
      <c r="AH18" s="32"/>
      <c r="AI18" s="31"/>
      <c r="AK18" s="32"/>
      <c r="AL18" s="31"/>
      <c r="AN18" s="32"/>
      <c r="AO18" s="31"/>
      <c r="AQ18" s="32"/>
      <c r="AR18" s="48"/>
      <c r="AS18" s="47"/>
      <c r="AT18" s="49"/>
      <c r="AU18" s="48"/>
      <c r="AV18" s="47"/>
      <c r="AW18" s="49"/>
      <c r="AX18" s="48">
        <v>1107</v>
      </c>
      <c r="AY18" s="47">
        <v>1014</v>
      </c>
      <c r="AZ18" s="49">
        <v>27.4</v>
      </c>
      <c r="BA18" s="48"/>
      <c r="BB18" s="47"/>
      <c r="BC18" s="49"/>
      <c r="BD18" s="48"/>
      <c r="BE18" s="47"/>
      <c r="BF18" s="49"/>
      <c r="BG18" s="48"/>
      <c r="BH18" s="47"/>
      <c r="BI18" s="49"/>
      <c r="BJ18" s="48">
        <v>1139</v>
      </c>
      <c r="BK18" s="47">
        <v>1064</v>
      </c>
      <c r="BL18" s="49">
        <v>19</v>
      </c>
      <c r="BM18" s="48"/>
      <c r="BN18" s="47"/>
      <c r="BO18" s="49"/>
      <c r="BP18" s="48"/>
      <c r="BQ18" s="47"/>
      <c r="BR18" s="49"/>
      <c r="BS18" s="48"/>
      <c r="BT18" s="47"/>
      <c r="BU18" s="49"/>
      <c r="BV18" s="48">
        <v>928</v>
      </c>
      <c r="BW18" s="47">
        <v>871</v>
      </c>
      <c r="BX18" s="49">
        <v>17.600000000000001</v>
      </c>
      <c r="BY18" s="48"/>
      <c r="BZ18" s="47"/>
      <c r="CA18" s="49"/>
      <c r="CB18" s="78"/>
      <c r="CD18" s="79"/>
      <c r="CE18" s="78"/>
      <c r="CG18" s="79"/>
      <c r="CH18" s="78">
        <v>979</v>
      </c>
      <c r="CI18" s="74">
        <v>930</v>
      </c>
      <c r="CJ18" s="79">
        <v>17</v>
      </c>
      <c r="CK18" s="78">
        <v>1049</v>
      </c>
      <c r="CL18" s="74">
        <v>1016</v>
      </c>
      <c r="CM18" s="79">
        <v>11</v>
      </c>
      <c r="CN18" s="48"/>
      <c r="CO18" s="98">
        <f t="shared" si="1"/>
        <v>1058</v>
      </c>
      <c r="CP18" s="70">
        <f t="shared" si="2"/>
        <v>983</v>
      </c>
      <c r="CQ18" s="99"/>
      <c r="CR18" s="100"/>
      <c r="CS18" s="98">
        <f t="shared" si="3"/>
        <v>21.333333333333332</v>
      </c>
      <c r="CT18" s="100"/>
    </row>
    <row r="19" spans="1:98" ht="15.75" thickBot="1">
      <c r="A19" s="67" t="s">
        <v>82</v>
      </c>
      <c r="B19" s="7" t="s">
        <v>159</v>
      </c>
      <c r="C19" s="68" t="s">
        <v>83</v>
      </c>
      <c r="D19" s="68" t="s">
        <v>160</v>
      </c>
      <c r="E19" s="67"/>
      <c r="F19" s="68"/>
      <c r="G19" s="68"/>
      <c r="H19" s="68"/>
      <c r="I19" s="67"/>
      <c r="J19" s="68">
        <v>296</v>
      </c>
      <c r="K19" s="68"/>
      <c r="L19" s="68">
        <v>189</v>
      </c>
      <c r="M19" s="67"/>
      <c r="N19" s="68">
        <v>723</v>
      </c>
      <c r="O19" s="68"/>
      <c r="P19" s="68">
        <v>286</v>
      </c>
      <c r="Q19" s="67"/>
      <c r="R19" s="68">
        <v>574</v>
      </c>
      <c r="S19" s="68"/>
      <c r="T19" s="69">
        <v>463</v>
      </c>
      <c r="U19" s="83"/>
      <c r="V19" s="84">
        <v>995.5</v>
      </c>
      <c r="W19" s="84"/>
      <c r="X19" s="85">
        <v>570.5</v>
      </c>
      <c r="Y19" s="83"/>
      <c r="Z19" s="84">
        <v>843</v>
      </c>
      <c r="AA19" s="84"/>
      <c r="AB19" s="85">
        <v>849</v>
      </c>
      <c r="AC19" s="217"/>
      <c r="AD19" s="73">
        <f t="shared" si="0"/>
        <v>421.83333333333331</v>
      </c>
      <c r="AE19" s="98"/>
      <c r="AF19" s="68"/>
      <c r="AG19" s="68"/>
      <c r="AH19" s="68"/>
      <c r="AI19" s="67"/>
      <c r="AJ19" s="68"/>
      <c r="AK19" s="69"/>
      <c r="AL19" s="67"/>
      <c r="AM19" s="68"/>
      <c r="AN19" s="69"/>
      <c r="AO19" s="67"/>
      <c r="AP19" s="68"/>
      <c r="AQ19" s="69"/>
      <c r="AR19" s="68"/>
      <c r="AS19" s="68"/>
      <c r="AT19" s="68"/>
      <c r="AU19" s="67">
        <v>5735</v>
      </c>
      <c r="AV19" s="68">
        <v>5376</v>
      </c>
      <c r="AW19" s="69">
        <v>18</v>
      </c>
      <c r="AX19" s="67"/>
      <c r="AY19" s="68"/>
      <c r="AZ19" s="69"/>
      <c r="BA19" s="67">
        <v>3043</v>
      </c>
      <c r="BB19" s="68">
        <v>2882</v>
      </c>
      <c r="BC19" s="69">
        <v>15</v>
      </c>
      <c r="BD19" s="67"/>
      <c r="BE19" s="68"/>
      <c r="BF19" s="69"/>
      <c r="BG19" s="67">
        <v>6662</v>
      </c>
      <c r="BH19" s="68">
        <v>6161</v>
      </c>
      <c r="BI19" s="69">
        <v>22</v>
      </c>
      <c r="BJ19" s="67"/>
      <c r="BK19" s="68"/>
      <c r="BL19" s="69"/>
      <c r="BM19" s="67">
        <v>5788</v>
      </c>
      <c r="BN19" s="68">
        <v>5408</v>
      </c>
      <c r="BO19" s="69">
        <v>19</v>
      </c>
      <c r="BP19" s="67"/>
      <c r="BQ19" s="68"/>
      <c r="BR19" s="69"/>
      <c r="BS19" s="67">
        <v>5694</v>
      </c>
      <c r="BT19" s="68">
        <v>5305</v>
      </c>
      <c r="BU19" s="69">
        <v>20</v>
      </c>
      <c r="BV19" s="67"/>
      <c r="BW19" s="68"/>
      <c r="BX19" s="69"/>
      <c r="BY19" s="67">
        <v>5723</v>
      </c>
      <c r="BZ19" s="68">
        <v>5295</v>
      </c>
      <c r="CA19" s="69">
        <v>22</v>
      </c>
      <c r="CB19" s="83"/>
      <c r="CC19" s="84"/>
      <c r="CD19" s="85"/>
      <c r="CE19" s="83">
        <v>6123</v>
      </c>
      <c r="CF19" s="84">
        <v>5793</v>
      </c>
      <c r="CG19" s="85">
        <v>18</v>
      </c>
      <c r="CH19" s="83"/>
      <c r="CI19" s="84"/>
      <c r="CJ19" s="85"/>
      <c r="CK19" s="83">
        <v>6829</v>
      </c>
      <c r="CL19" s="84">
        <v>6469</v>
      </c>
      <c r="CM19" s="85">
        <v>18</v>
      </c>
      <c r="CN19" s="67"/>
      <c r="CO19" s="92">
        <f t="shared" si="1"/>
        <v>5440.833333333333</v>
      </c>
      <c r="CP19" s="39">
        <f t="shared" si="2"/>
        <v>5071.166666666667</v>
      </c>
      <c r="CQ19" s="31"/>
      <c r="CR19" s="32"/>
      <c r="CS19" s="92">
        <f t="shared" si="3"/>
        <v>19.333333333333332</v>
      </c>
      <c r="CT19" s="35"/>
    </row>
    <row r="20" spans="1:98" ht="15.75" thickBot="1">
      <c r="A20" t="s">
        <v>82</v>
      </c>
      <c r="B20" s="7" t="s">
        <v>159</v>
      </c>
      <c r="C20" t="s">
        <v>142</v>
      </c>
      <c r="E20" s="31"/>
      <c r="I20" s="31"/>
      <c r="M20" s="31"/>
      <c r="Q20" s="31"/>
      <c r="T20" s="32"/>
      <c r="U20" s="78"/>
      <c r="X20" s="79"/>
      <c r="Y20" s="78"/>
      <c r="AB20" s="79"/>
      <c r="AC20" s="215"/>
      <c r="AD20" s="73"/>
      <c r="AE20" s="39"/>
      <c r="AF20" s="31"/>
      <c r="AH20" s="32"/>
      <c r="AI20" s="31"/>
      <c r="AK20" s="32"/>
      <c r="AL20" s="31"/>
      <c r="AN20" s="32"/>
      <c r="AO20" s="31"/>
      <c r="AQ20" s="32"/>
      <c r="AR20" s="31"/>
      <c r="AT20" s="32"/>
      <c r="AU20" s="31"/>
      <c r="AW20" s="32"/>
      <c r="AX20" s="31"/>
      <c r="AZ20" s="32"/>
      <c r="BA20" s="31"/>
      <c r="BC20" s="32"/>
      <c r="BD20" s="31"/>
      <c r="BF20" s="32"/>
      <c r="BG20" s="31"/>
      <c r="BI20" s="32"/>
      <c r="BJ20" s="31"/>
      <c r="BL20" s="32"/>
      <c r="BM20" s="31"/>
      <c r="BO20" s="32"/>
      <c r="BP20" s="31"/>
      <c r="BR20" s="32"/>
      <c r="BS20" s="31"/>
      <c r="BU20" s="32"/>
      <c r="BV20" s="31"/>
      <c r="BX20" s="32"/>
      <c r="BY20" s="31"/>
      <c r="CA20" s="32"/>
      <c r="CB20" s="78"/>
      <c r="CD20" s="79"/>
      <c r="CE20" s="78"/>
      <c r="CG20" s="79"/>
      <c r="CH20" s="78"/>
      <c r="CJ20" s="79"/>
      <c r="CK20" s="78"/>
      <c r="CM20" s="79"/>
      <c r="CN20" s="31"/>
      <c r="CO20" s="98"/>
      <c r="CP20" s="70"/>
      <c r="CQ20" s="67"/>
      <c r="CR20" s="69"/>
      <c r="CS20" s="98"/>
      <c r="CT20" s="32"/>
    </row>
    <row r="21" spans="1:98" ht="24.95" customHeight="1" thickBot="1">
      <c r="A21" s="67" t="s">
        <v>82</v>
      </c>
      <c r="B21" s="7" t="s">
        <v>159</v>
      </c>
      <c r="C21" s="68" t="s">
        <v>85</v>
      </c>
      <c r="D21" s="68" t="s">
        <v>160</v>
      </c>
      <c r="E21" s="67"/>
      <c r="F21" s="68"/>
      <c r="G21" s="68"/>
      <c r="H21" s="68"/>
      <c r="I21" s="67"/>
      <c r="J21" s="68">
        <v>1.1000000000000001</v>
      </c>
      <c r="K21" s="68"/>
      <c r="L21" s="68">
        <v>6.9</v>
      </c>
      <c r="M21" s="67"/>
      <c r="N21" s="68"/>
      <c r="O21" s="68">
        <v>2.7</v>
      </c>
      <c r="P21" s="68">
        <v>8.3000000000000007</v>
      </c>
      <c r="Q21" s="67"/>
      <c r="R21" s="68">
        <v>9.1</v>
      </c>
      <c r="S21" s="68"/>
      <c r="T21" s="69">
        <v>17.7</v>
      </c>
      <c r="U21" s="83"/>
      <c r="V21" s="84">
        <v>4.7</v>
      </c>
      <c r="W21" s="84"/>
      <c r="X21" s="85">
        <v>5.7</v>
      </c>
      <c r="Y21" s="83"/>
      <c r="Z21" s="84">
        <v>6.1</v>
      </c>
      <c r="AA21" s="84"/>
      <c r="AB21" s="85">
        <v>16.399999999999999</v>
      </c>
      <c r="AC21" s="217"/>
      <c r="AD21" s="73">
        <f t="shared" si="0"/>
        <v>7.6333333333333329</v>
      </c>
      <c r="AE21" s="70"/>
      <c r="AF21" s="67"/>
      <c r="AG21" s="68"/>
      <c r="AH21" s="69"/>
      <c r="AI21" s="67"/>
      <c r="AJ21" s="68"/>
      <c r="AK21" s="69"/>
      <c r="AL21" s="67"/>
      <c r="AM21" s="68"/>
      <c r="AN21" s="69"/>
      <c r="AO21" s="67"/>
      <c r="AP21" s="68"/>
      <c r="AQ21" s="69"/>
      <c r="AR21" s="67"/>
      <c r="AS21" s="68"/>
      <c r="AT21" s="69"/>
      <c r="AU21" s="67">
        <v>2720</v>
      </c>
      <c r="AV21" s="68">
        <v>2532</v>
      </c>
      <c r="AW21" s="69">
        <v>20</v>
      </c>
      <c r="AX21" s="67"/>
      <c r="AY21" s="68"/>
      <c r="AZ21" s="69"/>
      <c r="BA21" s="67">
        <v>2908</v>
      </c>
      <c r="BB21" s="68">
        <v>2754</v>
      </c>
      <c r="BC21" s="69">
        <v>15</v>
      </c>
      <c r="BD21" s="67"/>
      <c r="BE21" s="68"/>
      <c r="BF21" s="69"/>
      <c r="BG21" s="67"/>
      <c r="BH21" s="68"/>
      <c r="BI21" s="69"/>
      <c r="BJ21" s="67">
        <v>2670</v>
      </c>
      <c r="BK21" s="68">
        <v>2486</v>
      </c>
      <c r="BL21" s="69">
        <v>20.3</v>
      </c>
      <c r="BM21" s="67">
        <v>3016</v>
      </c>
      <c r="BN21" s="68">
        <v>2789</v>
      </c>
      <c r="BO21" s="69">
        <v>22</v>
      </c>
      <c r="BP21" s="67"/>
      <c r="BQ21" s="68"/>
      <c r="BR21" s="69"/>
      <c r="BS21" s="67">
        <v>2257</v>
      </c>
      <c r="BT21" s="68">
        <v>2116</v>
      </c>
      <c r="BU21" s="69">
        <v>18</v>
      </c>
      <c r="BV21" s="67"/>
      <c r="BW21" s="68"/>
      <c r="BX21" s="69"/>
      <c r="BY21" s="67">
        <v>2641</v>
      </c>
      <c r="BZ21" s="68">
        <v>2467</v>
      </c>
      <c r="CA21" s="69">
        <v>19</v>
      </c>
      <c r="CB21" s="83"/>
      <c r="CC21" s="84"/>
      <c r="CD21" s="85"/>
      <c r="CE21" s="83">
        <v>2367</v>
      </c>
      <c r="CF21" s="84">
        <v>2239</v>
      </c>
      <c r="CG21" s="85">
        <v>18</v>
      </c>
      <c r="CH21" s="83"/>
      <c r="CI21" s="84"/>
      <c r="CJ21" s="85"/>
      <c r="CK21" s="83">
        <v>2014</v>
      </c>
      <c r="CL21" s="84">
        <v>1933</v>
      </c>
      <c r="CM21" s="85">
        <v>14</v>
      </c>
      <c r="CN21" s="67"/>
      <c r="CO21" s="92">
        <f t="shared" si="1"/>
        <v>2702</v>
      </c>
      <c r="CP21" s="39">
        <f t="shared" si="2"/>
        <v>2524</v>
      </c>
      <c r="CQ21" s="31"/>
      <c r="CR21" s="32"/>
      <c r="CS21" s="92">
        <f t="shared" si="3"/>
        <v>19.05</v>
      </c>
      <c r="CT21" s="69"/>
    </row>
    <row r="22" spans="1:98" ht="15.75" thickBot="1">
      <c r="A22" s="67" t="s">
        <v>82</v>
      </c>
      <c r="B22" s="7" t="s">
        <v>159</v>
      </c>
      <c r="C22" s="68" t="s">
        <v>86</v>
      </c>
      <c r="D22" s="68" t="s">
        <v>160</v>
      </c>
      <c r="E22" s="67"/>
      <c r="F22" s="68"/>
      <c r="G22" s="68"/>
      <c r="H22" s="68"/>
      <c r="I22" s="67"/>
      <c r="J22" s="68">
        <v>265</v>
      </c>
      <c r="K22" s="68"/>
      <c r="L22" s="68">
        <v>25.6</v>
      </c>
      <c r="M22" s="67"/>
      <c r="N22" s="68">
        <v>91.8</v>
      </c>
      <c r="O22" s="68"/>
      <c r="P22" s="68">
        <v>8.9</v>
      </c>
      <c r="Q22" s="67"/>
      <c r="R22" s="68">
        <v>19.7</v>
      </c>
      <c r="S22" s="68"/>
      <c r="T22" s="69">
        <v>15.7</v>
      </c>
      <c r="U22" s="83"/>
      <c r="V22" s="84">
        <v>3</v>
      </c>
      <c r="W22" s="84"/>
      <c r="X22" s="85">
        <v>32.6</v>
      </c>
      <c r="Y22" s="83"/>
      <c r="Z22" s="84">
        <v>26.6</v>
      </c>
      <c r="AA22" s="84"/>
      <c r="AB22" s="85">
        <v>4.3</v>
      </c>
      <c r="AC22" s="217"/>
      <c r="AD22" s="73">
        <f t="shared" si="0"/>
        <v>71.11666666666666</v>
      </c>
      <c r="AE22" s="98"/>
      <c r="AF22" s="68"/>
      <c r="AG22" s="68"/>
      <c r="AH22" s="68"/>
      <c r="AI22" s="67"/>
      <c r="AJ22" s="68"/>
      <c r="AK22" s="69"/>
      <c r="AL22" s="67"/>
      <c r="AM22" s="68"/>
      <c r="AN22" s="69"/>
      <c r="AO22" s="67"/>
      <c r="AP22" s="68"/>
      <c r="AQ22" s="69"/>
      <c r="AR22" s="68"/>
      <c r="AS22" s="68"/>
      <c r="AT22" s="68"/>
      <c r="AU22" s="67">
        <v>5580</v>
      </c>
      <c r="AV22" s="68">
        <v>5213</v>
      </c>
      <c r="AW22" s="69">
        <v>19</v>
      </c>
      <c r="AX22" s="67"/>
      <c r="AY22" s="68"/>
      <c r="AZ22" s="69"/>
      <c r="BA22" s="67">
        <v>5776</v>
      </c>
      <c r="BB22" s="68">
        <v>5471</v>
      </c>
      <c r="BC22" s="69">
        <v>15</v>
      </c>
      <c r="BD22" s="67"/>
      <c r="BE22" s="68"/>
      <c r="BF22" s="69"/>
      <c r="BG22" s="67">
        <v>4925</v>
      </c>
      <c r="BH22" s="68">
        <v>4555</v>
      </c>
      <c r="BI22" s="69">
        <v>22</v>
      </c>
      <c r="BJ22" s="67"/>
      <c r="BK22" s="68"/>
      <c r="BL22" s="69"/>
      <c r="BM22" s="67">
        <v>5585</v>
      </c>
      <c r="BN22" s="68">
        <v>5200</v>
      </c>
      <c r="BO22" s="69">
        <v>20</v>
      </c>
      <c r="BP22" s="67"/>
      <c r="BQ22" s="68"/>
      <c r="BR22" s="69"/>
      <c r="BS22" s="67">
        <v>3432</v>
      </c>
      <c r="BT22" s="68">
        <v>3195</v>
      </c>
      <c r="BU22" s="69">
        <v>20</v>
      </c>
      <c r="BV22" s="67"/>
      <c r="BW22" s="68"/>
      <c r="BX22" s="69"/>
      <c r="BY22" s="67">
        <v>4423</v>
      </c>
      <c r="BZ22" s="68">
        <v>4090</v>
      </c>
      <c r="CA22" s="69">
        <v>22</v>
      </c>
      <c r="CB22" s="83"/>
      <c r="CC22" s="84"/>
      <c r="CD22" s="85"/>
      <c r="CE22" s="83">
        <v>2906</v>
      </c>
      <c r="CF22" s="84">
        <v>2748</v>
      </c>
      <c r="CG22" s="85">
        <v>18</v>
      </c>
      <c r="CH22" s="83"/>
      <c r="CI22" s="84"/>
      <c r="CJ22" s="85"/>
      <c r="CK22" s="83">
        <v>4225</v>
      </c>
      <c r="CL22" s="84">
        <v>4084</v>
      </c>
      <c r="CM22" s="85">
        <v>12</v>
      </c>
      <c r="CN22" s="67"/>
      <c r="CO22" s="98">
        <f t="shared" si="1"/>
        <v>4953.5</v>
      </c>
      <c r="CP22" s="70">
        <f t="shared" si="2"/>
        <v>4620.666666666667</v>
      </c>
      <c r="CQ22" s="67"/>
      <c r="CR22" s="69"/>
      <c r="CS22" s="98">
        <f t="shared" si="3"/>
        <v>19.666666666666668</v>
      </c>
      <c r="CT22" s="69"/>
    </row>
    <row r="23" spans="1:98" ht="15.75" thickBot="1">
      <c r="A23" s="31" t="s">
        <v>87</v>
      </c>
      <c r="B23" s="7" t="s">
        <v>159</v>
      </c>
      <c r="C23" t="s">
        <v>88</v>
      </c>
      <c r="D23" t="s">
        <v>162</v>
      </c>
      <c r="E23" s="31"/>
      <c r="I23" s="31">
        <v>7.6</v>
      </c>
      <c r="K23">
        <v>0.48</v>
      </c>
      <c r="M23" s="31"/>
      <c r="Q23" s="31"/>
      <c r="S23">
        <v>1.2</v>
      </c>
      <c r="T23" s="32"/>
      <c r="U23" s="78"/>
      <c r="W23" s="74">
        <v>5</v>
      </c>
      <c r="X23" s="79"/>
      <c r="Y23" s="78"/>
      <c r="AB23" s="79">
        <v>58.4</v>
      </c>
      <c r="AC23" s="215"/>
      <c r="AD23" s="73">
        <f t="shared" si="0"/>
        <v>3.0933333333333333</v>
      </c>
      <c r="AE23" s="39"/>
      <c r="AF23" s="31"/>
      <c r="AI23" s="31"/>
      <c r="AK23" s="32"/>
      <c r="AL23" s="31"/>
      <c r="AN23" s="32"/>
      <c r="AO23" s="31"/>
      <c r="AQ23" s="32"/>
      <c r="AR23" s="31">
        <v>16801</v>
      </c>
      <c r="AS23">
        <v>15803</v>
      </c>
      <c r="AT23">
        <v>17</v>
      </c>
      <c r="AU23" s="31"/>
      <c r="AW23" s="32"/>
      <c r="AX23" s="31">
        <v>15810</v>
      </c>
      <c r="AY23">
        <v>14874</v>
      </c>
      <c r="AZ23" s="32">
        <v>19.5</v>
      </c>
      <c r="BA23" s="31"/>
      <c r="BC23" s="32"/>
      <c r="BD23" s="31"/>
      <c r="BF23" s="32"/>
      <c r="BG23" s="31"/>
      <c r="BI23" s="32"/>
      <c r="BJ23" s="31"/>
      <c r="BL23" s="32"/>
      <c r="BM23" s="31"/>
      <c r="BO23" s="32"/>
      <c r="BP23" s="31"/>
      <c r="BR23" s="32"/>
      <c r="BS23" s="31"/>
      <c r="BU23" s="32"/>
      <c r="BV23" s="31">
        <v>15822</v>
      </c>
      <c r="BW23">
        <v>14820</v>
      </c>
      <c r="BX23" s="32">
        <v>18.3</v>
      </c>
      <c r="BY23" s="31"/>
      <c r="CA23" s="32"/>
      <c r="CB23" s="78"/>
      <c r="CD23" s="79"/>
      <c r="CE23" s="78"/>
      <c r="CG23" s="79"/>
      <c r="CH23" s="78"/>
      <c r="CJ23" s="79"/>
      <c r="CK23" s="78">
        <v>16244</v>
      </c>
      <c r="CL23" s="74">
        <v>15756</v>
      </c>
      <c r="CM23" s="79">
        <v>11</v>
      </c>
      <c r="CN23" s="31"/>
      <c r="CO23" s="92">
        <f t="shared" si="1"/>
        <v>16144.333333333334</v>
      </c>
      <c r="CP23" s="39">
        <f t="shared" si="2"/>
        <v>15165.666666666666</v>
      </c>
      <c r="CQ23" s="31"/>
      <c r="CR23" s="32"/>
      <c r="CS23" s="92">
        <f t="shared" si="3"/>
        <v>18.266666666666666</v>
      </c>
      <c r="CT23" s="32"/>
    </row>
    <row r="24" spans="1:98" ht="15.75" thickBot="1">
      <c r="A24" s="31"/>
      <c r="B24" s="7" t="s">
        <v>159</v>
      </c>
      <c r="D24" t="s">
        <v>41</v>
      </c>
      <c r="E24" s="31"/>
      <c r="I24" s="31">
        <v>6.2</v>
      </c>
      <c r="K24">
        <v>8.5</v>
      </c>
      <c r="M24" s="31"/>
      <c r="Q24" s="31"/>
      <c r="S24">
        <v>5.7</v>
      </c>
      <c r="T24" s="32"/>
      <c r="U24" s="78"/>
      <c r="X24" s="79"/>
      <c r="Y24" s="78"/>
      <c r="AB24" s="79"/>
      <c r="AC24" s="215"/>
      <c r="AD24" s="73">
        <f t="shared" si="0"/>
        <v>6.8</v>
      </c>
      <c r="AE24" s="39"/>
      <c r="AF24" s="31"/>
      <c r="AH24" s="32"/>
      <c r="AI24" s="31"/>
      <c r="AK24" s="32"/>
      <c r="AL24" s="31"/>
      <c r="AN24" s="32"/>
      <c r="AO24" s="31"/>
      <c r="AQ24" s="32"/>
      <c r="AR24" s="31"/>
      <c r="AT24" s="32"/>
      <c r="AU24" s="31"/>
      <c r="AW24" s="32"/>
      <c r="AX24" s="31"/>
      <c r="AZ24" s="32"/>
      <c r="BA24" s="31"/>
      <c r="BC24" s="32"/>
      <c r="BD24" s="31"/>
      <c r="BF24" s="32"/>
      <c r="BG24" s="31"/>
      <c r="BI24" s="32"/>
      <c r="BJ24" s="31"/>
      <c r="BL24" s="32"/>
      <c r="BM24" s="31"/>
      <c r="BO24" s="32"/>
      <c r="BP24" s="31"/>
      <c r="BR24" s="32"/>
      <c r="BS24" s="31"/>
      <c r="BU24" s="32"/>
      <c r="BV24" s="31"/>
      <c r="BX24" s="32"/>
      <c r="BY24" s="31"/>
      <c r="CA24" s="32"/>
      <c r="CB24" s="78"/>
      <c r="CD24" s="79"/>
      <c r="CE24" s="78"/>
      <c r="CG24" s="79"/>
      <c r="CH24" s="78"/>
      <c r="CJ24" s="79"/>
      <c r="CK24" s="78"/>
      <c r="CM24" s="79"/>
      <c r="CN24" s="31"/>
      <c r="CO24" s="92"/>
      <c r="CP24" s="39"/>
      <c r="CQ24" s="31"/>
      <c r="CR24" s="32"/>
      <c r="CS24" s="92"/>
      <c r="CT24" s="32"/>
    </row>
    <row r="25" spans="1:98" ht="15.75" thickBot="1">
      <c r="A25" s="31"/>
      <c r="B25" s="7" t="s">
        <v>159</v>
      </c>
      <c r="D25" t="s">
        <v>34</v>
      </c>
      <c r="E25" s="31"/>
      <c r="I25" s="31">
        <v>487</v>
      </c>
      <c r="K25">
        <v>347</v>
      </c>
      <c r="M25" s="31"/>
      <c r="Q25" s="31"/>
      <c r="S25">
        <v>385</v>
      </c>
      <c r="T25" s="32"/>
      <c r="U25" s="78"/>
      <c r="W25" s="74">
        <v>1016</v>
      </c>
      <c r="X25" s="79"/>
      <c r="Y25" s="78"/>
      <c r="AB25" s="79">
        <v>997</v>
      </c>
      <c r="AC25" s="215"/>
      <c r="AD25" s="73">
        <f t="shared" si="0"/>
        <v>406.33333333333331</v>
      </c>
      <c r="AE25" s="39"/>
      <c r="AF25" s="31"/>
      <c r="AH25" s="32"/>
      <c r="AI25" s="31"/>
      <c r="AK25" s="32"/>
      <c r="AL25" s="31"/>
      <c r="AN25" s="32"/>
      <c r="AO25" s="31"/>
      <c r="AQ25" s="32"/>
      <c r="AR25" s="31"/>
      <c r="AT25" s="32"/>
      <c r="AU25" s="31"/>
      <c r="AW25" s="32"/>
      <c r="AX25" s="31"/>
      <c r="AZ25" s="32"/>
      <c r="BA25" s="31"/>
      <c r="BC25" s="32"/>
      <c r="BD25" s="31"/>
      <c r="BF25" s="32"/>
      <c r="BG25" s="31"/>
      <c r="BI25" s="32"/>
      <c r="BJ25" s="31"/>
      <c r="BL25" s="32"/>
      <c r="BM25" s="31"/>
      <c r="BO25" s="32"/>
      <c r="BP25" s="31"/>
      <c r="BR25" s="32"/>
      <c r="BS25" s="31"/>
      <c r="BU25" s="32"/>
      <c r="BV25" s="31"/>
      <c r="BX25" s="32"/>
      <c r="BY25" s="31"/>
      <c r="CA25" s="32"/>
      <c r="CB25" s="78"/>
      <c r="CD25" s="79"/>
      <c r="CE25" s="78"/>
      <c r="CG25" s="79"/>
      <c r="CH25" s="78"/>
      <c r="CJ25" s="79"/>
      <c r="CK25" s="78"/>
      <c r="CM25" s="79"/>
      <c r="CN25" s="31"/>
      <c r="CO25" s="92"/>
      <c r="CP25" s="39"/>
      <c r="CQ25" s="31"/>
      <c r="CR25" s="32"/>
      <c r="CS25" s="92"/>
      <c r="CT25" s="32"/>
    </row>
    <row r="26" spans="1:98" ht="15.75" thickBot="1">
      <c r="A26" s="31"/>
      <c r="B26" s="7" t="s">
        <v>159</v>
      </c>
      <c r="E26" s="31"/>
      <c r="I26" s="31"/>
      <c r="M26" s="31"/>
      <c r="Q26" s="31"/>
      <c r="T26" s="32"/>
      <c r="U26" s="78"/>
      <c r="X26" s="79"/>
      <c r="Y26" s="78"/>
      <c r="AB26" s="79"/>
      <c r="AC26" s="215"/>
      <c r="AD26" s="73"/>
      <c r="AE26" s="39"/>
      <c r="AF26" s="31"/>
      <c r="AH26" s="32"/>
      <c r="AI26" s="31"/>
      <c r="AK26" s="32"/>
      <c r="AL26" s="31"/>
      <c r="AN26" s="32"/>
      <c r="AO26" s="31"/>
      <c r="AQ26" s="32"/>
      <c r="AR26" s="31"/>
      <c r="AT26" s="32"/>
      <c r="AU26" s="31"/>
      <c r="AW26" s="32"/>
      <c r="AX26" s="31"/>
      <c r="AZ26" s="32"/>
      <c r="BA26" s="31"/>
      <c r="BC26" s="32"/>
      <c r="BD26" s="31"/>
      <c r="BF26" s="32"/>
      <c r="BG26" s="31"/>
      <c r="BI26" s="32"/>
      <c r="BJ26" s="31"/>
      <c r="BL26" s="32"/>
      <c r="BM26" s="31"/>
      <c r="BO26" s="32"/>
      <c r="BP26" s="31"/>
      <c r="BR26" s="32"/>
      <c r="BS26" s="31"/>
      <c r="BU26" s="32"/>
      <c r="BV26" s="31"/>
      <c r="BX26" s="32"/>
      <c r="BY26" s="31"/>
      <c r="CA26" s="32"/>
      <c r="CB26" s="78"/>
      <c r="CD26" s="79"/>
      <c r="CE26" s="78"/>
      <c r="CG26" s="79"/>
      <c r="CH26" s="78"/>
      <c r="CJ26" s="79"/>
      <c r="CK26" s="78"/>
      <c r="CM26" s="79"/>
      <c r="CN26" s="31"/>
      <c r="CO26" s="92"/>
      <c r="CP26" s="39"/>
      <c r="CQ26" s="31"/>
      <c r="CR26" s="32"/>
      <c r="CS26" s="92"/>
      <c r="CT26" s="32"/>
    </row>
    <row r="27" spans="1:98" ht="15.75" thickBot="1">
      <c r="A27" s="9" t="s">
        <v>87</v>
      </c>
      <c r="B27" s="7" t="s">
        <v>159</v>
      </c>
      <c r="C27" s="7" t="s">
        <v>89</v>
      </c>
      <c r="D27" s="7" t="s">
        <v>163</v>
      </c>
      <c r="E27" s="9"/>
      <c r="F27" s="7"/>
      <c r="G27" s="7"/>
      <c r="H27" s="7"/>
      <c r="I27" s="9"/>
      <c r="J27" s="7"/>
      <c r="K27" s="7">
        <v>14.4</v>
      </c>
      <c r="L27" s="7"/>
      <c r="M27" s="9"/>
      <c r="N27" s="7"/>
      <c r="O27" s="7">
        <v>41.4</v>
      </c>
      <c r="P27" s="7"/>
      <c r="Q27" s="9"/>
      <c r="R27" s="7"/>
      <c r="S27" s="7">
        <v>12.3</v>
      </c>
      <c r="T27" s="8"/>
      <c r="U27" s="75"/>
      <c r="V27" s="76"/>
      <c r="W27" s="76">
        <v>21.9</v>
      </c>
      <c r="X27" s="77"/>
      <c r="Y27" s="75"/>
      <c r="Z27" s="76"/>
      <c r="AA27" s="76"/>
      <c r="AB27" s="77">
        <v>12.2</v>
      </c>
      <c r="AC27" s="91"/>
      <c r="AD27" s="73">
        <f t="shared" si="0"/>
        <v>22.7</v>
      </c>
      <c r="AE27" s="65"/>
      <c r="AF27" s="9"/>
      <c r="AG27" s="7"/>
      <c r="AH27" s="8"/>
      <c r="AI27" s="9"/>
      <c r="AJ27" s="7"/>
      <c r="AK27" s="8"/>
      <c r="AL27" s="9"/>
      <c r="AM27" s="7"/>
      <c r="AN27" s="8"/>
      <c r="AO27" s="9"/>
      <c r="AP27" s="7"/>
      <c r="AQ27" s="8"/>
      <c r="AR27" s="9"/>
      <c r="AS27" s="7"/>
      <c r="AT27" s="8"/>
      <c r="AU27" s="9"/>
      <c r="AV27" s="7"/>
      <c r="AW27" s="8"/>
      <c r="AX27" s="9">
        <v>14020</v>
      </c>
      <c r="AY27" s="7">
        <v>13033</v>
      </c>
      <c r="AZ27" s="8">
        <v>23.3</v>
      </c>
      <c r="BA27" s="9"/>
      <c r="BB27" s="7"/>
      <c r="BC27" s="8"/>
      <c r="BD27" s="9"/>
      <c r="BE27" s="7"/>
      <c r="BF27" s="8"/>
      <c r="BG27" s="9"/>
      <c r="BH27" s="7"/>
      <c r="BI27" s="8"/>
      <c r="BJ27" s="9"/>
      <c r="BK27" s="7"/>
      <c r="BL27" s="8"/>
      <c r="BM27" s="9"/>
      <c r="BN27" s="7"/>
      <c r="BO27" s="8"/>
      <c r="BP27" s="9"/>
      <c r="BQ27" s="7"/>
      <c r="BR27" s="8"/>
      <c r="BS27" s="9"/>
      <c r="BT27" s="7"/>
      <c r="BU27" s="8"/>
      <c r="BV27" s="9">
        <v>16153</v>
      </c>
      <c r="BW27" s="7">
        <v>14732</v>
      </c>
      <c r="BX27" s="8">
        <v>26</v>
      </c>
      <c r="BY27" s="9"/>
      <c r="BZ27" s="7"/>
      <c r="CA27" s="8"/>
      <c r="CB27" s="75"/>
      <c r="CC27" s="76"/>
      <c r="CD27" s="77"/>
      <c r="CE27" s="75"/>
      <c r="CF27" s="76"/>
      <c r="CG27" s="77"/>
      <c r="CH27" s="75"/>
      <c r="CI27" s="76"/>
      <c r="CJ27" s="77"/>
      <c r="CK27" s="75">
        <v>14274</v>
      </c>
      <c r="CL27" s="76">
        <v>13562</v>
      </c>
      <c r="CM27" s="77">
        <v>17</v>
      </c>
      <c r="CN27" s="9"/>
      <c r="CO27" s="97">
        <f t="shared" si="1"/>
        <v>15086.5</v>
      </c>
      <c r="CP27" s="65">
        <f t="shared" si="2"/>
        <v>13882.5</v>
      </c>
      <c r="CQ27" s="9"/>
      <c r="CR27" s="8"/>
      <c r="CS27" s="97">
        <f t="shared" si="3"/>
        <v>24.65</v>
      </c>
      <c r="CT27" s="8"/>
    </row>
    <row r="28" spans="1:98" ht="15.75" thickBot="1">
      <c r="A28" s="31"/>
      <c r="B28" s="7" t="s">
        <v>159</v>
      </c>
      <c r="D28" t="s">
        <v>33</v>
      </c>
      <c r="E28" s="31"/>
      <c r="I28" s="31"/>
      <c r="K28">
        <v>4.8</v>
      </c>
      <c r="M28" s="31"/>
      <c r="O28">
        <v>12.4</v>
      </c>
      <c r="Q28" s="31"/>
      <c r="S28">
        <v>2.2999999999999998</v>
      </c>
      <c r="T28" s="32"/>
      <c r="U28" s="78"/>
      <c r="W28" s="74">
        <v>4.8</v>
      </c>
      <c r="X28" s="79"/>
      <c r="Y28" s="78"/>
      <c r="AB28" s="79">
        <v>8.9</v>
      </c>
      <c r="AC28" s="215"/>
      <c r="AD28" s="73">
        <f t="shared" si="0"/>
        <v>6.5</v>
      </c>
      <c r="AE28" s="39"/>
      <c r="AF28" s="31"/>
      <c r="AH28" s="32"/>
      <c r="AI28" s="31"/>
      <c r="AK28" s="32"/>
      <c r="AL28" s="31"/>
      <c r="AN28" s="32"/>
      <c r="AO28" s="31"/>
      <c r="AQ28" s="32"/>
      <c r="AR28" s="31"/>
      <c r="AT28" s="32"/>
      <c r="AU28" s="31"/>
      <c r="AW28" s="32"/>
      <c r="AX28" s="31"/>
      <c r="AZ28" s="32"/>
      <c r="BA28" s="31"/>
      <c r="BC28" s="32"/>
      <c r="BD28" s="31"/>
      <c r="BF28" s="32"/>
      <c r="BG28" s="31"/>
      <c r="BI28" s="32"/>
      <c r="BJ28" s="31"/>
      <c r="BL28" s="32"/>
      <c r="BM28" s="31"/>
      <c r="BO28" s="32"/>
      <c r="BP28" s="31"/>
      <c r="BR28" s="32"/>
      <c r="BS28" s="31"/>
      <c r="BU28" s="32"/>
      <c r="BV28" s="31"/>
      <c r="BX28" s="32"/>
      <c r="BY28" s="31"/>
      <c r="CA28" s="32"/>
      <c r="CB28" s="78"/>
      <c r="CD28" s="79"/>
      <c r="CE28" s="78"/>
      <c r="CG28" s="79"/>
      <c r="CH28" s="78"/>
      <c r="CJ28" s="79"/>
      <c r="CK28" s="78"/>
      <c r="CM28" s="79"/>
      <c r="CN28" s="31"/>
      <c r="CO28" s="92"/>
      <c r="CP28" s="39"/>
      <c r="CQ28" s="31"/>
      <c r="CR28" s="32"/>
      <c r="CS28" s="92"/>
      <c r="CT28" s="32"/>
    </row>
    <row r="29" spans="1:98" ht="15.75" thickBot="1">
      <c r="A29" s="31"/>
      <c r="B29" s="7" t="s">
        <v>159</v>
      </c>
      <c r="D29" t="s">
        <v>32</v>
      </c>
      <c r="E29" s="31"/>
      <c r="I29" s="31"/>
      <c r="K29">
        <v>1.5</v>
      </c>
      <c r="M29" s="31"/>
      <c r="O29">
        <v>6</v>
      </c>
      <c r="Q29" s="31"/>
      <c r="S29">
        <v>7.2</v>
      </c>
      <c r="T29" s="32"/>
      <c r="U29" s="78"/>
      <c r="W29" s="74">
        <v>51.9</v>
      </c>
      <c r="X29" s="79"/>
      <c r="Y29" s="78"/>
      <c r="AB29" s="79">
        <v>171</v>
      </c>
      <c r="AC29" s="215"/>
      <c r="AD29" s="73">
        <f t="shared" si="0"/>
        <v>4.8999999999999995</v>
      </c>
      <c r="AE29" s="39"/>
      <c r="AF29" s="31"/>
      <c r="AH29" s="32"/>
      <c r="AI29" s="31"/>
      <c r="AK29" s="32"/>
      <c r="AL29" s="31"/>
      <c r="AN29" s="32"/>
      <c r="AO29" s="31"/>
      <c r="AQ29" s="32"/>
      <c r="AR29" s="31"/>
      <c r="AT29" s="32"/>
      <c r="AU29" s="31"/>
      <c r="AW29" s="32"/>
      <c r="AX29" s="31"/>
      <c r="AZ29" s="32"/>
      <c r="BA29" s="31"/>
      <c r="BC29" s="32"/>
      <c r="BD29" s="31"/>
      <c r="BF29" s="32"/>
      <c r="BG29" s="31"/>
      <c r="BI29" s="32"/>
      <c r="BJ29" s="31"/>
      <c r="BL29" s="32"/>
      <c r="BM29" s="31"/>
      <c r="BO29" s="32"/>
      <c r="BP29" s="31"/>
      <c r="BR29" s="32"/>
      <c r="BS29" s="31"/>
      <c r="BU29" s="32"/>
      <c r="BV29" s="31"/>
      <c r="BX29" s="32"/>
      <c r="BY29" s="31"/>
      <c r="CA29" s="32"/>
      <c r="CB29" s="78"/>
      <c r="CD29" s="79"/>
      <c r="CE29" s="78"/>
      <c r="CG29" s="79"/>
      <c r="CH29" s="78"/>
      <c r="CJ29" s="79"/>
      <c r="CK29" s="78"/>
      <c r="CM29" s="79"/>
      <c r="CN29" s="31"/>
      <c r="CO29" s="92"/>
      <c r="CP29" s="39"/>
      <c r="CQ29" s="31"/>
      <c r="CR29" s="32"/>
      <c r="CS29" s="92"/>
      <c r="CT29" s="32"/>
    </row>
    <row r="30" spans="1:98" ht="15.75" thickBot="1">
      <c r="A30" s="31"/>
      <c r="B30" s="7" t="s">
        <v>159</v>
      </c>
      <c r="D30" t="s">
        <v>37</v>
      </c>
      <c r="E30" s="31"/>
      <c r="I30" s="31"/>
      <c r="K30">
        <v>0.46</v>
      </c>
      <c r="M30" s="31"/>
      <c r="O30">
        <v>1.1000000000000001</v>
      </c>
      <c r="Q30" s="31"/>
      <c r="S30">
        <v>3.3</v>
      </c>
      <c r="T30" s="32"/>
      <c r="U30" s="78"/>
      <c r="W30" s="74">
        <v>1.1000000000000001</v>
      </c>
      <c r="X30" s="79"/>
      <c r="Y30" s="78"/>
      <c r="AB30" s="79">
        <v>3.1</v>
      </c>
      <c r="AC30" s="215"/>
      <c r="AD30" s="73">
        <f t="shared" si="0"/>
        <v>1.6199999999999999</v>
      </c>
      <c r="AE30" s="39"/>
      <c r="AF30" s="31"/>
      <c r="AH30" s="32"/>
      <c r="AI30" s="31"/>
      <c r="AK30" s="32"/>
      <c r="AL30" s="31"/>
      <c r="AN30" s="32"/>
      <c r="AO30" s="31"/>
      <c r="AQ30" s="32"/>
      <c r="AR30" s="31"/>
      <c r="AT30" s="32"/>
      <c r="AU30" s="31"/>
      <c r="AW30" s="32"/>
      <c r="AX30" s="31"/>
      <c r="AZ30" s="32"/>
      <c r="BA30" s="31"/>
      <c r="BC30" s="32"/>
      <c r="BD30" s="31"/>
      <c r="BF30" s="32"/>
      <c r="BG30" s="31"/>
      <c r="BI30" s="32"/>
      <c r="BJ30" s="31"/>
      <c r="BL30" s="32"/>
      <c r="BM30" s="31"/>
      <c r="BO30" s="32"/>
      <c r="BP30" s="31"/>
      <c r="BR30" s="32"/>
      <c r="BS30" s="31"/>
      <c r="BU30" s="32"/>
      <c r="BV30" s="31"/>
      <c r="BX30" s="32"/>
      <c r="BY30" s="31"/>
      <c r="CA30" s="32"/>
      <c r="CB30" s="78"/>
      <c r="CD30" s="79"/>
      <c r="CE30" s="78"/>
      <c r="CG30" s="79"/>
      <c r="CH30" s="78"/>
      <c r="CJ30" s="79"/>
      <c r="CK30" s="78"/>
      <c r="CM30" s="79"/>
      <c r="CN30" s="31"/>
      <c r="CO30" s="92"/>
      <c r="CP30" s="39"/>
      <c r="CQ30" s="31"/>
      <c r="CR30" s="32"/>
      <c r="CS30" s="92"/>
      <c r="CT30" s="32"/>
    </row>
    <row r="31" spans="1:98" ht="15.75" thickBot="1">
      <c r="A31" s="31"/>
      <c r="B31" s="7" t="s">
        <v>159</v>
      </c>
      <c r="D31" t="s">
        <v>141</v>
      </c>
      <c r="E31" s="31"/>
      <c r="I31" s="31"/>
      <c r="K31" s="71">
        <v>1891</v>
      </c>
      <c r="M31" s="31"/>
      <c r="O31">
        <v>17.8</v>
      </c>
      <c r="Q31" s="31"/>
      <c r="S31">
        <v>5.9</v>
      </c>
      <c r="T31" s="32"/>
      <c r="U31" s="78"/>
      <c r="W31" s="74">
        <v>6</v>
      </c>
      <c r="X31" s="79"/>
      <c r="Y31" s="78"/>
      <c r="AB31" s="79">
        <v>22.7</v>
      </c>
      <c r="AC31" s="215"/>
      <c r="AD31" s="73">
        <f>AVERAGE(M31:T31)</f>
        <v>11.850000000000001</v>
      </c>
      <c r="AE31" s="39"/>
      <c r="AF31" s="31"/>
      <c r="AH31" s="32"/>
      <c r="AI31" s="31"/>
      <c r="AK31" s="32"/>
      <c r="AL31" s="31"/>
      <c r="AN31" s="32"/>
      <c r="AO31" s="31"/>
      <c r="AQ31" s="32"/>
      <c r="AR31" s="31"/>
      <c r="AT31" s="32"/>
      <c r="AU31" s="31"/>
      <c r="AW31" s="32"/>
      <c r="AX31" s="31"/>
      <c r="AZ31" s="32"/>
      <c r="BA31" s="31"/>
      <c r="BC31" s="32"/>
      <c r="BD31" s="31"/>
      <c r="BF31" s="32"/>
      <c r="BG31" s="31"/>
      <c r="BI31" s="32"/>
      <c r="BJ31" s="31"/>
      <c r="BL31" s="32"/>
      <c r="BM31" s="31"/>
      <c r="BO31" s="32"/>
      <c r="BP31" s="31"/>
      <c r="BR31" s="32"/>
      <c r="BS31" s="31"/>
      <c r="BU31" s="32"/>
      <c r="BV31" s="31"/>
      <c r="BX31" s="32"/>
      <c r="BY31" s="31"/>
      <c r="CA31" s="32"/>
      <c r="CB31" s="78"/>
      <c r="CD31" s="79"/>
      <c r="CE31" s="78"/>
      <c r="CG31" s="79"/>
      <c r="CH31" s="78"/>
      <c r="CJ31" s="79"/>
      <c r="CK31" s="78"/>
      <c r="CM31" s="79"/>
      <c r="CN31" s="31"/>
      <c r="CO31" s="92"/>
      <c r="CP31" s="39"/>
      <c r="CQ31" s="31"/>
      <c r="CR31" s="32"/>
      <c r="CS31" s="92"/>
      <c r="CT31" s="32"/>
    </row>
    <row r="32" spans="1:98" ht="15.75" thickBot="1">
      <c r="A32" t="s">
        <v>90</v>
      </c>
      <c r="B32" s="7" t="s">
        <v>159</v>
      </c>
      <c r="C32" t="s">
        <v>91</v>
      </c>
      <c r="E32" s="31"/>
      <c r="I32" s="31"/>
      <c r="M32" s="31"/>
      <c r="Q32" s="31"/>
      <c r="T32" s="32"/>
      <c r="U32" s="78"/>
      <c r="X32" s="79"/>
      <c r="Y32" s="78"/>
      <c r="AB32" s="79"/>
      <c r="AC32" s="216"/>
      <c r="AD32" s="73"/>
      <c r="AE32" s="39"/>
      <c r="AF32" s="31"/>
      <c r="AH32" s="32"/>
      <c r="AI32" s="31"/>
      <c r="AK32" s="32"/>
      <c r="AL32" s="31"/>
      <c r="AN32" s="32"/>
      <c r="AO32" s="31"/>
      <c r="AQ32" s="32"/>
      <c r="AR32" s="31"/>
      <c r="AT32" s="32"/>
      <c r="AU32" s="31"/>
      <c r="AW32" s="32"/>
      <c r="AX32" s="31"/>
      <c r="AZ32" s="32"/>
      <c r="BA32" s="31"/>
      <c r="BC32" s="32"/>
      <c r="BD32" s="31"/>
      <c r="BF32" s="32"/>
      <c r="BG32" s="31"/>
      <c r="BI32" s="32"/>
      <c r="BJ32" s="31"/>
      <c r="BL32" s="32"/>
      <c r="BM32" s="31"/>
      <c r="BO32" s="32"/>
      <c r="BP32" s="31"/>
      <c r="BR32" s="32"/>
      <c r="BS32" s="31"/>
      <c r="BU32" s="32"/>
      <c r="BV32" s="31"/>
      <c r="BX32" s="32"/>
      <c r="BY32" s="31"/>
      <c r="CA32" s="32"/>
      <c r="CB32" s="78"/>
      <c r="CD32" s="79"/>
      <c r="CE32" s="78"/>
      <c r="CG32" s="79"/>
      <c r="CH32" s="78"/>
      <c r="CJ32" s="79"/>
      <c r="CK32" s="78"/>
      <c r="CM32" s="79"/>
      <c r="CN32" s="31"/>
      <c r="CO32" s="93"/>
      <c r="CP32" s="66"/>
      <c r="CQ32" s="33"/>
      <c r="CR32" s="35"/>
      <c r="CS32" s="93"/>
      <c r="CT32" s="32"/>
    </row>
    <row r="33" spans="1:98" ht="15.75" thickBot="1">
      <c r="A33" s="9" t="s">
        <v>92</v>
      </c>
      <c r="B33" s="7" t="s">
        <v>159</v>
      </c>
      <c r="C33" s="7" t="s">
        <v>93</v>
      </c>
      <c r="D33" s="40" t="s">
        <v>32</v>
      </c>
      <c r="E33" s="9"/>
      <c r="F33" s="7"/>
      <c r="G33" s="7"/>
      <c r="H33" s="7"/>
      <c r="I33" s="9">
        <v>58.1</v>
      </c>
      <c r="J33" s="7">
        <v>26.6</v>
      </c>
      <c r="K33" s="7">
        <v>89.4</v>
      </c>
      <c r="L33" s="8">
        <v>320</v>
      </c>
      <c r="M33" s="7">
        <v>25.7</v>
      </c>
      <c r="N33" s="7">
        <v>0.9</v>
      </c>
      <c r="O33" s="7">
        <v>15.5</v>
      </c>
      <c r="P33" s="7">
        <v>2.9</v>
      </c>
      <c r="Q33" s="9">
        <v>41</v>
      </c>
      <c r="R33" s="7">
        <v>38.799999999999997</v>
      </c>
      <c r="S33" s="7">
        <v>199</v>
      </c>
      <c r="T33" s="8">
        <v>131.1</v>
      </c>
      <c r="U33" s="75"/>
      <c r="V33" s="76">
        <v>63.1</v>
      </c>
      <c r="W33" s="76">
        <v>13.8</v>
      </c>
      <c r="X33" s="77"/>
      <c r="Y33" s="75">
        <v>289</v>
      </c>
      <c r="Z33" s="76">
        <v>2</v>
      </c>
      <c r="AA33" s="76">
        <v>145.4</v>
      </c>
      <c r="AB33" s="77"/>
      <c r="AC33" s="8"/>
      <c r="AD33" s="73">
        <f t="shared" si="0"/>
        <v>79.083333333333329</v>
      </c>
      <c r="AE33" s="39"/>
      <c r="AF33" s="9"/>
      <c r="AG33" s="7"/>
      <c r="AH33" s="8"/>
      <c r="AI33" s="9"/>
      <c r="AJ33" s="7"/>
      <c r="AK33" s="8"/>
      <c r="AL33" s="9"/>
      <c r="AM33" s="7"/>
      <c r="AN33" s="8"/>
      <c r="AO33" s="9"/>
      <c r="AP33" s="7"/>
      <c r="AQ33" s="8"/>
      <c r="AR33" s="9">
        <v>26523</v>
      </c>
      <c r="AS33" s="7">
        <v>25130</v>
      </c>
      <c r="AT33" s="8">
        <v>15</v>
      </c>
      <c r="AU33" s="9">
        <v>27134</v>
      </c>
      <c r="AV33" s="7">
        <v>25270</v>
      </c>
      <c r="AW33" s="8">
        <v>20</v>
      </c>
      <c r="AX33" s="9">
        <v>29185</v>
      </c>
      <c r="AY33" s="7">
        <v>26551</v>
      </c>
      <c r="AZ33" s="8">
        <v>27</v>
      </c>
      <c r="BA33" s="9">
        <v>29067</v>
      </c>
      <c r="BB33" s="7">
        <v>27917</v>
      </c>
      <c r="BC33" s="8">
        <v>11</v>
      </c>
      <c r="BD33" s="9">
        <v>27254</v>
      </c>
      <c r="BE33" s="7">
        <v>24858</v>
      </c>
      <c r="BF33" s="8">
        <v>26</v>
      </c>
      <c r="BG33" s="9">
        <v>27347</v>
      </c>
      <c r="BH33" s="7">
        <v>25560</v>
      </c>
      <c r="BI33" s="8">
        <v>19</v>
      </c>
      <c r="BJ33" s="9">
        <v>27351</v>
      </c>
      <c r="BK33" s="7">
        <v>25300</v>
      </c>
      <c r="BL33" s="8">
        <v>22.1</v>
      </c>
      <c r="BM33" s="9">
        <v>28626</v>
      </c>
      <c r="BN33" s="7">
        <v>26878</v>
      </c>
      <c r="BO33" s="8">
        <v>17.399999999999999</v>
      </c>
      <c r="BP33" s="9">
        <v>31672</v>
      </c>
      <c r="BQ33" s="7">
        <v>28949</v>
      </c>
      <c r="BR33" s="8">
        <v>25.4</v>
      </c>
      <c r="BS33" s="9">
        <v>35616</v>
      </c>
      <c r="BT33" s="7">
        <v>32532</v>
      </c>
      <c r="BU33" s="8">
        <v>26</v>
      </c>
      <c r="BV33" s="9">
        <v>28166</v>
      </c>
      <c r="BW33" s="7">
        <v>26962</v>
      </c>
      <c r="BX33" s="8">
        <v>12</v>
      </c>
      <c r="BY33" s="9">
        <v>33979</v>
      </c>
      <c r="BZ33" s="7">
        <v>30111</v>
      </c>
      <c r="CA33" s="8">
        <v>35</v>
      </c>
      <c r="CB33" s="75">
        <v>31204</v>
      </c>
      <c r="CC33" s="76">
        <v>29527</v>
      </c>
      <c r="CD33" s="77">
        <v>17</v>
      </c>
      <c r="CE33" s="75">
        <v>29682</v>
      </c>
      <c r="CF33" s="76">
        <v>26986</v>
      </c>
      <c r="CG33" s="77">
        <v>31</v>
      </c>
      <c r="CH33" s="75">
        <v>30508</v>
      </c>
      <c r="CI33" s="76">
        <v>27590</v>
      </c>
      <c r="CJ33" s="77">
        <v>30</v>
      </c>
      <c r="CK33" s="75"/>
      <c r="CL33" s="76"/>
      <c r="CM33" s="77"/>
      <c r="CN33" s="9"/>
      <c r="CO33" s="92">
        <f t="shared" si="1"/>
        <v>29326.666666666668</v>
      </c>
      <c r="CP33" s="39">
        <f t="shared" si="2"/>
        <v>27168.166666666668</v>
      </c>
      <c r="CQ33" s="31"/>
      <c r="CR33" s="32"/>
      <c r="CS33" s="92">
        <f t="shared" si="3"/>
        <v>21.324999999999999</v>
      </c>
      <c r="CT33" s="32"/>
    </row>
    <row r="34" spans="1:98" ht="15.75" thickBot="1">
      <c r="A34" s="31"/>
      <c r="B34" s="7" t="s">
        <v>159</v>
      </c>
      <c r="D34" s="37" t="s">
        <v>164</v>
      </c>
      <c r="E34" s="31"/>
      <c r="I34" s="31">
        <v>0.94</v>
      </c>
      <c r="J34">
        <v>1</v>
      </c>
      <c r="K34">
        <v>2.2999999999999998</v>
      </c>
      <c r="L34" s="32">
        <v>0.74</v>
      </c>
      <c r="M34">
        <v>32</v>
      </c>
      <c r="N34">
        <v>5.7</v>
      </c>
      <c r="O34">
        <v>0.9</v>
      </c>
      <c r="P34">
        <v>0.71</v>
      </c>
      <c r="Q34" s="31">
        <v>0.52</v>
      </c>
      <c r="R34">
        <v>1.2</v>
      </c>
      <c r="S34">
        <v>0.15</v>
      </c>
      <c r="T34" s="32">
        <v>0.35</v>
      </c>
      <c r="U34" s="78"/>
      <c r="V34" s="74">
        <v>1.3</v>
      </c>
      <c r="W34" s="74">
        <v>1.4</v>
      </c>
      <c r="X34" s="79"/>
      <c r="Y34" s="78">
        <v>0.27</v>
      </c>
      <c r="Z34" s="74">
        <v>0.38</v>
      </c>
      <c r="AA34" s="74">
        <v>14.2</v>
      </c>
      <c r="AB34" s="79"/>
      <c r="AC34" s="32"/>
      <c r="AD34" s="73">
        <f t="shared" si="0"/>
        <v>3.8758333333333344</v>
      </c>
      <c r="AE34" s="39"/>
      <c r="AF34" s="31"/>
      <c r="AH34" s="32"/>
      <c r="AI34" s="31"/>
      <c r="AK34" s="32"/>
      <c r="AL34" s="31"/>
      <c r="AN34" s="32"/>
      <c r="AO34" s="31"/>
      <c r="AQ34" s="32"/>
      <c r="AR34" s="31"/>
      <c r="AT34" s="32"/>
      <c r="AU34" s="31"/>
      <c r="AW34" s="32"/>
      <c r="AX34" s="31"/>
      <c r="AZ34" s="32"/>
      <c r="BA34" s="31"/>
      <c r="BC34" s="32"/>
      <c r="BD34" s="31"/>
      <c r="BF34" s="32"/>
      <c r="BG34" s="31"/>
      <c r="BI34" s="32"/>
      <c r="BJ34" s="31"/>
      <c r="BL34" s="32"/>
      <c r="BM34" s="31"/>
      <c r="BO34" s="32"/>
      <c r="BP34" s="31"/>
      <c r="BR34" s="32"/>
      <c r="BS34" s="31"/>
      <c r="BU34" s="32"/>
      <c r="BV34" s="31"/>
      <c r="BX34" s="32"/>
      <c r="BY34" s="31"/>
      <c r="CA34" s="32"/>
      <c r="CB34" s="78"/>
      <c r="CD34" s="79"/>
      <c r="CE34" s="78"/>
      <c r="CG34" s="79"/>
      <c r="CH34" s="78"/>
      <c r="CJ34" s="79"/>
      <c r="CK34" s="78"/>
      <c r="CM34" s="79"/>
      <c r="CN34" s="31"/>
      <c r="CO34" s="92"/>
      <c r="CP34" s="39"/>
      <c r="CQ34" s="31"/>
      <c r="CR34" s="32"/>
      <c r="CS34" s="92"/>
      <c r="CT34" s="32"/>
    </row>
    <row r="35" spans="1:98" ht="15.75" thickBot="1">
      <c r="A35" s="31"/>
      <c r="B35" s="7" t="s">
        <v>159</v>
      </c>
      <c r="D35" s="37" t="s">
        <v>165</v>
      </c>
      <c r="E35" s="31"/>
      <c r="I35" s="31">
        <v>13.1</v>
      </c>
      <c r="J35">
        <v>0.69</v>
      </c>
      <c r="K35">
        <v>61.6</v>
      </c>
      <c r="L35" s="32">
        <v>1.2</v>
      </c>
      <c r="M35">
        <v>1</v>
      </c>
      <c r="N35">
        <v>2.6</v>
      </c>
      <c r="O35">
        <v>4.2</v>
      </c>
      <c r="P35">
        <v>10.5</v>
      </c>
      <c r="Q35" s="31">
        <v>1.5</v>
      </c>
      <c r="R35">
        <v>1.1000000000000001</v>
      </c>
      <c r="S35">
        <v>0.17</v>
      </c>
      <c r="T35" s="32">
        <v>1</v>
      </c>
      <c r="U35" s="78"/>
      <c r="V35" s="74">
        <v>1</v>
      </c>
      <c r="W35" s="74">
        <v>0.56000000000000005</v>
      </c>
      <c r="X35" s="79"/>
      <c r="Y35" s="78">
        <v>16.399999999999999</v>
      </c>
      <c r="Z35" s="74">
        <v>22.6</v>
      </c>
      <c r="AA35" s="74">
        <v>0.15</v>
      </c>
      <c r="AB35" s="79"/>
      <c r="AC35" s="32"/>
      <c r="AD35" s="73">
        <f t="shared" si="0"/>
        <v>8.2216666666666658</v>
      </c>
      <c r="AE35" s="39"/>
      <c r="AF35" s="31"/>
      <c r="AH35" s="32"/>
      <c r="AI35" s="31"/>
      <c r="AK35" s="32"/>
      <c r="AL35" s="31"/>
      <c r="AN35" s="32"/>
      <c r="AO35" s="31"/>
      <c r="AQ35" s="32"/>
      <c r="AR35" s="31"/>
      <c r="AT35" s="32"/>
      <c r="AU35" s="31"/>
      <c r="AW35" s="32"/>
      <c r="AX35" s="31"/>
      <c r="AZ35" s="32"/>
      <c r="BA35" s="31"/>
      <c r="BC35" s="32"/>
      <c r="BD35" s="31"/>
      <c r="BF35" s="32"/>
      <c r="BG35" s="31"/>
      <c r="BI35" s="32"/>
      <c r="BJ35" s="31"/>
      <c r="BL35" s="32"/>
      <c r="BM35" s="31"/>
      <c r="BO35" s="32"/>
      <c r="BP35" s="31"/>
      <c r="BR35" s="32"/>
      <c r="BS35" s="31"/>
      <c r="BU35" s="32"/>
      <c r="BV35" s="31"/>
      <c r="BX35" s="32"/>
      <c r="BY35" s="31"/>
      <c r="CA35" s="32"/>
      <c r="CB35" s="78"/>
      <c r="CD35" s="79"/>
      <c r="CE35" s="78"/>
      <c r="CG35" s="79"/>
      <c r="CH35" s="78"/>
      <c r="CJ35" s="79"/>
      <c r="CK35" s="78"/>
      <c r="CM35" s="79"/>
      <c r="CN35" s="31"/>
      <c r="CO35" s="92"/>
      <c r="CP35" s="39"/>
      <c r="CQ35" s="31"/>
      <c r="CR35" s="32"/>
      <c r="CS35" s="92"/>
      <c r="CT35" s="32"/>
    </row>
    <row r="36" spans="1:98" ht="15.75" thickBot="1">
      <c r="A36" s="40" t="s">
        <v>92</v>
      </c>
      <c r="B36" s="7" t="s">
        <v>159</v>
      </c>
      <c r="C36" s="41" t="s">
        <v>94</v>
      </c>
      <c r="D36" s="40" t="s">
        <v>32</v>
      </c>
      <c r="E36" s="9"/>
      <c r="F36" s="7"/>
      <c r="G36" s="7"/>
      <c r="H36" s="7"/>
      <c r="I36" s="40">
        <v>5</v>
      </c>
      <c r="J36" s="72">
        <v>211</v>
      </c>
      <c r="K36" s="41">
        <v>0.18</v>
      </c>
      <c r="L36" s="42">
        <v>29.1</v>
      </c>
      <c r="M36" s="41">
        <v>50.3</v>
      </c>
      <c r="N36" s="41">
        <v>54.7</v>
      </c>
      <c r="O36" s="41">
        <v>0.37</v>
      </c>
      <c r="P36" s="72">
        <v>291</v>
      </c>
      <c r="Q36" s="40">
        <v>16.600000000000001</v>
      </c>
      <c r="R36" s="72">
        <v>203</v>
      </c>
      <c r="S36" s="41">
        <v>1.2</v>
      </c>
      <c r="T36" s="42">
        <v>34.299999999999997</v>
      </c>
      <c r="U36" s="75"/>
      <c r="V36" s="76">
        <v>55.8</v>
      </c>
      <c r="W36" s="76">
        <v>402</v>
      </c>
      <c r="X36" s="77">
        <v>14.1</v>
      </c>
      <c r="Y36" s="75">
        <v>140</v>
      </c>
      <c r="Z36" s="76">
        <v>10.3</v>
      </c>
      <c r="AA36" s="76">
        <v>23.5</v>
      </c>
      <c r="AB36" s="77"/>
      <c r="AC36" s="8"/>
      <c r="AD36" s="86">
        <f t="shared" si="0"/>
        <v>74.729166666666671</v>
      </c>
      <c r="AE36" s="65"/>
      <c r="AF36" s="9"/>
      <c r="AG36" s="7"/>
      <c r="AH36" s="8"/>
      <c r="AI36" s="9"/>
      <c r="AJ36" s="7"/>
      <c r="AK36" s="8"/>
      <c r="AL36" s="9"/>
      <c r="AM36" s="7"/>
      <c r="AN36" s="8"/>
      <c r="AO36" s="9"/>
      <c r="AP36" s="7"/>
      <c r="AQ36" s="8"/>
      <c r="AR36" s="40">
        <v>26712</v>
      </c>
      <c r="AS36" s="41">
        <v>25047</v>
      </c>
      <c r="AT36" s="42">
        <v>18</v>
      </c>
      <c r="AU36" s="40">
        <v>21226</v>
      </c>
      <c r="AV36" s="41">
        <v>19234</v>
      </c>
      <c r="AW36" s="42">
        <v>28</v>
      </c>
      <c r="AX36" s="40">
        <v>29682</v>
      </c>
      <c r="AY36" s="41">
        <v>26726</v>
      </c>
      <c r="AZ36" s="42">
        <v>30</v>
      </c>
      <c r="BA36" s="40">
        <v>23068</v>
      </c>
      <c r="BB36" s="41">
        <v>22155</v>
      </c>
      <c r="BC36" s="42">
        <v>11</v>
      </c>
      <c r="BD36" s="40">
        <v>31486</v>
      </c>
      <c r="BE36" s="41">
        <v>29205</v>
      </c>
      <c r="BF36" s="42">
        <v>21</v>
      </c>
      <c r="BG36" s="40">
        <v>25499</v>
      </c>
      <c r="BH36" s="41">
        <v>23826</v>
      </c>
      <c r="BI36" s="42">
        <v>19</v>
      </c>
      <c r="BJ36" s="40">
        <v>31104</v>
      </c>
      <c r="BK36" s="41">
        <v>27861</v>
      </c>
      <c r="BL36" s="42">
        <v>31.8</v>
      </c>
      <c r="BM36" s="40">
        <v>28929</v>
      </c>
      <c r="BN36" s="41">
        <v>26567</v>
      </c>
      <c r="BO36" s="42">
        <v>24</v>
      </c>
      <c r="BP36" s="40">
        <v>28986</v>
      </c>
      <c r="BQ36" s="41">
        <v>27026</v>
      </c>
      <c r="BR36" s="42">
        <v>19.600000000000001</v>
      </c>
      <c r="BS36" s="40">
        <v>24953</v>
      </c>
      <c r="BT36" s="41">
        <v>23390</v>
      </c>
      <c r="BU36" s="42">
        <v>18</v>
      </c>
      <c r="BV36" s="40">
        <v>24541</v>
      </c>
      <c r="BW36" s="41">
        <v>23003</v>
      </c>
      <c r="BX36" s="42">
        <v>18.2</v>
      </c>
      <c r="BY36" s="40">
        <v>33375</v>
      </c>
      <c r="BZ36" s="41">
        <v>30057</v>
      </c>
      <c r="CA36" s="42">
        <v>30</v>
      </c>
      <c r="CB36" s="75">
        <v>31807</v>
      </c>
      <c r="CC36" s="76">
        <v>29389</v>
      </c>
      <c r="CD36" s="77">
        <v>24</v>
      </c>
      <c r="CE36" s="75">
        <v>30654</v>
      </c>
      <c r="CF36" s="76">
        <v>28531</v>
      </c>
      <c r="CG36" s="77">
        <v>24</v>
      </c>
      <c r="CH36" s="75">
        <v>22452</v>
      </c>
      <c r="CI36" s="76">
        <v>20884</v>
      </c>
      <c r="CJ36" s="77">
        <v>23</v>
      </c>
      <c r="CK36" s="75"/>
      <c r="CL36" s="76"/>
      <c r="CM36" s="77"/>
      <c r="CN36" s="40"/>
      <c r="CO36" s="97">
        <f t="shared" si="1"/>
        <v>27463.416666666668</v>
      </c>
      <c r="CP36" s="65">
        <f t="shared" si="2"/>
        <v>25341.416666666668</v>
      </c>
      <c r="CQ36" s="40"/>
      <c r="CR36" s="42"/>
      <c r="CS36" s="97">
        <f t="shared" si="3"/>
        <v>22.383333333333336</v>
      </c>
      <c r="CT36" s="42"/>
    </row>
    <row r="37" spans="1:98" ht="15.75" thickBot="1">
      <c r="A37" s="37"/>
      <c r="B37" s="7" t="s">
        <v>159</v>
      </c>
      <c r="C37" s="64"/>
      <c r="D37" s="37" t="s">
        <v>164</v>
      </c>
      <c r="E37" s="31"/>
      <c r="I37" s="37">
        <v>15.1</v>
      </c>
      <c r="J37" s="64">
        <v>27.3</v>
      </c>
      <c r="K37" s="64">
        <v>77</v>
      </c>
      <c r="L37" s="38">
        <v>7.8</v>
      </c>
      <c r="M37" s="64">
        <v>0.74</v>
      </c>
      <c r="N37" s="64">
        <v>58.4</v>
      </c>
      <c r="O37" s="71">
        <v>90.2</v>
      </c>
      <c r="P37" s="64">
        <v>1.3</v>
      </c>
      <c r="Q37" s="37">
        <v>0.46</v>
      </c>
      <c r="R37" s="64">
        <v>3.6</v>
      </c>
      <c r="S37" s="64">
        <v>0.69</v>
      </c>
      <c r="T37" s="38">
        <v>0.33</v>
      </c>
      <c r="U37" s="78"/>
      <c r="V37" s="74">
        <v>2.5</v>
      </c>
      <c r="W37" s="74">
        <v>1.4</v>
      </c>
      <c r="X37" s="79">
        <v>0.4</v>
      </c>
      <c r="Y37" s="78">
        <v>0.99</v>
      </c>
      <c r="Z37" s="74">
        <v>1.7</v>
      </c>
      <c r="AA37" s="74">
        <v>9.8000000000000007</v>
      </c>
      <c r="AB37" s="79"/>
      <c r="AC37" s="32"/>
      <c r="AD37" s="73">
        <f t="shared" si="0"/>
        <v>23.576666666666668</v>
      </c>
      <c r="AE37" s="39"/>
      <c r="AF37" s="31"/>
      <c r="AH37" s="32"/>
      <c r="AI37" s="31"/>
      <c r="AK37" s="32"/>
      <c r="AL37" s="31"/>
      <c r="AN37" s="32"/>
      <c r="AO37" s="31"/>
      <c r="AQ37" s="32"/>
      <c r="AR37" s="37"/>
      <c r="AS37" s="64"/>
      <c r="AT37" s="38"/>
      <c r="AU37" s="37"/>
      <c r="AV37" s="64"/>
      <c r="AW37" s="38"/>
      <c r="AX37" s="37"/>
      <c r="AY37" s="64"/>
      <c r="AZ37" s="38"/>
      <c r="BA37" s="37"/>
      <c r="BB37" s="64"/>
      <c r="BC37" s="38"/>
      <c r="BD37" s="37"/>
      <c r="BE37" s="64"/>
      <c r="BF37" s="38"/>
      <c r="BG37" s="37"/>
      <c r="BH37" s="64"/>
      <c r="BI37" s="38"/>
      <c r="BJ37" s="37"/>
      <c r="BK37" s="64"/>
      <c r="BL37" s="38"/>
      <c r="BM37" s="37"/>
      <c r="BN37" s="64"/>
      <c r="BO37" s="38"/>
      <c r="BP37" s="37"/>
      <c r="BQ37" s="64"/>
      <c r="BR37" s="38"/>
      <c r="BS37" s="37"/>
      <c r="BT37" s="64"/>
      <c r="BU37" s="38"/>
      <c r="BV37" s="37"/>
      <c r="BW37" s="64"/>
      <c r="BX37" s="38"/>
      <c r="BY37" s="37"/>
      <c r="BZ37" s="64"/>
      <c r="CA37" s="38"/>
      <c r="CB37" s="78"/>
      <c r="CD37" s="79"/>
      <c r="CE37" s="78"/>
      <c r="CG37" s="79"/>
      <c r="CH37" s="78"/>
      <c r="CJ37" s="79"/>
      <c r="CK37" s="78"/>
      <c r="CM37" s="79"/>
      <c r="CN37" s="37"/>
      <c r="CO37" s="92"/>
      <c r="CP37" s="39"/>
      <c r="CQ37" s="37"/>
      <c r="CR37" s="38"/>
      <c r="CS37" s="92"/>
      <c r="CT37" s="38"/>
    </row>
    <row r="38" spans="1:98" ht="15.75" thickBot="1">
      <c r="A38" s="37"/>
      <c r="B38" s="7" t="s">
        <v>159</v>
      </c>
      <c r="C38" s="64"/>
      <c r="D38" s="37" t="s">
        <v>165</v>
      </c>
      <c r="E38" s="31"/>
      <c r="I38" s="37">
        <v>1.4</v>
      </c>
      <c r="J38" s="64">
        <v>0.14000000000000001</v>
      </c>
      <c r="K38" s="64">
        <v>0.54</v>
      </c>
      <c r="L38" s="38">
        <v>0.68</v>
      </c>
      <c r="M38" s="64">
        <v>6</v>
      </c>
      <c r="N38" s="64">
        <v>0.92</v>
      </c>
      <c r="O38" s="64">
        <v>1</v>
      </c>
      <c r="P38" s="64">
        <v>1.9</v>
      </c>
      <c r="Q38" s="37">
        <v>0.27</v>
      </c>
      <c r="R38" s="71">
        <v>19.3</v>
      </c>
      <c r="S38" s="64">
        <v>2.5</v>
      </c>
      <c r="T38" s="38">
        <v>1</v>
      </c>
      <c r="U38" s="78"/>
      <c r="V38" s="74">
        <v>14.5</v>
      </c>
      <c r="W38" s="74">
        <v>77.8</v>
      </c>
      <c r="X38" s="79">
        <v>8.5</v>
      </c>
      <c r="Y38" s="78">
        <v>0.34</v>
      </c>
      <c r="Z38" s="74">
        <v>43.6</v>
      </c>
      <c r="AA38" s="74">
        <v>5.4</v>
      </c>
      <c r="AB38" s="79"/>
      <c r="AC38" s="32"/>
      <c r="AD38" s="73">
        <f t="shared" si="0"/>
        <v>2.9708333333333332</v>
      </c>
      <c r="AE38" s="39"/>
      <c r="AF38" s="31"/>
      <c r="AH38" s="32"/>
      <c r="AI38" s="31"/>
      <c r="AK38" s="32"/>
      <c r="AL38" s="31"/>
      <c r="AN38" s="32"/>
      <c r="AO38" s="31"/>
      <c r="AQ38" s="32"/>
      <c r="AR38" s="37"/>
      <c r="AS38" s="64"/>
      <c r="AT38" s="38"/>
      <c r="AU38" s="37"/>
      <c r="AV38" s="64"/>
      <c r="AW38" s="38"/>
      <c r="AX38" s="37"/>
      <c r="AY38" s="64"/>
      <c r="AZ38" s="38"/>
      <c r="BA38" s="37"/>
      <c r="BB38" s="64"/>
      <c r="BC38" s="38"/>
      <c r="BD38" s="37"/>
      <c r="BE38" s="64"/>
      <c r="BF38" s="38"/>
      <c r="BG38" s="37"/>
      <c r="BH38" s="64"/>
      <c r="BI38" s="38"/>
      <c r="BJ38" s="37"/>
      <c r="BK38" s="64"/>
      <c r="BL38" s="38"/>
      <c r="BM38" s="37"/>
      <c r="BN38" s="64"/>
      <c r="BO38" s="38"/>
      <c r="BP38" s="37"/>
      <c r="BQ38" s="64"/>
      <c r="BR38" s="38"/>
      <c r="BS38" s="37"/>
      <c r="BT38" s="64"/>
      <c r="BU38" s="38"/>
      <c r="BV38" s="37"/>
      <c r="BW38" s="64"/>
      <c r="BX38" s="38"/>
      <c r="BY38" s="37"/>
      <c r="BZ38" s="64"/>
      <c r="CA38" s="38"/>
      <c r="CB38" s="78"/>
      <c r="CD38" s="79"/>
      <c r="CE38" s="78"/>
      <c r="CG38" s="79"/>
      <c r="CH38" s="78"/>
      <c r="CJ38" s="79"/>
      <c r="CK38" s="78"/>
      <c r="CM38" s="79"/>
      <c r="CN38" s="37"/>
      <c r="CO38" s="92"/>
      <c r="CP38" s="39"/>
      <c r="CQ38" s="37"/>
      <c r="CR38" s="38"/>
      <c r="CS38" s="92"/>
      <c r="CT38" s="38"/>
    </row>
    <row r="39" spans="1:98" ht="15.75" thickBot="1">
      <c r="A39" s="43"/>
      <c r="B39" s="7" t="s">
        <v>159</v>
      </c>
      <c r="C39" s="44"/>
      <c r="D39" s="44"/>
      <c r="E39" s="33"/>
      <c r="F39" s="34"/>
      <c r="G39" s="34"/>
      <c r="H39" s="34"/>
      <c r="I39" s="43"/>
      <c r="J39" s="44"/>
      <c r="K39" s="44"/>
      <c r="L39" s="44"/>
      <c r="M39" s="43"/>
      <c r="N39" s="44"/>
      <c r="O39" s="44"/>
      <c r="P39" s="44"/>
      <c r="Q39" s="43"/>
      <c r="R39" s="44"/>
      <c r="S39" s="44"/>
      <c r="T39" s="45"/>
      <c r="U39" s="80"/>
      <c r="V39" s="81"/>
      <c r="W39" s="81"/>
      <c r="X39" s="82"/>
      <c r="Y39" s="80"/>
      <c r="Z39" s="81"/>
      <c r="AA39" s="81"/>
      <c r="AB39" s="82"/>
      <c r="AC39" s="35"/>
      <c r="AD39" s="73"/>
      <c r="AE39" s="66"/>
      <c r="AF39" s="33"/>
      <c r="AG39" s="34"/>
      <c r="AH39" s="35"/>
      <c r="AI39" s="33"/>
      <c r="AJ39" s="34"/>
      <c r="AK39" s="35"/>
      <c r="AL39" s="33"/>
      <c r="AM39" s="34"/>
      <c r="AN39" s="35"/>
      <c r="AO39" s="33"/>
      <c r="AP39" s="34"/>
      <c r="AQ39" s="35"/>
      <c r="AR39" s="43"/>
      <c r="AS39" s="44"/>
      <c r="AT39" s="45"/>
      <c r="AU39" s="43"/>
      <c r="AV39" s="44"/>
      <c r="AW39" s="45"/>
      <c r="AX39" s="43"/>
      <c r="AY39" s="44"/>
      <c r="AZ39" s="45"/>
      <c r="BA39" s="43"/>
      <c r="BB39" s="44"/>
      <c r="BC39" s="45"/>
      <c r="BD39" s="43"/>
      <c r="BE39" s="44"/>
      <c r="BF39" s="45"/>
      <c r="BG39" s="43"/>
      <c r="BH39" s="44"/>
      <c r="BI39" s="45"/>
      <c r="BJ39" s="43"/>
      <c r="BK39" s="44"/>
      <c r="BL39" s="45"/>
      <c r="BM39" s="43"/>
      <c r="BN39" s="44"/>
      <c r="BO39" s="45"/>
      <c r="BP39" s="43"/>
      <c r="BQ39" s="44"/>
      <c r="BR39" s="45"/>
      <c r="BS39" s="43"/>
      <c r="BT39" s="44"/>
      <c r="BU39" s="45"/>
      <c r="BV39" s="43"/>
      <c r="BW39" s="44"/>
      <c r="BX39" s="45"/>
      <c r="BY39" s="43"/>
      <c r="BZ39" s="44"/>
      <c r="CA39" s="45"/>
      <c r="CB39" s="80"/>
      <c r="CC39" s="81"/>
      <c r="CD39" s="82"/>
      <c r="CE39" s="80"/>
      <c r="CF39" s="81"/>
      <c r="CG39" s="82"/>
      <c r="CH39" s="80"/>
      <c r="CI39" s="81"/>
      <c r="CJ39" s="82"/>
      <c r="CK39" s="80"/>
      <c r="CL39" s="81"/>
      <c r="CM39" s="82"/>
      <c r="CN39" s="43"/>
      <c r="CO39" s="93"/>
      <c r="CP39" s="66"/>
      <c r="CQ39" s="43"/>
      <c r="CR39" s="45"/>
      <c r="CS39" s="93"/>
      <c r="CT39" s="45"/>
    </row>
    <row r="40" spans="1:98" ht="15.75" thickBot="1">
      <c r="A40" s="9" t="s">
        <v>92</v>
      </c>
      <c r="B40" s="7" t="s">
        <v>159</v>
      </c>
      <c r="C40" s="7" t="s">
        <v>95</v>
      </c>
      <c r="D40" s="40" t="s">
        <v>32</v>
      </c>
      <c r="E40" s="9"/>
      <c r="F40" s="7"/>
      <c r="G40" s="7"/>
      <c r="H40" s="7"/>
      <c r="I40" s="9">
        <v>168</v>
      </c>
      <c r="J40" s="7">
        <v>63.1</v>
      </c>
      <c r="K40" s="7">
        <v>0.16</v>
      </c>
      <c r="L40" s="7">
        <v>283</v>
      </c>
      <c r="M40" s="9">
        <v>86.5</v>
      </c>
      <c r="N40" s="7"/>
      <c r="O40" s="7">
        <v>17.600000000000001</v>
      </c>
      <c r="P40" s="7">
        <v>304</v>
      </c>
      <c r="Q40" s="9">
        <v>107</v>
      </c>
      <c r="R40" s="72">
        <v>847</v>
      </c>
      <c r="S40" s="41">
        <v>246</v>
      </c>
      <c r="T40" s="8">
        <v>7.49</v>
      </c>
      <c r="U40" s="75"/>
      <c r="V40" s="76">
        <v>62.8</v>
      </c>
      <c r="W40" s="76">
        <v>273</v>
      </c>
      <c r="X40" s="77">
        <v>11.6</v>
      </c>
      <c r="Y40" s="75">
        <v>124</v>
      </c>
      <c r="Z40" s="76">
        <v>487</v>
      </c>
      <c r="AA40" s="76">
        <v>101.3</v>
      </c>
      <c r="AB40" s="77"/>
      <c r="AC40" s="8"/>
      <c r="AD40" s="73">
        <f>AVERAGE(I40:T40)</f>
        <v>193.62272727272727</v>
      </c>
      <c r="AE40" s="65"/>
      <c r="AF40" s="9"/>
      <c r="AG40" s="7"/>
      <c r="AH40" s="8"/>
      <c r="AI40" s="9"/>
      <c r="AJ40" s="7"/>
      <c r="AK40" s="8"/>
      <c r="AL40" s="9"/>
      <c r="AM40" s="7"/>
      <c r="AN40" s="8"/>
      <c r="AO40" s="9"/>
      <c r="AP40" s="7"/>
      <c r="AQ40" s="8"/>
      <c r="AR40" s="9">
        <v>33394</v>
      </c>
      <c r="AS40" s="7">
        <v>31106</v>
      </c>
      <c r="AT40" s="8">
        <v>20</v>
      </c>
      <c r="AU40" s="9">
        <v>28423</v>
      </c>
      <c r="AV40" s="7">
        <v>26237</v>
      </c>
      <c r="AW40" s="8">
        <v>22.5</v>
      </c>
      <c r="AX40" s="9">
        <v>34307</v>
      </c>
      <c r="AY40" s="7">
        <v>31410</v>
      </c>
      <c r="AZ40" s="8">
        <v>25</v>
      </c>
      <c r="BA40" s="9">
        <v>33122</v>
      </c>
      <c r="BB40" s="7">
        <v>30940</v>
      </c>
      <c r="BC40" s="8">
        <v>19</v>
      </c>
      <c r="BD40" s="9">
        <v>31252</v>
      </c>
      <c r="BE40" s="7">
        <v>29389</v>
      </c>
      <c r="BF40" s="8">
        <v>17</v>
      </c>
      <c r="BG40" s="9"/>
      <c r="BH40" s="7"/>
      <c r="BI40" s="8"/>
      <c r="BJ40" s="9">
        <v>30733</v>
      </c>
      <c r="BK40" s="7">
        <v>27561</v>
      </c>
      <c r="BL40" s="8">
        <v>31.4</v>
      </c>
      <c r="BM40" s="9">
        <v>35956</v>
      </c>
      <c r="BN40" s="7">
        <v>33492</v>
      </c>
      <c r="BO40" s="8">
        <v>19.899999999999999</v>
      </c>
      <c r="BP40" s="9"/>
      <c r="BQ40" s="7"/>
      <c r="BR40" s="8"/>
      <c r="BS40" s="9">
        <v>26834</v>
      </c>
      <c r="BT40" s="7">
        <v>25091</v>
      </c>
      <c r="BU40" s="8">
        <v>19</v>
      </c>
      <c r="BV40" s="9">
        <v>26549</v>
      </c>
      <c r="BW40" s="7">
        <v>25516</v>
      </c>
      <c r="BX40" s="8">
        <v>11</v>
      </c>
      <c r="BY40" s="9">
        <v>29805</v>
      </c>
      <c r="BZ40" s="7">
        <v>25992</v>
      </c>
      <c r="CA40" s="8">
        <v>40</v>
      </c>
      <c r="CB40" s="75">
        <v>26345</v>
      </c>
      <c r="CC40" s="76">
        <v>24938</v>
      </c>
      <c r="CD40" s="77">
        <v>15</v>
      </c>
      <c r="CE40" s="75">
        <v>36290</v>
      </c>
      <c r="CF40" s="76">
        <v>33225</v>
      </c>
      <c r="CG40" s="77">
        <v>25</v>
      </c>
      <c r="CH40" s="75">
        <v>37701</v>
      </c>
      <c r="CI40" s="76">
        <v>34751</v>
      </c>
      <c r="CJ40" s="77">
        <v>26</v>
      </c>
      <c r="CK40" s="75">
        <v>33786</v>
      </c>
      <c r="CL40" s="76">
        <v>31542</v>
      </c>
      <c r="CM40" s="77">
        <v>22</v>
      </c>
      <c r="CN40" s="9"/>
      <c r="CO40" s="92">
        <f t="shared" si="1"/>
        <v>31037.5</v>
      </c>
      <c r="CP40" s="39">
        <f t="shared" si="2"/>
        <v>28673.4</v>
      </c>
      <c r="CQ40" s="31"/>
      <c r="CR40" s="32"/>
      <c r="CS40" s="92">
        <f t="shared" si="3"/>
        <v>22.48</v>
      </c>
      <c r="CT40" s="8"/>
    </row>
    <row r="41" spans="1:98" ht="15.75" thickBot="1">
      <c r="A41" s="31"/>
      <c r="B41" s="7" t="s">
        <v>159</v>
      </c>
      <c r="D41" s="37" t="s">
        <v>164</v>
      </c>
      <c r="E41" s="31"/>
      <c r="I41" s="31">
        <v>6</v>
      </c>
      <c r="J41">
        <v>4.7</v>
      </c>
      <c r="K41" s="64">
        <v>15.2</v>
      </c>
      <c r="L41" s="64">
        <v>0.94</v>
      </c>
      <c r="M41" s="31">
        <v>0.85</v>
      </c>
      <c r="O41">
        <v>1.1000000000000001</v>
      </c>
      <c r="P41" s="64">
        <v>0.7</v>
      </c>
      <c r="Q41" s="31">
        <v>0.52</v>
      </c>
      <c r="R41" s="64">
        <v>1</v>
      </c>
      <c r="S41" s="64">
        <v>0.78</v>
      </c>
      <c r="T41" s="32">
        <v>0.36</v>
      </c>
      <c r="U41" s="78"/>
      <c r="V41" s="74">
        <v>2.7</v>
      </c>
      <c r="W41" s="74">
        <v>0.81</v>
      </c>
      <c r="X41" s="79">
        <v>0.39</v>
      </c>
      <c r="Y41" s="78">
        <v>0.27</v>
      </c>
      <c r="Z41" s="74">
        <v>12.3</v>
      </c>
      <c r="AA41" s="74">
        <v>8</v>
      </c>
      <c r="AB41" s="79">
        <v>1.1000000000000001</v>
      </c>
      <c r="AC41" s="32"/>
      <c r="AD41" s="73">
        <f t="shared" si="0"/>
        <v>2.9227272727272733</v>
      </c>
      <c r="AE41" s="39"/>
      <c r="AF41" s="31"/>
      <c r="AH41" s="32"/>
      <c r="AI41" s="31"/>
      <c r="AK41" s="32"/>
      <c r="AL41" s="31"/>
      <c r="AN41" s="32"/>
      <c r="AO41" s="31"/>
      <c r="AQ41" s="32"/>
      <c r="AR41" s="31"/>
      <c r="AT41" s="32"/>
      <c r="AU41" s="31"/>
      <c r="AW41" s="32"/>
      <c r="AX41" s="31"/>
      <c r="AZ41" s="32"/>
      <c r="BA41" s="31"/>
      <c r="BC41" s="32"/>
      <c r="BD41" s="31"/>
      <c r="BF41" s="32"/>
      <c r="BG41" s="31"/>
      <c r="BI41" s="32"/>
      <c r="BJ41" s="31"/>
      <c r="BL41" s="32"/>
      <c r="BM41" s="31"/>
      <c r="BO41" s="32"/>
      <c r="BP41" s="31"/>
      <c r="BR41" s="32"/>
      <c r="BS41" s="31"/>
      <c r="BU41" s="32"/>
      <c r="BV41" s="31"/>
      <c r="BX41" s="32"/>
      <c r="BY41" s="31"/>
      <c r="CA41" s="32"/>
      <c r="CB41" s="78"/>
      <c r="CD41" s="79"/>
      <c r="CE41" s="78"/>
      <c r="CG41" s="79"/>
      <c r="CH41" s="78"/>
      <c r="CJ41" s="79"/>
      <c r="CK41" s="78"/>
      <c r="CM41" s="79"/>
      <c r="CN41" s="31"/>
      <c r="CO41" s="92"/>
      <c r="CP41" s="39"/>
      <c r="CQ41" s="31"/>
      <c r="CR41" s="32"/>
      <c r="CS41" s="92"/>
      <c r="CT41" s="32"/>
    </row>
    <row r="42" spans="1:98" ht="15.75" thickBot="1">
      <c r="A42" s="33"/>
      <c r="B42" s="7" t="s">
        <v>159</v>
      </c>
      <c r="C42" s="34"/>
      <c r="D42" s="43" t="s">
        <v>165</v>
      </c>
      <c r="E42" s="33"/>
      <c r="F42" s="34"/>
      <c r="G42" s="34"/>
      <c r="H42" s="34"/>
      <c r="I42" s="33">
        <v>14.5</v>
      </c>
      <c r="J42" s="34">
        <v>3.9</v>
      </c>
      <c r="K42" s="34">
        <v>1.8</v>
      </c>
      <c r="L42" s="34">
        <v>1.7</v>
      </c>
      <c r="M42" s="33">
        <v>1.2</v>
      </c>
      <c r="N42" s="34"/>
      <c r="O42" s="34">
        <v>20.100000000000001</v>
      </c>
      <c r="P42" s="34">
        <v>3.9</v>
      </c>
      <c r="Q42" s="33">
        <v>0.16</v>
      </c>
      <c r="R42" s="44">
        <v>1.9</v>
      </c>
      <c r="S42" s="44">
        <v>1</v>
      </c>
      <c r="T42" s="35">
        <v>3.65</v>
      </c>
      <c r="U42" s="80"/>
      <c r="V42" s="81">
        <v>0.9</v>
      </c>
      <c r="W42" s="81">
        <v>2.2999999999999998</v>
      </c>
      <c r="X42" s="82">
        <v>0.5</v>
      </c>
      <c r="Y42" s="80">
        <v>5.0999999999999996</v>
      </c>
      <c r="Z42" s="81">
        <v>0.71</v>
      </c>
      <c r="AA42" s="81">
        <v>2</v>
      </c>
      <c r="AB42" s="82">
        <v>5.3</v>
      </c>
      <c r="AC42" s="35"/>
      <c r="AD42" s="73">
        <f t="shared" si="0"/>
        <v>4.8918181818181816</v>
      </c>
      <c r="AE42" s="66"/>
      <c r="AF42" s="33"/>
      <c r="AG42" s="34"/>
      <c r="AH42" s="35"/>
      <c r="AI42" s="33"/>
      <c r="AJ42" s="34"/>
      <c r="AK42" s="35"/>
      <c r="AL42" s="33"/>
      <c r="AM42" s="34"/>
      <c r="AN42" s="35"/>
      <c r="AO42" s="33"/>
      <c r="AP42" s="34"/>
      <c r="AQ42" s="35"/>
      <c r="AR42" s="33"/>
      <c r="AS42" s="34"/>
      <c r="AT42" s="35"/>
      <c r="AU42" s="33"/>
      <c r="AV42" s="34"/>
      <c r="AW42" s="35"/>
      <c r="AX42" s="33"/>
      <c r="AY42" s="34"/>
      <c r="AZ42" s="35"/>
      <c r="BA42" s="33"/>
      <c r="BB42" s="34"/>
      <c r="BC42" s="35"/>
      <c r="BD42" s="33"/>
      <c r="BE42" s="34"/>
      <c r="BF42" s="35"/>
      <c r="BG42" s="33"/>
      <c r="BH42" s="34"/>
      <c r="BI42" s="35"/>
      <c r="BJ42" s="33"/>
      <c r="BK42" s="34"/>
      <c r="BL42" s="35"/>
      <c r="BM42" s="33"/>
      <c r="BN42" s="34"/>
      <c r="BO42" s="35"/>
      <c r="BP42" s="33"/>
      <c r="BQ42" s="34"/>
      <c r="BR42" s="35"/>
      <c r="BS42" s="33"/>
      <c r="BT42" s="34"/>
      <c r="BU42" s="35"/>
      <c r="BV42" s="33"/>
      <c r="BW42" s="34"/>
      <c r="BX42" s="35"/>
      <c r="BY42" s="33"/>
      <c r="BZ42" s="34"/>
      <c r="CA42" s="35"/>
      <c r="CB42" s="80"/>
      <c r="CC42" s="81"/>
      <c r="CD42" s="82"/>
      <c r="CE42" s="80"/>
      <c r="CF42" s="81"/>
      <c r="CG42" s="82"/>
      <c r="CH42" s="80"/>
      <c r="CI42" s="81"/>
      <c r="CJ42" s="82"/>
      <c r="CK42" s="80"/>
      <c r="CL42" s="81"/>
      <c r="CM42" s="82"/>
      <c r="CN42" s="33"/>
      <c r="CO42" s="92"/>
      <c r="CP42" s="39"/>
      <c r="CQ42" s="31"/>
      <c r="CR42" s="32"/>
      <c r="CS42" s="92"/>
      <c r="CT42" s="35"/>
    </row>
    <row r="43" spans="1:98" ht="15.75" thickBot="1">
      <c r="A43" s="31" t="s">
        <v>92</v>
      </c>
      <c r="B43" s="7" t="s">
        <v>159</v>
      </c>
      <c r="C43" t="s">
        <v>96</v>
      </c>
      <c r="D43" s="42" t="s">
        <v>32</v>
      </c>
      <c r="H43" s="8"/>
      <c r="L43" s="42">
        <v>3.2</v>
      </c>
      <c r="O43">
        <v>0.31</v>
      </c>
      <c r="Q43" s="31"/>
      <c r="S43" s="64">
        <v>0.69</v>
      </c>
      <c r="T43" s="32"/>
      <c r="U43" s="78"/>
      <c r="V43" s="74">
        <v>0.1</v>
      </c>
      <c r="X43" s="79"/>
      <c r="Y43" s="78"/>
      <c r="AA43" s="74">
        <v>0.6</v>
      </c>
      <c r="AB43" s="79"/>
      <c r="AC43" s="32"/>
      <c r="AD43" s="73">
        <f t="shared" si="0"/>
        <v>1.4000000000000001</v>
      </c>
      <c r="AE43" s="39"/>
      <c r="AF43" s="31"/>
      <c r="AH43" s="32"/>
      <c r="AI43" s="31"/>
      <c r="AK43" s="32"/>
      <c r="AL43" s="31"/>
      <c r="AN43" s="32"/>
      <c r="AO43" s="31"/>
      <c r="AQ43" s="32"/>
      <c r="AR43" s="31"/>
      <c r="AT43" s="32"/>
      <c r="AU43" s="31"/>
      <c r="AW43" s="32"/>
      <c r="AX43" s="31"/>
      <c r="AZ43" s="32"/>
      <c r="BA43" s="31">
        <v>1179</v>
      </c>
      <c r="BB43">
        <v>1083</v>
      </c>
      <c r="BC43" s="32">
        <v>24</v>
      </c>
      <c r="BD43" s="31"/>
      <c r="BF43" s="32"/>
      <c r="BG43" s="31"/>
      <c r="BI43" s="32"/>
      <c r="BJ43" s="31">
        <v>1144</v>
      </c>
      <c r="BK43">
        <v>1041</v>
      </c>
      <c r="BL43" s="32">
        <v>26.8</v>
      </c>
      <c r="BM43" s="31"/>
      <c r="BO43" s="32"/>
      <c r="BP43" s="31"/>
      <c r="BR43" s="32"/>
      <c r="BS43" s="31"/>
      <c r="BU43" s="32"/>
      <c r="BV43" s="31">
        <v>1062</v>
      </c>
      <c r="BW43">
        <v>968</v>
      </c>
      <c r="BX43" s="32">
        <v>26</v>
      </c>
      <c r="BY43" s="31"/>
      <c r="CA43" s="32"/>
      <c r="CB43" s="78"/>
      <c r="CD43" s="79"/>
      <c r="CE43" s="78"/>
      <c r="CG43" s="79"/>
      <c r="CH43" s="78">
        <v>361</v>
      </c>
      <c r="CI43" s="74">
        <v>342</v>
      </c>
      <c r="CJ43" s="79">
        <v>17</v>
      </c>
      <c r="CK43" s="78"/>
      <c r="CM43" s="79"/>
      <c r="CN43" s="31"/>
      <c r="CO43" s="97">
        <f>AVERAGE(BD43,BG43,BJ43,BP43,BS43,BV43,BY43,AR43,AU43,AX43,BA43,BM43)</f>
        <v>1128.3333333333333</v>
      </c>
      <c r="CP43" s="65">
        <f t="shared" si="2"/>
        <v>1030.6666666666667</v>
      </c>
      <c r="CQ43" s="9"/>
      <c r="CR43" s="8"/>
      <c r="CS43" s="97">
        <f t="shared" si="3"/>
        <v>25.599999999999998</v>
      </c>
      <c r="CT43" s="32"/>
    </row>
    <row r="44" spans="1:98" ht="15.75" thickBot="1">
      <c r="A44" s="31"/>
      <c r="B44" s="7" t="s">
        <v>159</v>
      </c>
      <c r="D44" s="38" t="s">
        <v>33</v>
      </c>
      <c r="H44" s="32"/>
      <c r="L44" s="32">
        <v>0.18</v>
      </c>
      <c r="O44">
        <v>1</v>
      </c>
      <c r="Q44" s="31"/>
      <c r="S44" s="64">
        <v>0.14000000000000001</v>
      </c>
      <c r="T44" s="32"/>
      <c r="U44" s="78"/>
      <c r="V44" s="74">
        <v>3.8</v>
      </c>
      <c r="X44" s="79"/>
      <c r="Y44" s="78"/>
      <c r="AA44" s="74">
        <v>3.4000000000000002E-2</v>
      </c>
      <c r="AB44" s="79"/>
      <c r="AC44" s="32"/>
      <c r="AD44" s="73">
        <f t="shared" si="0"/>
        <v>0.43999999999999995</v>
      </c>
      <c r="AE44" s="39"/>
      <c r="AF44" s="31"/>
      <c r="AH44" s="32"/>
      <c r="AI44" s="31"/>
      <c r="AK44" s="32"/>
      <c r="AL44" s="31"/>
      <c r="AN44" s="32"/>
      <c r="AO44" s="31"/>
      <c r="AQ44" s="32"/>
      <c r="AR44" s="31"/>
      <c r="AT44" s="32"/>
      <c r="AU44" s="31"/>
      <c r="AW44" s="32"/>
      <c r="AX44" s="31"/>
      <c r="AZ44" s="32"/>
      <c r="BA44" s="31"/>
      <c r="BC44" s="32"/>
      <c r="BD44" s="31"/>
      <c r="BF44" s="32"/>
      <c r="BG44" s="31"/>
      <c r="BI44" s="32"/>
      <c r="BJ44" s="31"/>
      <c r="BL44" s="32"/>
      <c r="BM44" s="31"/>
      <c r="BO44" s="32"/>
      <c r="BP44" s="31"/>
      <c r="BR44" s="32"/>
      <c r="BS44" s="31"/>
      <c r="BU44" s="32"/>
      <c r="BV44" s="31"/>
      <c r="BX44" s="32"/>
      <c r="BY44" s="31"/>
      <c r="CA44" s="32"/>
      <c r="CB44" s="78"/>
      <c r="CD44" s="79"/>
      <c r="CE44" s="78"/>
      <c r="CG44" s="79"/>
      <c r="CH44" s="78"/>
      <c r="CJ44" s="79"/>
      <c r="CK44" s="78"/>
      <c r="CM44" s="79"/>
      <c r="CN44" s="31"/>
      <c r="CO44" s="93"/>
      <c r="CP44" s="66"/>
      <c r="CQ44" s="33"/>
      <c r="CR44" s="35"/>
      <c r="CS44" s="93"/>
      <c r="CT44" s="32"/>
    </row>
    <row r="45" spans="1:98" ht="15.75" thickBot="1">
      <c r="A45" s="9" t="s">
        <v>92</v>
      </c>
      <c r="B45" s="7" t="s">
        <v>159</v>
      </c>
      <c r="C45" s="7" t="s">
        <v>97</v>
      </c>
      <c r="D45" s="91" t="s">
        <v>166</v>
      </c>
      <c r="E45" s="7"/>
      <c r="F45" s="7"/>
      <c r="G45" s="7"/>
      <c r="H45" s="8"/>
      <c r="I45" s="7">
        <v>15.1</v>
      </c>
      <c r="J45" s="7"/>
      <c r="K45" s="7"/>
      <c r="L45" s="8"/>
      <c r="M45" s="7">
        <v>0.78</v>
      </c>
      <c r="N45" s="7"/>
      <c r="O45" s="7"/>
      <c r="P45" s="7"/>
      <c r="Q45" s="9">
        <v>10.199999999999999</v>
      </c>
      <c r="R45" s="7"/>
      <c r="S45" s="7"/>
      <c r="T45" s="8"/>
      <c r="U45" s="75"/>
      <c r="V45" s="76"/>
      <c r="W45" s="76">
        <v>1.5</v>
      </c>
      <c r="X45" s="77"/>
      <c r="Y45" s="75">
        <v>5.8</v>
      </c>
      <c r="Z45" s="76"/>
      <c r="AA45" s="76"/>
      <c r="AB45" s="77"/>
      <c r="AC45" s="8"/>
      <c r="AD45" s="73">
        <f t="shared" si="0"/>
        <v>8.6933333333333334</v>
      </c>
      <c r="AE45" s="65"/>
      <c r="AF45" s="9"/>
      <c r="AG45" s="7"/>
      <c r="AH45" s="8"/>
      <c r="AI45" s="9"/>
      <c r="AJ45" s="7"/>
      <c r="AK45" s="8"/>
      <c r="AL45" s="9"/>
      <c r="AM45" s="7"/>
      <c r="AN45" s="8"/>
      <c r="AO45" s="9"/>
      <c r="AP45" s="7"/>
      <c r="AQ45" s="8"/>
      <c r="AR45" s="9">
        <v>805</v>
      </c>
      <c r="AS45" s="7">
        <v>754</v>
      </c>
      <c r="AT45" s="8">
        <v>18</v>
      </c>
      <c r="AU45" s="9"/>
      <c r="AV45" s="7"/>
      <c r="AW45" s="8"/>
      <c r="AX45" s="9"/>
      <c r="AY45" s="7"/>
      <c r="AZ45" s="8"/>
      <c r="BA45" s="9"/>
      <c r="BB45" s="7"/>
      <c r="BC45" s="8"/>
      <c r="BD45" s="9">
        <v>733</v>
      </c>
      <c r="BE45" s="7">
        <v>690</v>
      </c>
      <c r="BF45" s="8">
        <v>17</v>
      </c>
      <c r="BG45" s="9"/>
      <c r="BH45" s="7"/>
      <c r="BI45" s="8"/>
      <c r="BJ45" s="9"/>
      <c r="BK45" s="7"/>
      <c r="BL45" s="8"/>
      <c r="BM45" s="9"/>
      <c r="BN45" s="7"/>
      <c r="BO45" s="8"/>
      <c r="BP45" s="9">
        <v>904</v>
      </c>
      <c r="BQ45" s="7">
        <v>865</v>
      </c>
      <c r="BR45" s="8">
        <v>12</v>
      </c>
      <c r="BS45" s="9"/>
      <c r="BT45" s="7"/>
      <c r="BU45" s="8"/>
      <c r="BV45" s="9"/>
      <c r="BW45" s="7"/>
      <c r="BX45" s="8"/>
      <c r="BY45" s="9"/>
      <c r="BZ45" s="7"/>
      <c r="CA45" s="8"/>
      <c r="CB45" s="75">
        <v>641</v>
      </c>
      <c r="CC45" s="76">
        <v>625</v>
      </c>
      <c r="CD45" s="77">
        <v>9</v>
      </c>
      <c r="CE45" s="75"/>
      <c r="CF45" s="76"/>
      <c r="CG45" s="77"/>
      <c r="CH45" s="75"/>
      <c r="CI45" s="76"/>
      <c r="CJ45" s="77"/>
      <c r="CK45" s="75"/>
      <c r="CL45" s="76"/>
      <c r="CM45" s="77"/>
      <c r="CN45" s="9"/>
      <c r="CO45" s="92">
        <f>AVERAGE(BD45,BG45,BJ45,BP45,BS45,BV45,BY45,AR45,AU45,AX45,BA45,BM45)</f>
        <v>814</v>
      </c>
      <c r="CP45" s="39">
        <f t="shared" si="2"/>
        <v>769.66666666666663</v>
      </c>
      <c r="CQ45" s="31"/>
      <c r="CR45" s="32"/>
      <c r="CS45" s="92">
        <f t="shared" si="3"/>
        <v>15.666666666666666</v>
      </c>
      <c r="CT45" s="8"/>
    </row>
    <row r="46" spans="1:98" ht="15.75" thickBot="1">
      <c r="A46" s="31"/>
      <c r="B46" s="7" t="s">
        <v>159</v>
      </c>
      <c r="D46" s="215" t="s">
        <v>167</v>
      </c>
      <c r="H46" s="32"/>
      <c r="L46" s="32"/>
      <c r="M46">
        <v>0.5</v>
      </c>
      <c r="Q46" s="31"/>
      <c r="T46" s="32"/>
      <c r="U46" s="78"/>
      <c r="X46" s="79"/>
      <c r="Y46" s="78"/>
      <c r="AB46" s="79"/>
      <c r="AC46" s="32"/>
      <c r="AD46" s="73">
        <f t="shared" si="0"/>
        <v>0.5</v>
      </c>
      <c r="AE46" s="39"/>
      <c r="AF46" s="31"/>
      <c r="AH46" s="32"/>
      <c r="AI46" s="31"/>
      <c r="AK46" s="32"/>
      <c r="AL46" s="31"/>
      <c r="AN46" s="32"/>
      <c r="AO46" s="31"/>
      <c r="AQ46" s="32"/>
      <c r="AR46" s="31"/>
      <c r="AT46" s="32"/>
      <c r="AU46" s="31"/>
      <c r="AW46" s="32"/>
      <c r="AX46" s="31"/>
      <c r="AZ46" s="32"/>
      <c r="BA46" s="31"/>
      <c r="BC46" s="32"/>
      <c r="BD46" s="31"/>
      <c r="BF46" s="32"/>
      <c r="BG46" s="31"/>
      <c r="BI46" s="32"/>
      <c r="BJ46" s="31"/>
      <c r="BL46" s="32"/>
      <c r="BM46" s="31"/>
      <c r="BO46" s="32"/>
      <c r="BP46" s="31"/>
      <c r="BR46" s="32"/>
      <c r="BS46" s="31"/>
      <c r="BU46" s="32"/>
      <c r="BV46" s="31"/>
      <c r="BX46" s="32"/>
      <c r="BY46" s="31"/>
      <c r="CA46" s="32"/>
      <c r="CB46" s="78"/>
      <c r="CD46" s="79"/>
      <c r="CE46" s="78"/>
      <c r="CG46" s="79"/>
      <c r="CH46" s="78"/>
      <c r="CJ46" s="79"/>
      <c r="CK46" s="78"/>
      <c r="CM46" s="79"/>
      <c r="CN46" s="31"/>
      <c r="CO46" s="92"/>
      <c r="CP46" s="39"/>
      <c r="CQ46" s="31"/>
      <c r="CR46" s="32"/>
      <c r="CS46" s="92"/>
      <c r="CT46" s="32"/>
    </row>
    <row r="47" spans="1:98" ht="15.75" thickBot="1">
      <c r="A47" s="33"/>
      <c r="B47" s="7" t="s">
        <v>159</v>
      </c>
      <c r="C47" s="34"/>
      <c r="D47" s="216" t="s">
        <v>39</v>
      </c>
      <c r="E47" s="34"/>
      <c r="F47" s="34"/>
      <c r="G47" s="34"/>
      <c r="H47" s="35"/>
      <c r="I47" s="34">
        <v>7</v>
      </c>
      <c r="J47" s="34"/>
      <c r="K47" s="34"/>
      <c r="L47" s="35"/>
      <c r="M47" s="34">
        <v>30.8</v>
      </c>
      <c r="N47" s="34"/>
      <c r="O47" s="34"/>
      <c r="P47" s="34"/>
      <c r="Q47" s="33">
        <v>47.3</v>
      </c>
      <c r="R47" s="34"/>
      <c r="S47" s="34"/>
      <c r="T47" s="35"/>
      <c r="U47" s="80"/>
      <c r="V47" s="81"/>
      <c r="W47" s="81">
        <v>43.5</v>
      </c>
      <c r="X47" s="82"/>
      <c r="Y47" s="80">
        <v>48.8</v>
      </c>
      <c r="Z47" s="81"/>
      <c r="AA47" s="81"/>
      <c r="AB47" s="82"/>
      <c r="AC47" s="35"/>
      <c r="AD47" s="73">
        <f t="shared" si="0"/>
        <v>28.366666666666664</v>
      </c>
      <c r="AE47" s="66"/>
      <c r="AF47" s="33"/>
      <c r="AG47" s="34"/>
      <c r="AH47" s="35"/>
      <c r="AI47" s="33"/>
      <c r="AJ47" s="34"/>
      <c r="AK47" s="35"/>
      <c r="AL47" s="33"/>
      <c r="AM47" s="34"/>
      <c r="AN47" s="35"/>
      <c r="AO47" s="33"/>
      <c r="AP47" s="34"/>
      <c r="AQ47" s="35"/>
      <c r="AR47" s="33"/>
      <c r="AS47" s="34"/>
      <c r="AT47" s="35"/>
      <c r="AU47" s="33"/>
      <c r="AV47" s="34"/>
      <c r="AW47" s="35"/>
      <c r="AX47" s="33"/>
      <c r="AY47" s="34"/>
      <c r="AZ47" s="35"/>
      <c r="BA47" s="33"/>
      <c r="BB47" s="34"/>
      <c r="BC47" s="35"/>
      <c r="BD47" s="33"/>
      <c r="BE47" s="34"/>
      <c r="BF47" s="35"/>
      <c r="BG47" s="33"/>
      <c r="BH47" s="34"/>
      <c r="BI47" s="35"/>
      <c r="BJ47" s="33"/>
      <c r="BK47" s="34"/>
      <c r="BL47" s="35"/>
      <c r="BM47" s="33"/>
      <c r="BN47" s="34"/>
      <c r="BO47" s="35"/>
      <c r="BP47" s="33"/>
      <c r="BQ47" s="34"/>
      <c r="BR47" s="35"/>
      <c r="BS47" s="33"/>
      <c r="BT47" s="34"/>
      <c r="BU47" s="35"/>
      <c r="BV47" s="33"/>
      <c r="BW47" s="34"/>
      <c r="BX47" s="35"/>
      <c r="BY47" s="33"/>
      <c r="BZ47" s="34"/>
      <c r="CA47" s="35"/>
      <c r="CB47" s="80"/>
      <c r="CC47" s="81"/>
      <c r="CD47" s="82"/>
      <c r="CE47" s="80"/>
      <c r="CF47" s="81"/>
      <c r="CG47" s="82"/>
      <c r="CH47" s="80"/>
      <c r="CI47" s="81"/>
      <c r="CJ47" s="82"/>
      <c r="CK47" s="80"/>
      <c r="CL47" s="81"/>
      <c r="CM47" s="82"/>
      <c r="CN47" s="33"/>
      <c r="CO47" s="92"/>
      <c r="CP47" s="39"/>
      <c r="CQ47" s="31"/>
      <c r="CR47" s="32"/>
      <c r="CS47" s="92"/>
      <c r="CT47" s="35"/>
    </row>
    <row r="48" spans="1:98" ht="15.75" thickBot="1">
      <c r="A48" s="31" t="s">
        <v>98</v>
      </c>
      <c r="B48" s="7" t="s">
        <v>159</v>
      </c>
      <c r="C48" t="s">
        <v>99</v>
      </c>
      <c r="D48" t="s">
        <v>32</v>
      </c>
      <c r="E48" s="31"/>
      <c r="I48" s="31"/>
      <c r="L48">
        <v>0.06</v>
      </c>
      <c r="M48" s="31"/>
      <c r="P48">
        <v>1.7</v>
      </c>
      <c r="Q48" s="31"/>
      <c r="T48" s="32">
        <v>0.04</v>
      </c>
      <c r="U48" s="78"/>
      <c r="W48" s="74">
        <v>1.2</v>
      </c>
      <c r="X48" s="79"/>
      <c r="Y48" s="78"/>
      <c r="AA48" s="74">
        <v>0.5</v>
      </c>
      <c r="AB48" s="79"/>
      <c r="AC48" s="32"/>
      <c r="AD48" s="73">
        <f t="shared" si="0"/>
        <v>0.6</v>
      </c>
      <c r="AE48" s="39"/>
      <c r="AF48" s="31"/>
      <c r="AH48" s="32"/>
      <c r="AI48" s="31"/>
      <c r="AK48" s="32"/>
      <c r="AL48" s="31"/>
      <c r="AN48" s="32"/>
      <c r="AO48" s="31"/>
      <c r="AQ48" s="32"/>
      <c r="AR48" s="31"/>
      <c r="AT48" s="32"/>
      <c r="AU48" s="31"/>
      <c r="AW48" s="32"/>
      <c r="AX48" s="31"/>
      <c r="AZ48" s="32"/>
      <c r="BA48" s="31">
        <v>649</v>
      </c>
      <c r="BB48">
        <v>608</v>
      </c>
      <c r="BC48" s="32">
        <v>18</v>
      </c>
      <c r="BD48" s="31"/>
      <c r="BF48" s="32"/>
      <c r="BG48" s="31"/>
      <c r="BI48" s="32"/>
      <c r="BJ48" s="31"/>
      <c r="BL48" s="32"/>
      <c r="BM48" s="31">
        <v>577</v>
      </c>
      <c r="BN48">
        <v>533</v>
      </c>
      <c r="BO48" s="32">
        <v>22</v>
      </c>
      <c r="BP48" s="31"/>
      <c r="BR48" s="32"/>
      <c r="BS48" s="31"/>
      <c r="BU48" s="32"/>
      <c r="BV48" s="31"/>
      <c r="BX48" s="32"/>
      <c r="BY48" s="31">
        <v>570</v>
      </c>
      <c r="BZ48">
        <v>519</v>
      </c>
      <c r="CA48" s="32">
        <v>27</v>
      </c>
      <c r="CB48" s="78"/>
      <c r="CD48" s="79"/>
      <c r="CE48" s="78">
        <v>196</v>
      </c>
      <c r="CF48" s="74">
        <v>186</v>
      </c>
      <c r="CG48" s="79">
        <v>18</v>
      </c>
      <c r="CH48" s="78">
        <v>382</v>
      </c>
      <c r="CI48" s="74">
        <v>340</v>
      </c>
      <c r="CJ48" s="79">
        <v>35</v>
      </c>
      <c r="CK48" s="78"/>
      <c r="CM48" s="79"/>
      <c r="CN48" s="31"/>
      <c r="CO48" s="97">
        <f t="shared" si="1"/>
        <v>598.66666666666663</v>
      </c>
      <c r="CP48" s="65">
        <f t="shared" si="2"/>
        <v>553.33333333333337</v>
      </c>
      <c r="CQ48" s="9"/>
      <c r="CR48" s="8"/>
      <c r="CS48" s="97">
        <f t="shared" si="3"/>
        <v>22.333333333333332</v>
      </c>
      <c r="CT48" s="32"/>
    </row>
    <row r="49" spans="1:98" ht="15.75" thickBot="1">
      <c r="A49" s="33"/>
      <c r="B49" s="7" t="s">
        <v>159</v>
      </c>
      <c r="C49" s="34"/>
      <c r="D49" s="34" t="s">
        <v>33</v>
      </c>
      <c r="E49" s="33"/>
      <c r="F49" s="34"/>
      <c r="G49" s="34"/>
      <c r="H49" s="34"/>
      <c r="I49" s="33"/>
      <c r="J49" s="34"/>
      <c r="K49" s="34"/>
      <c r="L49" s="34">
        <v>0.05</v>
      </c>
      <c r="M49" s="33"/>
      <c r="N49" s="34"/>
      <c r="O49" s="34"/>
      <c r="P49" s="34">
        <v>1.5E-3</v>
      </c>
      <c r="Q49" s="33"/>
      <c r="R49" s="34"/>
      <c r="S49" s="34"/>
      <c r="T49" s="35">
        <v>0.13</v>
      </c>
      <c r="U49" s="80"/>
      <c r="V49" s="81"/>
      <c r="W49" s="81">
        <v>8.1000000000000003E-2</v>
      </c>
      <c r="X49" s="82"/>
      <c r="Y49" s="80"/>
      <c r="Z49" s="81">
        <v>0.05</v>
      </c>
      <c r="AA49" s="81">
        <v>0.1</v>
      </c>
      <c r="AB49" s="82"/>
      <c r="AC49" s="35"/>
      <c r="AD49" s="73">
        <f t="shared" si="0"/>
        <v>6.0499999999999998E-2</v>
      </c>
      <c r="AE49" s="39"/>
      <c r="AF49" s="31"/>
      <c r="AH49" s="32"/>
      <c r="AI49" s="31"/>
      <c r="AK49" s="32"/>
      <c r="AL49" s="31"/>
      <c r="AN49" s="32"/>
      <c r="AO49" s="31"/>
      <c r="AQ49" s="32"/>
      <c r="AR49" s="31"/>
      <c r="AT49" s="32"/>
      <c r="AU49" s="31"/>
      <c r="AW49" s="32"/>
      <c r="AX49" s="31"/>
      <c r="AZ49" s="32"/>
      <c r="BA49" s="31"/>
      <c r="BC49" s="32"/>
      <c r="BD49" s="31"/>
      <c r="BF49" s="32"/>
      <c r="BG49" s="31"/>
      <c r="BI49" s="32"/>
      <c r="BJ49" s="31"/>
      <c r="BL49" s="32"/>
      <c r="BM49" s="31"/>
      <c r="BO49" s="32"/>
      <c r="BP49" s="31"/>
      <c r="BR49" s="32"/>
      <c r="BS49" s="31"/>
      <c r="BU49" s="32"/>
      <c r="BV49" s="31"/>
      <c r="BX49" s="32"/>
      <c r="BY49" s="31"/>
      <c r="CA49" s="32"/>
      <c r="CB49" s="78"/>
      <c r="CD49" s="79"/>
      <c r="CE49" s="78"/>
      <c r="CG49" s="79"/>
      <c r="CH49" s="78"/>
      <c r="CJ49" s="79"/>
      <c r="CK49" s="78"/>
      <c r="CM49" s="79"/>
      <c r="CN49" s="31"/>
      <c r="CO49" s="92"/>
      <c r="CP49" s="39"/>
      <c r="CQ49" s="31"/>
      <c r="CR49" s="32"/>
      <c r="CS49" s="92"/>
      <c r="CT49" s="32"/>
    </row>
    <row r="50" spans="1:98" ht="15.75" thickBot="1">
      <c r="A50" s="9" t="s">
        <v>98</v>
      </c>
      <c r="B50" s="7" t="s">
        <v>159</v>
      </c>
      <c r="C50" s="7" t="s">
        <v>100</v>
      </c>
      <c r="D50" s="7" t="s">
        <v>166</v>
      </c>
      <c r="E50" s="9"/>
      <c r="F50" s="7"/>
      <c r="G50" s="7"/>
      <c r="H50" s="7"/>
      <c r="I50" s="9"/>
      <c r="J50" s="7"/>
      <c r="K50" s="7"/>
      <c r="L50" s="7"/>
      <c r="M50" s="9"/>
      <c r="N50" s="7"/>
      <c r="O50" s="7"/>
      <c r="P50" s="7"/>
      <c r="Q50" s="9"/>
      <c r="R50" s="7"/>
      <c r="S50" s="7"/>
      <c r="T50" s="8">
        <v>4.2</v>
      </c>
      <c r="U50" s="75"/>
      <c r="V50" s="76"/>
      <c r="W50" s="76">
        <v>145</v>
      </c>
      <c r="X50" s="77"/>
      <c r="Y50" s="75"/>
      <c r="Z50" s="76"/>
      <c r="AA50" s="76">
        <v>25.9</v>
      </c>
      <c r="AB50" s="77"/>
      <c r="AC50" s="8"/>
      <c r="AD50" s="73">
        <f t="shared" si="0"/>
        <v>4.2</v>
      </c>
      <c r="AE50" s="39"/>
      <c r="AF50" s="31"/>
      <c r="AH50" s="32"/>
      <c r="AI50" s="31"/>
      <c r="AK50" s="32"/>
      <c r="AL50" s="31"/>
      <c r="AN50" s="32"/>
      <c r="AO50" s="31"/>
      <c r="AQ50" s="32"/>
      <c r="AR50" s="31"/>
      <c r="AT50" s="32"/>
      <c r="AU50" s="31"/>
      <c r="AW50" s="32"/>
      <c r="AX50" s="31"/>
      <c r="AZ50" s="32"/>
      <c r="BA50" s="31"/>
      <c r="BC50" s="32"/>
      <c r="BD50" s="31"/>
      <c r="BF50" s="32"/>
      <c r="BG50" s="31"/>
      <c r="BI50" s="32"/>
      <c r="BJ50" s="31"/>
      <c r="BL50" s="32"/>
      <c r="BM50" s="31"/>
      <c r="BO50" s="32"/>
      <c r="BP50" s="31"/>
      <c r="BR50" s="32"/>
      <c r="BS50" s="31"/>
      <c r="BU50" s="32"/>
      <c r="BV50" s="31"/>
      <c r="BX50" s="32"/>
      <c r="BY50" s="31">
        <v>6250</v>
      </c>
      <c r="BZ50">
        <v>5628</v>
      </c>
      <c r="CA50" s="32">
        <v>30</v>
      </c>
      <c r="CB50" s="78"/>
      <c r="CD50" s="79"/>
      <c r="CE50" s="78"/>
      <c r="CG50" s="79"/>
      <c r="CH50" s="78">
        <v>5549</v>
      </c>
      <c r="CI50" s="74">
        <v>5180</v>
      </c>
      <c r="CJ50" s="79">
        <v>21</v>
      </c>
      <c r="CK50" s="78"/>
      <c r="CM50" s="79"/>
      <c r="CN50" s="31"/>
      <c r="CO50" s="92">
        <f t="shared" si="1"/>
        <v>6250</v>
      </c>
      <c r="CP50" s="39">
        <f t="shared" si="2"/>
        <v>5628</v>
      </c>
      <c r="CQ50" s="31"/>
      <c r="CR50" s="32"/>
      <c r="CS50" s="92">
        <f t="shared" si="3"/>
        <v>30</v>
      </c>
      <c r="CT50" s="32"/>
    </row>
    <row r="51" spans="1:98" ht="15.75" thickBot="1">
      <c r="A51" s="31"/>
      <c r="B51" s="7" t="s">
        <v>159</v>
      </c>
      <c r="D51" t="s">
        <v>33</v>
      </c>
      <c r="E51" s="31"/>
      <c r="I51" s="31"/>
      <c r="M51" s="31"/>
      <c r="Q51" s="31"/>
      <c r="T51" s="32"/>
      <c r="U51" s="78"/>
      <c r="X51" s="79"/>
      <c r="Y51" s="78"/>
      <c r="AB51" s="79"/>
      <c r="AC51" s="32"/>
      <c r="AD51" s="73"/>
      <c r="AE51" s="39"/>
      <c r="AF51" s="31"/>
      <c r="AH51" s="32"/>
      <c r="AI51" s="31"/>
      <c r="AK51" s="32"/>
      <c r="AL51" s="31"/>
      <c r="AN51" s="32"/>
      <c r="AO51" s="31"/>
      <c r="AQ51" s="32"/>
      <c r="AR51" s="31"/>
      <c r="AT51" s="32"/>
      <c r="AU51" s="31"/>
      <c r="AW51" s="32"/>
      <c r="AX51" s="31"/>
      <c r="AZ51" s="32"/>
      <c r="BA51" s="31"/>
      <c r="BC51" s="32"/>
      <c r="BD51" s="31"/>
      <c r="BF51" s="32"/>
      <c r="BG51" s="31"/>
      <c r="BI51" s="32"/>
      <c r="BJ51" s="31"/>
      <c r="BL51" s="32"/>
      <c r="BM51" s="31"/>
      <c r="BO51" s="32"/>
      <c r="BP51" s="31"/>
      <c r="BR51" s="32"/>
      <c r="BS51" s="31"/>
      <c r="BU51" s="32"/>
      <c r="BV51" s="31"/>
      <c r="BX51" s="32"/>
      <c r="BY51" s="31"/>
      <c r="CA51" s="32"/>
      <c r="CB51" s="78"/>
      <c r="CD51" s="79"/>
      <c r="CE51" s="78"/>
      <c r="CG51" s="79"/>
      <c r="CH51" s="78"/>
      <c r="CJ51" s="79"/>
      <c r="CK51" s="78"/>
      <c r="CM51" s="79"/>
      <c r="CN51" s="31"/>
      <c r="CO51" s="92"/>
      <c r="CP51" s="39"/>
      <c r="CQ51" s="31"/>
      <c r="CR51" s="32"/>
      <c r="CS51" s="92"/>
      <c r="CT51" s="32"/>
    </row>
    <row r="52" spans="1:98" ht="15.75" thickBot="1">
      <c r="A52" s="33"/>
      <c r="B52" s="7" t="s">
        <v>159</v>
      </c>
      <c r="C52" s="34"/>
      <c r="D52" s="34" t="s">
        <v>34</v>
      </c>
      <c r="E52" s="33"/>
      <c r="F52" s="34"/>
      <c r="G52" s="34"/>
      <c r="H52" s="34"/>
      <c r="I52" s="33"/>
      <c r="J52" s="34"/>
      <c r="K52" s="34"/>
      <c r="L52" s="34"/>
      <c r="M52" s="33"/>
      <c r="N52" s="34"/>
      <c r="O52" s="34"/>
      <c r="P52" s="34"/>
      <c r="Q52" s="33"/>
      <c r="R52" s="34"/>
      <c r="S52" s="34"/>
      <c r="T52" s="35">
        <v>2.2999999999999998</v>
      </c>
      <c r="U52" s="80"/>
      <c r="V52" s="81"/>
      <c r="W52" s="81">
        <v>4.5</v>
      </c>
      <c r="X52" s="82"/>
      <c r="Y52" s="80"/>
      <c r="Z52" s="81"/>
      <c r="AA52" s="81">
        <v>2.1</v>
      </c>
      <c r="AB52" s="82"/>
      <c r="AC52" s="35"/>
      <c r="AD52" s="73">
        <f t="shared" si="0"/>
        <v>2.2999999999999998</v>
      </c>
      <c r="AE52" s="39"/>
      <c r="AF52" s="31"/>
      <c r="AH52" s="32"/>
      <c r="AI52" s="31"/>
      <c r="AK52" s="32"/>
      <c r="AL52" s="31"/>
      <c r="AN52" s="32"/>
      <c r="AO52" s="31"/>
      <c r="AQ52" s="32"/>
      <c r="AR52" s="31"/>
      <c r="AT52" s="32"/>
      <c r="AU52" s="31"/>
      <c r="AW52" s="32"/>
      <c r="AX52" s="31"/>
      <c r="AZ52" s="32"/>
      <c r="BA52" s="31"/>
      <c r="BC52" s="32"/>
      <c r="BD52" s="31"/>
      <c r="BF52" s="32"/>
      <c r="BG52" s="31"/>
      <c r="BI52" s="32"/>
      <c r="BJ52" s="31"/>
      <c r="BL52" s="32"/>
      <c r="BM52" s="31"/>
      <c r="BO52" s="32"/>
      <c r="BP52" s="31"/>
      <c r="BR52" s="32"/>
      <c r="BS52" s="31"/>
      <c r="BU52" s="32"/>
      <c r="BV52" s="31"/>
      <c r="BX52" s="32"/>
      <c r="BY52" s="31"/>
      <c r="CA52" s="32"/>
      <c r="CB52" s="78"/>
      <c r="CD52" s="79"/>
      <c r="CE52" s="78"/>
      <c r="CG52" s="79"/>
      <c r="CH52" s="78"/>
      <c r="CJ52" s="79"/>
      <c r="CK52" s="78"/>
      <c r="CM52" s="79"/>
      <c r="CN52" s="31"/>
      <c r="CO52" s="92"/>
      <c r="CP52" s="39"/>
      <c r="CQ52" s="31"/>
      <c r="CR52" s="32"/>
      <c r="CS52" s="92"/>
      <c r="CT52" s="32"/>
    </row>
    <row r="53" spans="1:98" ht="15.75" thickBot="1">
      <c r="A53" s="9" t="s">
        <v>101</v>
      </c>
      <c r="B53" s="7" t="s">
        <v>159</v>
      </c>
      <c r="C53" s="7" t="s">
        <v>103</v>
      </c>
      <c r="D53" s="7" t="s">
        <v>34</v>
      </c>
      <c r="E53" s="9"/>
      <c r="F53" s="7"/>
      <c r="G53" s="7"/>
      <c r="H53" s="7"/>
      <c r="I53" s="9"/>
      <c r="J53" s="7"/>
      <c r="K53" s="7"/>
      <c r="L53" s="7">
        <v>529</v>
      </c>
      <c r="M53" s="9"/>
      <c r="N53" s="7"/>
      <c r="O53" s="7"/>
      <c r="P53" s="7">
        <v>714</v>
      </c>
      <c r="Q53" s="9"/>
      <c r="R53" s="7"/>
      <c r="S53" s="7">
        <v>634</v>
      </c>
      <c r="T53" s="8"/>
      <c r="U53" s="75"/>
      <c r="V53" s="76"/>
      <c r="W53" s="76"/>
      <c r="X53" s="77">
        <v>156.69999999999999</v>
      </c>
      <c r="Y53" s="75"/>
      <c r="Z53" s="76">
        <v>1432</v>
      </c>
      <c r="AA53" s="76"/>
      <c r="AB53" s="77"/>
      <c r="AC53" s="8"/>
      <c r="AD53" s="73">
        <f t="shared" si="0"/>
        <v>625.66666666666663</v>
      </c>
      <c r="AE53" s="39"/>
      <c r="AF53" s="31"/>
      <c r="AH53" s="32"/>
      <c r="AI53" s="31"/>
      <c r="AK53" s="32"/>
      <c r="AL53" s="31"/>
      <c r="AN53" s="32"/>
      <c r="AO53" s="31"/>
      <c r="AQ53" s="32"/>
      <c r="AR53" s="31"/>
      <c r="AT53" s="32"/>
      <c r="AU53" s="31"/>
      <c r="AW53" s="32"/>
      <c r="AX53" s="31"/>
      <c r="AZ53" s="32"/>
      <c r="BA53" s="31">
        <v>9641</v>
      </c>
      <c r="BB53">
        <v>11054</v>
      </c>
      <c r="BC53" s="32">
        <v>135</v>
      </c>
      <c r="BD53" s="31"/>
      <c r="BF53" s="32"/>
      <c r="BG53" s="31"/>
      <c r="BI53" s="32"/>
      <c r="BJ53" s="31"/>
      <c r="BL53" s="32"/>
      <c r="BM53" s="31">
        <v>8611</v>
      </c>
      <c r="BN53">
        <v>9468</v>
      </c>
      <c r="BO53" s="32">
        <v>141</v>
      </c>
      <c r="BP53" s="31"/>
      <c r="BR53" s="32"/>
      <c r="BS53" s="31"/>
      <c r="BU53" s="32"/>
      <c r="BV53" s="31">
        <v>9150</v>
      </c>
      <c r="BW53">
        <v>9437</v>
      </c>
      <c r="BX53" s="32">
        <v>143</v>
      </c>
      <c r="BY53" s="31"/>
      <c r="CA53" s="32"/>
      <c r="CB53" s="78"/>
      <c r="CD53" s="79"/>
      <c r="CE53" s="78">
        <v>10430</v>
      </c>
      <c r="CF53" s="74">
        <v>9635</v>
      </c>
      <c r="CG53" s="79">
        <v>25.8</v>
      </c>
      <c r="CH53" s="78"/>
      <c r="CJ53" s="79"/>
      <c r="CK53" s="78"/>
      <c r="CM53" s="79"/>
      <c r="CN53" s="31"/>
      <c r="CO53" s="92">
        <f t="shared" si="1"/>
        <v>9134</v>
      </c>
      <c r="CP53" s="39">
        <f t="shared" si="2"/>
        <v>9986.3333333333339</v>
      </c>
      <c r="CQ53" s="31"/>
      <c r="CR53" s="32"/>
      <c r="CS53" s="92">
        <f t="shared" si="3"/>
        <v>139.66666666666666</v>
      </c>
      <c r="CT53" s="32"/>
    </row>
    <row r="54" spans="1:98" ht="15.75" thickBot="1">
      <c r="A54" s="33"/>
      <c r="B54" s="7" t="s">
        <v>159</v>
      </c>
      <c r="C54" s="34"/>
      <c r="D54" s="34" t="s">
        <v>35</v>
      </c>
      <c r="E54" s="33"/>
      <c r="F54" s="34"/>
      <c r="G54" s="34"/>
      <c r="H54" s="34"/>
      <c r="I54" s="33"/>
      <c r="J54" s="34"/>
      <c r="K54" s="34"/>
      <c r="L54" s="34">
        <v>2403</v>
      </c>
      <c r="M54" s="33"/>
      <c r="N54" s="34"/>
      <c r="O54" s="34"/>
      <c r="P54" s="34">
        <v>1283</v>
      </c>
      <c r="Q54" s="33"/>
      <c r="R54" s="34"/>
      <c r="S54" s="34">
        <v>2171</v>
      </c>
      <c r="T54" s="35"/>
      <c r="U54" s="80"/>
      <c r="V54" s="81"/>
      <c r="W54" s="81"/>
      <c r="X54" s="82">
        <v>1721.9</v>
      </c>
      <c r="Y54" s="80"/>
      <c r="Z54" s="81">
        <v>481</v>
      </c>
      <c r="AA54" s="81"/>
      <c r="AB54" s="82"/>
      <c r="AC54" s="35"/>
      <c r="AD54" s="73">
        <f t="shared" si="0"/>
        <v>1952.3333333333333</v>
      </c>
      <c r="AE54" s="39"/>
      <c r="AF54" s="31"/>
      <c r="AH54" s="32"/>
      <c r="AI54" s="31"/>
      <c r="AK54" s="32"/>
      <c r="AL54" s="31"/>
      <c r="AN54" s="32"/>
      <c r="AO54" s="31"/>
      <c r="AQ54" s="32"/>
      <c r="AR54" s="31"/>
      <c r="AT54" s="32"/>
      <c r="AU54" s="31"/>
      <c r="AW54" s="32"/>
      <c r="AX54" s="31"/>
      <c r="AZ54" s="32"/>
      <c r="BA54" s="31"/>
      <c r="BC54" s="32"/>
      <c r="BD54" s="31"/>
      <c r="BF54" s="32"/>
      <c r="BG54" s="31"/>
      <c r="BI54" s="32"/>
      <c r="BJ54" s="31"/>
      <c r="BL54" s="32"/>
      <c r="BM54" s="31"/>
      <c r="BO54" s="32"/>
      <c r="BP54" s="31"/>
      <c r="BR54" s="32"/>
      <c r="BS54" s="31"/>
      <c r="BU54" s="32"/>
      <c r="BV54" s="31"/>
      <c r="BX54" s="32"/>
      <c r="BY54" s="31"/>
      <c r="CA54" s="32"/>
      <c r="CB54" s="78"/>
      <c r="CD54" s="79"/>
      <c r="CE54" s="78"/>
      <c r="CG54" s="79"/>
      <c r="CH54" s="78"/>
      <c r="CJ54" s="79"/>
      <c r="CK54" s="78"/>
      <c r="CM54" s="79"/>
      <c r="CN54" s="31"/>
      <c r="CO54" s="92"/>
      <c r="CP54" s="39"/>
      <c r="CQ54" s="31"/>
      <c r="CR54" s="32"/>
      <c r="CS54" s="92"/>
      <c r="CT54" s="32"/>
    </row>
    <row r="55" spans="1:98" ht="15.75" thickBot="1">
      <c r="A55" s="9" t="s">
        <v>101</v>
      </c>
      <c r="B55" s="7" t="s">
        <v>159</v>
      </c>
      <c r="C55" s="7" t="s">
        <v>104</v>
      </c>
      <c r="D55" s="7" t="s">
        <v>34</v>
      </c>
      <c r="E55" s="9"/>
      <c r="F55" s="7"/>
      <c r="G55" s="7"/>
      <c r="H55" s="7"/>
      <c r="I55" s="9"/>
      <c r="J55" s="7"/>
      <c r="K55" s="7"/>
      <c r="L55" s="7">
        <v>725</v>
      </c>
      <c r="M55" s="9"/>
      <c r="N55" s="7"/>
      <c r="O55" s="7"/>
      <c r="P55" s="7">
        <v>928</v>
      </c>
      <c r="Q55" s="9"/>
      <c r="R55" s="7"/>
      <c r="S55" s="7">
        <v>301</v>
      </c>
      <c r="T55" s="8"/>
      <c r="U55" s="75"/>
      <c r="V55" s="76"/>
      <c r="W55" s="76"/>
      <c r="X55" s="77">
        <v>30.8</v>
      </c>
      <c r="Y55" s="75"/>
      <c r="Z55" s="76">
        <v>688</v>
      </c>
      <c r="AA55" s="76"/>
      <c r="AB55" s="77"/>
      <c r="AC55" s="8"/>
      <c r="AD55" s="73">
        <f t="shared" si="0"/>
        <v>651.33333333333337</v>
      </c>
      <c r="AE55" s="39"/>
      <c r="AF55" s="31"/>
      <c r="AH55" s="32"/>
      <c r="AI55" s="31"/>
      <c r="AK55" s="32"/>
      <c r="AL55" s="31"/>
      <c r="AN55" s="32"/>
      <c r="AO55" s="31"/>
      <c r="AQ55" s="32"/>
      <c r="AR55" s="31"/>
      <c r="AT55" s="32"/>
      <c r="AU55" s="31"/>
      <c r="AW55" s="32"/>
      <c r="AX55" s="31"/>
      <c r="AZ55" s="32"/>
      <c r="BA55" s="31">
        <v>11300</v>
      </c>
      <c r="BB55">
        <v>12252</v>
      </c>
      <c r="BC55" s="32">
        <v>148</v>
      </c>
      <c r="BD55" s="31"/>
      <c r="BF55" s="32"/>
      <c r="BG55" s="31"/>
      <c r="BI55" s="32"/>
      <c r="BJ55" s="31"/>
      <c r="BL55" s="32"/>
      <c r="BM55" s="31">
        <v>9017</v>
      </c>
      <c r="BN55">
        <v>9903</v>
      </c>
      <c r="BO55" s="32">
        <v>143</v>
      </c>
      <c r="BP55" s="31"/>
      <c r="BR55" s="32"/>
      <c r="BS55" s="31"/>
      <c r="BU55" s="32"/>
      <c r="BV55" s="31">
        <v>9038</v>
      </c>
      <c r="BW55">
        <v>9644</v>
      </c>
      <c r="BX55" s="32">
        <v>143</v>
      </c>
      <c r="BY55" s="31"/>
      <c r="CA55" s="32"/>
      <c r="CB55" s="78"/>
      <c r="CD55" s="79"/>
      <c r="CE55" s="78">
        <v>12088</v>
      </c>
      <c r="CF55" s="74">
        <v>13812</v>
      </c>
      <c r="CG55" s="79">
        <v>143</v>
      </c>
      <c r="CH55" s="78"/>
      <c r="CJ55" s="79"/>
      <c r="CK55" s="78"/>
      <c r="CM55" s="79"/>
      <c r="CN55" s="31"/>
      <c r="CO55" s="92">
        <f t="shared" si="1"/>
        <v>9785</v>
      </c>
      <c r="CP55" s="39">
        <f t="shared" si="2"/>
        <v>10599.666666666666</v>
      </c>
      <c r="CQ55" s="31"/>
      <c r="CR55" s="32"/>
      <c r="CS55" s="92">
        <f t="shared" si="3"/>
        <v>144.66666666666666</v>
      </c>
      <c r="CT55" s="32"/>
    </row>
    <row r="56" spans="1:98" ht="15.75" thickBot="1">
      <c r="A56" s="33"/>
      <c r="B56" s="7" t="s">
        <v>159</v>
      </c>
      <c r="C56" s="34"/>
      <c r="D56" s="34" t="s">
        <v>35</v>
      </c>
      <c r="E56" s="33"/>
      <c r="F56" s="34"/>
      <c r="G56" s="34"/>
      <c r="H56" s="34"/>
      <c r="I56" s="33"/>
      <c r="J56" s="34"/>
      <c r="K56" s="34"/>
      <c r="L56" s="34">
        <v>1681</v>
      </c>
      <c r="M56" s="33"/>
      <c r="N56" s="34"/>
      <c r="O56" s="34"/>
      <c r="P56" s="34">
        <v>1777</v>
      </c>
      <c r="Q56" s="33"/>
      <c r="R56" s="34"/>
      <c r="S56" s="34">
        <v>2538</v>
      </c>
      <c r="T56" s="35"/>
      <c r="U56" s="80"/>
      <c r="V56" s="81"/>
      <c r="W56" s="81"/>
      <c r="X56" s="82">
        <v>2907.9</v>
      </c>
      <c r="Y56" s="80"/>
      <c r="Z56" s="81">
        <v>1872</v>
      </c>
      <c r="AA56" s="81"/>
      <c r="AB56" s="82"/>
      <c r="AC56" s="35"/>
      <c r="AD56" s="73">
        <f t="shared" si="0"/>
        <v>1998.6666666666667</v>
      </c>
      <c r="AE56" s="39"/>
      <c r="AF56" s="31"/>
      <c r="AH56" s="32"/>
      <c r="AI56" s="31"/>
      <c r="AK56" s="32"/>
      <c r="AL56" s="31"/>
      <c r="AN56" s="32"/>
      <c r="AO56" s="31"/>
      <c r="AQ56" s="32"/>
      <c r="AR56" s="31"/>
      <c r="AT56" s="32"/>
      <c r="AU56" s="31"/>
      <c r="AW56" s="32"/>
      <c r="AX56" s="31"/>
      <c r="AZ56" s="32"/>
      <c r="BA56" s="31"/>
      <c r="BC56" s="32"/>
      <c r="BD56" s="31"/>
      <c r="BF56" s="32"/>
      <c r="BG56" s="31"/>
      <c r="BI56" s="32"/>
      <c r="BJ56" s="31"/>
      <c r="BL56" s="32"/>
      <c r="BM56" s="31"/>
      <c r="BO56" s="32"/>
      <c r="BP56" s="31"/>
      <c r="BR56" s="32"/>
      <c r="BS56" s="31"/>
      <c r="BU56" s="32"/>
      <c r="BV56" s="31"/>
      <c r="BX56" s="32"/>
      <c r="BY56" s="31"/>
      <c r="CA56" s="32"/>
      <c r="CB56" s="78"/>
      <c r="CD56" s="79"/>
      <c r="CE56" s="78"/>
      <c r="CG56" s="79"/>
      <c r="CH56" s="78"/>
      <c r="CJ56" s="79"/>
      <c r="CK56" s="78"/>
      <c r="CM56" s="79"/>
      <c r="CN56" s="31"/>
      <c r="CO56" s="93"/>
      <c r="CP56" s="66"/>
      <c r="CQ56" s="33"/>
      <c r="CR56" s="35"/>
      <c r="CS56" s="93"/>
      <c r="CT56" s="32"/>
    </row>
    <row r="57" spans="1:98" ht="15.75" thickBot="1">
      <c r="A57" s="9" t="s">
        <v>168</v>
      </c>
      <c r="B57" s="7" t="s">
        <v>159</v>
      </c>
      <c r="C57" s="7" t="s">
        <v>117</v>
      </c>
      <c r="D57" s="7" t="s">
        <v>34</v>
      </c>
      <c r="E57" s="218">
        <v>169</v>
      </c>
      <c r="F57" s="219"/>
      <c r="G57" s="219"/>
      <c r="H57" s="219"/>
      <c r="I57" s="9">
        <v>188</v>
      </c>
      <c r="J57" s="7"/>
      <c r="K57" s="7"/>
      <c r="L57" s="7"/>
      <c r="M57" s="9">
        <v>203</v>
      </c>
      <c r="N57" s="7"/>
      <c r="O57" s="7"/>
      <c r="P57" s="7"/>
      <c r="Q57" s="9">
        <v>286</v>
      </c>
      <c r="R57" s="7"/>
      <c r="S57" s="7"/>
      <c r="T57" s="8"/>
      <c r="U57" s="75"/>
      <c r="V57" s="76"/>
      <c r="W57" s="76">
        <v>883</v>
      </c>
      <c r="X57" s="77"/>
      <c r="Y57" s="75">
        <v>314</v>
      </c>
      <c r="Z57" s="76"/>
      <c r="AA57" s="76"/>
      <c r="AB57" s="77"/>
      <c r="AC57" s="8"/>
      <c r="AD57" s="224">
        <f>AVERAGE(E57:H57)</f>
        <v>169</v>
      </c>
      <c r="AE57" s="39"/>
      <c r="AF57" s="218">
        <v>4965</v>
      </c>
      <c r="AG57" s="219">
        <v>3106</v>
      </c>
      <c r="AH57" s="225">
        <v>105</v>
      </c>
      <c r="AI57" s="219"/>
      <c r="AJ57" s="219"/>
      <c r="AK57" s="225"/>
      <c r="AL57" s="7"/>
      <c r="AM57" s="7"/>
      <c r="AN57" s="8"/>
      <c r="AO57" s="7"/>
      <c r="AP57" s="7"/>
      <c r="AQ57" s="8"/>
      <c r="AR57" s="9">
        <v>2118</v>
      </c>
      <c r="AS57" s="7">
        <v>1038</v>
      </c>
      <c r="AT57" s="8">
        <v>148</v>
      </c>
      <c r="AU57" s="7"/>
      <c r="AV57" s="7"/>
      <c r="AW57" s="8"/>
      <c r="AX57" s="7"/>
      <c r="AY57" s="7"/>
      <c r="AZ57" s="8"/>
      <c r="BA57" s="7"/>
      <c r="BB57" s="7"/>
      <c r="BC57" s="8"/>
      <c r="BD57" s="7">
        <v>2333</v>
      </c>
      <c r="BE57" s="7">
        <v>1192</v>
      </c>
      <c r="BF57" s="8">
        <v>156</v>
      </c>
      <c r="BG57" s="9"/>
      <c r="BH57" s="7"/>
      <c r="BI57" s="8"/>
      <c r="BJ57" s="9"/>
      <c r="BK57" s="7"/>
      <c r="BL57" s="8"/>
      <c r="BM57" s="9"/>
      <c r="BN57" s="7"/>
      <c r="BO57" s="8"/>
      <c r="BP57" s="9">
        <v>2770</v>
      </c>
      <c r="BQ57" s="7">
        <v>1468</v>
      </c>
      <c r="BR57" s="8"/>
      <c r="BS57" s="9"/>
      <c r="BT57" s="7"/>
      <c r="BU57" s="8"/>
      <c r="BV57" s="9"/>
      <c r="BW57" s="7"/>
      <c r="BX57" s="8"/>
      <c r="BY57" s="9"/>
      <c r="BZ57" s="7"/>
      <c r="CA57" s="8"/>
      <c r="CB57" s="75">
        <v>3119</v>
      </c>
      <c r="CC57" s="76">
        <v>1537</v>
      </c>
      <c r="CD57" s="77">
        <v>167</v>
      </c>
      <c r="CE57" s="75"/>
      <c r="CF57" s="76"/>
      <c r="CG57" s="77"/>
      <c r="CH57" s="75"/>
      <c r="CI57" s="76"/>
      <c r="CJ57" s="77"/>
      <c r="CK57" s="75"/>
      <c r="CL57" s="76"/>
      <c r="CM57" s="77"/>
      <c r="CN57" s="9"/>
      <c r="CO57" s="228">
        <f>AVERAGE(AF57,AI57,AL57,AO57)</f>
        <v>4965</v>
      </c>
      <c r="CP57" s="228">
        <f>AVERAGE(AG57,AJ57,AM57,AP57)</f>
        <v>3106</v>
      </c>
      <c r="CQ57" s="233"/>
      <c r="CR57" s="234"/>
      <c r="CS57" s="228">
        <f>AVERAGE(AH57,AK57,AN57,AQ57)</f>
        <v>105</v>
      </c>
      <c r="CT57" s="8"/>
    </row>
    <row r="58" spans="1:98" ht="15.75" thickBot="1">
      <c r="A58" s="31"/>
      <c r="B58" s="7" t="s">
        <v>159</v>
      </c>
      <c r="D58" t="s">
        <v>35</v>
      </c>
      <c r="E58" s="220">
        <v>5.2</v>
      </c>
      <c r="F58" s="221"/>
      <c r="G58" s="221"/>
      <c r="H58" s="221"/>
      <c r="I58" s="31">
        <v>1.3</v>
      </c>
      <c r="M58" s="31">
        <v>0.63</v>
      </c>
      <c r="Q58" s="31">
        <v>5.0999999999999996</v>
      </c>
      <c r="T58" s="32"/>
      <c r="U58" s="78"/>
      <c r="W58" s="74">
        <v>1.4</v>
      </c>
      <c r="X58" s="79"/>
      <c r="Y58" s="78">
        <v>9.1</v>
      </c>
      <c r="AB58" s="79"/>
      <c r="AC58" s="32"/>
      <c r="AD58" s="224">
        <f t="shared" ref="AD58:AD63" si="4">AVERAGE(E58:H58)</f>
        <v>5.2</v>
      </c>
      <c r="AE58" s="39"/>
      <c r="AF58" s="220"/>
      <c r="AG58" s="221"/>
      <c r="AH58" s="226"/>
      <c r="AI58" s="220"/>
      <c r="AJ58" s="221"/>
      <c r="AK58" s="226"/>
      <c r="AL58" s="31"/>
      <c r="AN58" s="32"/>
      <c r="AO58" s="31"/>
      <c r="AQ58" s="32"/>
      <c r="AR58" s="31"/>
      <c r="AT58" s="32"/>
      <c r="AU58" s="31"/>
      <c r="AW58" s="32"/>
      <c r="AX58" s="31"/>
      <c r="AZ58" s="32"/>
      <c r="BA58" s="31"/>
      <c r="BC58" s="32"/>
      <c r="BD58" s="31"/>
      <c r="BF58" s="32"/>
      <c r="BG58" s="31"/>
      <c r="BI58" s="32"/>
      <c r="BJ58" s="31"/>
      <c r="BL58" s="32"/>
      <c r="BM58" s="31"/>
      <c r="BO58" s="32"/>
      <c r="BP58" s="31"/>
      <c r="BR58" s="32"/>
      <c r="BS58" s="31"/>
      <c r="BU58" s="32"/>
      <c r="BV58" s="31"/>
      <c r="BX58" s="32"/>
      <c r="BY58" s="31"/>
      <c r="CA58" s="32"/>
      <c r="CB58" s="78"/>
      <c r="CD58" s="79"/>
      <c r="CE58" s="78"/>
      <c r="CG58" s="79"/>
      <c r="CH58" s="78"/>
      <c r="CJ58" s="79"/>
      <c r="CK58" s="78"/>
      <c r="CM58" s="79"/>
      <c r="CN58" s="31"/>
      <c r="CO58" s="229"/>
      <c r="CP58" s="230"/>
      <c r="CQ58" s="235"/>
      <c r="CR58" s="236"/>
      <c r="CS58" s="229"/>
      <c r="CT58" s="32"/>
    </row>
    <row r="59" spans="1:98" ht="15.75" thickBot="1">
      <c r="A59" s="33"/>
      <c r="B59" s="7" t="s">
        <v>159</v>
      </c>
      <c r="C59" s="34"/>
      <c r="D59" s="34"/>
      <c r="E59" s="222"/>
      <c r="F59" s="223"/>
      <c r="G59" s="223"/>
      <c r="H59" s="223"/>
      <c r="I59" s="33"/>
      <c r="J59" s="34"/>
      <c r="K59" s="34"/>
      <c r="L59" s="34"/>
      <c r="M59" s="33"/>
      <c r="N59" s="34"/>
      <c r="O59" s="34"/>
      <c r="P59" s="34"/>
      <c r="Q59" s="33"/>
      <c r="R59" s="34"/>
      <c r="S59" s="34"/>
      <c r="T59" s="35"/>
      <c r="U59" s="80"/>
      <c r="V59" s="81"/>
      <c r="W59" s="81"/>
      <c r="X59" s="82"/>
      <c r="Y59" s="80"/>
      <c r="Z59" s="81"/>
      <c r="AA59" s="81"/>
      <c r="AB59" s="82"/>
      <c r="AC59" s="35"/>
      <c r="AD59" s="224"/>
      <c r="AE59" s="39"/>
      <c r="AF59" s="222"/>
      <c r="AG59" s="223"/>
      <c r="AH59" s="227"/>
      <c r="AI59" s="222"/>
      <c r="AJ59" s="223"/>
      <c r="AK59" s="227"/>
      <c r="AL59" s="33"/>
      <c r="AM59" s="34"/>
      <c r="AN59" s="35"/>
      <c r="AO59" s="33"/>
      <c r="AP59" s="34"/>
      <c r="AQ59" s="35"/>
      <c r="AR59" s="33"/>
      <c r="AS59" s="34"/>
      <c r="AT59" s="35"/>
      <c r="AU59" s="33"/>
      <c r="AV59" s="34"/>
      <c r="AW59" s="35"/>
      <c r="AX59" s="33"/>
      <c r="AY59" s="34"/>
      <c r="AZ59" s="35"/>
      <c r="BA59" s="33"/>
      <c r="BB59" s="34"/>
      <c r="BC59" s="35"/>
      <c r="BD59" s="33"/>
      <c r="BE59" s="34"/>
      <c r="BF59" s="35"/>
      <c r="BG59" s="33"/>
      <c r="BH59" s="34"/>
      <c r="BI59" s="35"/>
      <c r="BJ59" s="33"/>
      <c r="BK59" s="34"/>
      <c r="BL59" s="35"/>
      <c r="BM59" s="33"/>
      <c r="BN59" s="34"/>
      <c r="BO59" s="35"/>
      <c r="BP59" s="33"/>
      <c r="BQ59" s="34"/>
      <c r="BR59" s="35"/>
      <c r="BS59" s="33"/>
      <c r="BT59" s="34"/>
      <c r="BU59" s="35"/>
      <c r="BV59" s="33"/>
      <c r="BW59" s="34"/>
      <c r="BX59" s="35"/>
      <c r="BY59" s="33"/>
      <c r="BZ59" s="34"/>
      <c r="CA59" s="35"/>
      <c r="CB59" s="80"/>
      <c r="CC59" s="81"/>
      <c r="CD59" s="82"/>
      <c r="CE59" s="80"/>
      <c r="CF59" s="81"/>
      <c r="CG59" s="82"/>
      <c r="CH59" s="80"/>
      <c r="CI59" s="81"/>
      <c r="CJ59" s="82"/>
      <c r="CK59" s="80"/>
      <c r="CL59" s="81"/>
      <c r="CM59" s="82"/>
      <c r="CN59" s="33"/>
      <c r="CO59" s="231"/>
      <c r="CP59" s="232"/>
      <c r="CQ59" s="237"/>
      <c r="CR59" s="238"/>
      <c r="CS59" s="231"/>
      <c r="CT59" s="35"/>
    </row>
    <row r="60" spans="1:98" ht="15.75" thickBot="1">
      <c r="A60" s="9" t="s">
        <v>168</v>
      </c>
      <c r="B60" s="7" t="s">
        <v>159</v>
      </c>
      <c r="C60" s="7" t="s">
        <v>118</v>
      </c>
      <c r="D60" s="7" t="s">
        <v>141</v>
      </c>
      <c r="E60" s="218"/>
      <c r="F60" s="219">
        <v>69.599999999999994</v>
      </c>
      <c r="G60" s="219"/>
      <c r="H60" s="219"/>
      <c r="I60" s="9">
        <v>186</v>
      </c>
      <c r="J60" s="7"/>
      <c r="K60" s="7"/>
      <c r="L60" s="7"/>
      <c r="M60" s="9">
        <v>209</v>
      </c>
      <c r="N60" s="7"/>
      <c r="O60" s="7"/>
      <c r="P60" s="7"/>
      <c r="Q60" s="9">
        <v>242</v>
      </c>
      <c r="R60" s="7"/>
      <c r="S60" s="7"/>
      <c r="T60" s="8"/>
      <c r="U60" s="75"/>
      <c r="V60" s="76"/>
      <c r="W60" s="76">
        <v>278</v>
      </c>
      <c r="X60" s="77"/>
      <c r="Y60" s="75">
        <v>264</v>
      </c>
      <c r="Z60" s="76"/>
      <c r="AA60" s="76"/>
      <c r="AB60" s="77"/>
      <c r="AC60" s="8"/>
      <c r="AD60" s="224">
        <f t="shared" si="4"/>
        <v>69.599999999999994</v>
      </c>
      <c r="AE60" s="39"/>
      <c r="AF60" s="218"/>
      <c r="AG60" s="219"/>
      <c r="AH60" s="225"/>
      <c r="AI60" s="218">
        <v>2049</v>
      </c>
      <c r="AJ60" s="219">
        <v>1249</v>
      </c>
      <c r="AK60" s="225">
        <v>144</v>
      </c>
      <c r="AL60" s="9"/>
      <c r="AM60" s="7"/>
      <c r="AN60" s="8"/>
      <c r="AO60" s="9"/>
      <c r="AP60" s="7"/>
      <c r="AQ60" s="8"/>
      <c r="AR60" s="9">
        <v>2178</v>
      </c>
      <c r="AS60" s="7">
        <v>1036</v>
      </c>
      <c r="AT60" s="8">
        <v>144</v>
      </c>
      <c r="AU60" s="9"/>
      <c r="AV60" s="7"/>
      <c r="AW60" s="8"/>
      <c r="AX60" s="9"/>
      <c r="AY60" s="7"/>
      <c r="AZ60" s="8"/>
      <c r="BA60" s="9"/>
      <c r="BB60" s="7"/>
      <c r="BC60" s="8"/>
      <c r="BD60" s="9"/>
      <c r="BE60" s="7"/>
      <c r="BF60" s="8"/>
      <c r="BG60" s="9">
        <v>2368</v>
      </c>
      <c r="BH60" s="7">
        <v>1205</v>
      </c>
      <c r="BI60" s="8">
        <v>158</v>
      </c>
      <c r="BJ60" s="9"/>
      <c r="BK60" s="7"/>
      <c r="BL60" s="8"/>
      <c r="BM60" s="9"/>
      <c r="BN60" s="7"/>
      <c r="BO60" s="8"/>
      <c r="BP60" s="9">
        <v>2477</v>
      </c>
      <c r="BQ60" s="7">
        <v>1287</v>
      </c>
      <c r="BR60" s="8">
        <v>159</v>
      </c>
      <c r="BS60" s="9"/>
      <c r="BT60" s="7"/>
      <c r="BU60" s="8"/>
      <c r="BV60" s="9"/>
      <c r="BW60" s="7"/>
      <c r="BX60" s="8"/>
      <c r="BY60" s="9"/>
      <c r="BZ60" s="7"/>
      <c r="CA60" s="8"/>
      <c r="CB60" s="75">
        <v>2513</v>
      </c>
      <c r="CC60" s="76">
        <v>1364</v>
      </c>
      <c r="CD60" s="77">
        <v>169</v>
      </c>
      <c r="CE60" s="75"/>
      <c r="CF60" s="76"/>
      <c r="CG60" s="77"/>
      <c r="CH60" s="75"/>
      <c r="CI60" s="76"/>
      <c r="CJ60" s="77"/>
      <c r="CK60" s="75"/>
      <c r="CL60" s="76"/>
      <c r="CM60" s="77"/>
      <c r="CN60" s="31"/>
      <c r="CO60" s="228">
        <f>AVERAGE(AF60,AI60,AL60,AO60)</f>
        <v>2049</v>
      </c>
      <c r="CP60" s="228">
        <f>AVERAGE(AG60,AJ60,AM60,AP60)</f>
        <v>1249</v>
      </c>
      <c r="CQ60" s="233"/>
      <c r="CR60" s="234"/>
      <c r="CS60" s="228">
        <f>AVERAGE(AH60,AK60,AN60,AQ60)</f>
        <v>144</v>
      </c>
      <c r="CT60" s="8"/>
    </row>
    <row r="61" spans="1:98" ht="15.75" thickBot="1">
      <c r="A61" s="33"/>
      <c r="B61" s="7" t="s">
        <v>159</v>
      </c>
      <c r="C61" s="34"/>
      <c r="D61" s="34" t="s">
        <v>35</v>
      </c>
      <c r="E61" s="222"/>
      <c r="F61" s="223">
        <v>2.2000000000000002</v>
      </c>
      <c r="G61" s="223"/>
      <c r="H61" s="223"/>
      <c r="I61" s="33">
        <v>0.4</v>
      </c>
      <c r="J61" s="34"/>
      <c r="K61" s="34"/>
      <c r="L61" s="34"/>
      <c r="M61" s="33">
        <v>0.64</v>
      </c>
      <c r="N61" s="34"/>
      <c r="O61" s="34"/>
      <c r="P61" s="34"/>
      <c r="Q61" s="33">
        <v>4.2</v>
      </c>
      <c r="R61" s="34"/>
      <c r="S61" s="34"/>
      <c r="T61" s="35"/>
      <c r="U61" s="80"/>
      <c r="V61" s="81"/>
      <c r="W61" s="81">
        <v>0.5</v>
      </c>
      <c r="X61" s="82"/>
      <c r="Y61" s="80">
        <v>5.8</v>
      </c>
      <c r="Z61" s="81"/>
      <c r="AA61" s="81"/>
      <c r="AB61" s="82"/>
      <c r="AC61" s="35"/>
      <c r="AD61" s="224">
        <f t="shared" si="4"/>
        <v>2.2000000000000002</v>
      </c>
      <c r="AE61" s="39"/>
      <c r="AF61" s="222"/>
      <c r="AG61" s="223"/>
      <c r="AH61" s="227"/>
      <c r="AI61" s="222"/>
      <c r="AJ61" s="223"/>
      <c r="AK61" s="227"/>
      <c r="AL61" s="33"/>
      <c r="AM61" s="34"/>
      <c r="AN61" s="35"/>
      <c r="AO61" s="33"/>
      <c r="AP61" s="34"/>
      <c r="AQ61" s="35"/>
      <c r="AR61" s="33"/>
      <c r="AS61" s="34"/>
      <c r="AT61" s="35"/>
      <c r="AU61" s="33"/>
      <c r="AV61" s="34"/>
      <c r="AW61" s="35"/>
      <c r="AX61" s="33"/>
      <c r="AY61" s="34"/>
      <c r="AZ61" s="35"/>
      <c r="BA61" s="33"/>
      <c r="BB61" s="34"/>
      <c r="BC61" s="35"/>
      <c r="BD61" s="33"/>
      <c r="BE61" s="34"/>
      <c r="BF61" s="35"/>
      <c r="BG61" s="33"/>
      <c r="BH61" s="34"/>
      <c r="BI61" s="35"/>
      <c r="BJ61" s="33"/>
      <c r="BK61" s="34"/>
      <c r="BL61" s="35"/>
      <c r="BM61" s="33"/>
      <c r="BN61" s="34"/>
      <c r="BO61" s="35"/>
      <c r="BP61" s="33"/>
      <c r="BQ61" s="34"/>
      <c r="BR61" s="35"/>
      <c r="BS61" s="33"/>
      <c r="BT61" s="34"/>
      <c r="BU61" s="35"/>
      <c r="BV61" s="33"/>
      <c r="BW61" s="34"/>
      <c r="BX61" s="35"/>
      <c r="BY61" s="33"/>
      <c r="BZ61" s="34"/>
      <c r="CA61" s="35"/>
      <c r="CB61" s="80"/>
      <c r="CC61" s="81"/>
      <c r="CD61" s="82"/>
      <c r="CE61" s="80"/>
      <c r="CF61" s="81"/>
      <c r="CG61" s="82"/>
      <c r="CH61" s="80"/>
      <c r="CI61" s="81"/>
      <c r="CJ61" s="82"/>
      <c r="CK61" s="80"/>
      <c r="CL61" s="81"/>
      <c r="CM61" s="82"/>
      <c r="CN61" s="33"/>
      <c r="CO61" s="231"/>
      <c r="CP61" s="232"/>
      <c r="CQ61" s="237"/>
      <c r="CR61" s="238"/>
      <c r="CS61" s="231"/>
      <c r="CT61" s="35"/>
    </row>
    <row r="62" spans="1:98" ht="15.75" thickBot="1">
      <c r="A62" s="9" t="s">
        <v>168</v>
      </c>
      <c r="B62" s="7" t="s">
        <v>159</v>
      </c>
      <c r="C62" s="7" t="s">
        <v>119</v>
      </c>
      <c r="D62" s="7" t="s">
        <v>34</v>
      </c>
      <c r="E62" s="218">
        <v>165</v>
      </c>
      <c r="F62" s="219"/>
      <c r="G62" s="219"/>
      <c r="H62" s="219"/>
      <c r="I62" s="9"/>
      <c r="J62" s="7"/>
      <c r="K62" s="7"/>
      <c r="L62" s="7"/>
      <c r="M62" s="9"/>
      <c r="N62" s="7"/>
      <c r="O62" s="7"/>
      <c r="P62" s="7"/>
      <c r="Q62" s="9">
        <v>316</v>
      </c>
      <c r="R62" s="7"/>
      <c r="S62" s="7"/>
      <c r="T62" s="8"/>
      <c r="U62" s="75"/>
      <c r="V62" s="76"/>
      <c r="W62" s="76">
        <v>460</v>
      </c>
      <c r="X62" s="77"/>
      <c r="Y62" s="75">
        <v>282</v>
      </c>
      <c r="Z62" s="76"/>
      <c r="AA62" s="76"/>
      <c r="AB62" s="77"/>
      <c r="AC62" s="8"/>
      <c r="AD62" s="224">
        <f t="shared" si="4"/>
        <v>165</v>
      </c>
      <c r="AE62" s="39"/>
      <c r="AF62" s="220">
        <v>4520</v>
      </c>
      <c r="AG62" s="221">
        <v>2816</v>
      </c>
      <c r="AH62" s="226">
        <v>101</v>
      </c>
      <c r="AI62" s="220"/>
      <c r="AJ62" s="221"/>
      <c r="AK62" s="226"/>
      <c r="AL62" s="31"/>
      <c r="AN62" s="32"/>
      <c r="AO62" s="31"/>
      <c r="AQ62" s="32"/>
      <c r="AR62" s="31"/>
      <c r="AT62" s="32"/>
      <c r="AU62" s="31"/>
      <c r="AW62" s="32"/>
      <c r="AX62" s="31"/>
      <c r="AZ62" s="32"/>
      <c r="BA62" s="31"/>
      <c r="BC62" s="32"/>
      <c r="BD62" s="31"/>
      <c r="BF62" s="32"/>
      <c r="BG62" s="31"/>
      <c r="BI62" s="32"/>
      <c r="BJ62" s="31"/>
      <c r="BL62" s="32"/>
      <c r="BM62" s="31"/>
      <c r="BO62" s="32"/>
      <c r="BP62" s="31"/>
      <c r="BR62" s="32"/>
      <c r="BS62" s="31"/>
      <c r="BU62" s="32"/>
      <c r="BV62" s="31"/>
      <c r="BX62" s="32"/>
      <c r="BY62" s="31"/>
      <c r="CA62" s="32"/>
      <c r="CB62" s="78">
        <v>2551</v>
      </c>
      <c r="CC62" s="74">
        <v>1399</v>
      </c>
      <c r="CD62" s="79">
        <v>166</v>
      </c>
      <c r="CE62" s="78"/>
      <c r="CG62" s="79"/>
      <c r="CH62" s="78"/>
      <c r="CJ62" s="79"/>
      <c r="CK62" s="78"/>
      <c r="CM62" s="79"/>
      <c r="CN62" s="31"/>
      <c r="CO62" s="228">
        <f>AVERAGE(AF62,AI62,AL62,AO62)</f>
        <v>4520</v>
      </c>
      <c r="CP62" s="228">
        <f>AVERAGE(AG62,AJ62,AM62,AP62)</f>
        <v>2816</v>
      </c>
      <c r="CQ62" s="233"/>
      <c r="CR62" s="234"/>
      <c r="CS62" s="228">
        <f>AVERAGE(AH62,AK62,AN62,AQ62)</f>
        <v>101</v>
      </c>
      <c r="CT62" s="8"/>
    </row>
    <row r="63" spans="1:98" ht="15.75" thickBot="1">
      <c r="A63" s="31"/>
      <c r="B63" s="7" t="s">
        <v>159</v>
      </c>
      <c r="D63" t="s">
        <v>35</v>
      </c>
      <c r="E63" s="220">
        <v>3.4</v>
      </c>
      <c r="F63" s="221"/>
      <c r="G63" s="221"/>
      <c r="H63" s="221"/>
      <c r="I63" s="31"/>
      <c r="M63" s="31"/>
      <c r="Q63" s="31">
        <v>6.7</v>
      </c>
      <c r="T63" s="32"/>
      <c r="U63" s="78"/>
      <c r="W63" s="74">
        <v>0.62</v>
      </c>
      <c r="X63" s="79"/>
      <c r="Y63" s="78">
        <v>5.3</v>
      </c>
      <c r="AB63" s="79"/>
      <c r="AC63" s="32"/>
      <c r="AD63" s="224">
        <f t="shared" si="4"/>
        <v>3.4</v>
      </c>
      <c r="AE63" s="39"/>
      <c r="AF63" s="220"/>
      <c r="AG63" s="221"/>
      <c r="AH63" s="226"/>
      <c r="AI63" s="220"/>
      <c r="AJ63" s="221"/>
      <c r="AK63" s="226"/>
      <c r="AL63" s="31"/>
      <c r="AN63" s="32"/>
      <c r="AO63" s="31"/>
      <c r="AQ63" s="32"/>
      <c r="AR63" s="31"/>
      <c r="AT63" s="32"/>
      <c r="AU63" s="31"/>
      <c r="AW63" s="32"/>
      <c r="AX63" s="31"/>
      <c r="AZ63" s="32"/>
      <c r="BA63" s="31"/>
      <c r="BC63" s="32"/>
      <c r="BD63" s="31"/>
      <c r="BF63" s="32"/>
      <c r="BG63" s="31"/>
      <c r="BI63" s="32"/>
      <c r="BJ63" s="31"/>
      <c r="BL63" s="32"/>
      <c r="BM63" s="31"/>
      <c r="BO63" s="32"/>
      <c r="BP63" s="31"/>
      <c r="BR63" s="32"/>
      <c r="BS63" s="31"/>
      <c r="BU63" s="32"/>
      <c r="BV63" s="31"/>
      <c r="BX63" s="32"/>
      <c r="BY63" s="31"/>
      <c r="CA63" s="32"/>
      <c r="CB63" s="78"/>
      <c r="CD63" s="79"/>
      <c r="CE63" s="78"/>
      <c r="CG63" s="79"/>
      <c r="CH63" s="78"/>
      <c r="CJ63" s="79"/>
      <c r="CK63" s="78"/>
      <c r="CM63" s="79"/>
      <c r="CN63" s="31"/>
      <c r="CO63" s="231"/>
      <c r="CP63" s="232"/>
      <c r="CQ63" s="237"/>
      <c r="CR63" s="238"/>
      <c r="CS63" s="231"/>
      <c r="CT63" s="35"/>
    </row>
    <row r="64" spans="1:98" ht="15.75" thickBot="1">
      <c r="A64" s="9" t="s">
        <v>169</v>
      </c>
      <c r="B64" s="7" t="s">
        <v>159</v>
      </c>
      <c r="C64" s="7" t="s">
        <v>106</v>
      </c>
      <c r="D64" s="7" t="s">
        <v>32</v>
      </c>
      <c r="E64" s="9"/>
      <c r="F64" s="7"/>
      <c r="G64" s="7"/>
      <c r="H64" s="7"/>
      <c r="I64" s="9"/>
      <c r="J64" s="7"/>
      <c r="K64" s="7">
        <v>0.46</v>
      </c>
      <c r="L64" s="7"/>
      <c r="M64" s="9"/>
      <c r="N64" s="7"/>
      <c r="O64" s="7">
        <v>1.4</v>
      </c>
      <c r="P64" s="7"/>
      <c r="Q64" s="9"/>
      <c r="R64" s="7"/>
      <c r="S64" s="7">
        <v>0.22</v>
      </c>
      <c r="T64" s="8"/>
      <c r="U64" s="75"/>
      <c r="V64" s="76"/>
      <c r="W64" s="76"/>
      <c r="X64" s="77">
        <v>2.5</v>
      </c>
      <c r="Y64" s="75"/>
      <c r="Z64" s="76"/>
      <c r="AA64" s="76">
        <v>1.4</v>
      </c>
      <c r="AB64" s="77"/>
      <c r="AC64" s="8"/>
      <c r="AD64" s="73">
        <f t="shared" si="0"/>
        <v>0.69333333333333336</v>
      </c>
      <c r="AE64" s="65"/>
      <c r="AF64" s="9"/>
      <c r="AG64" s="7"/>
      <c r="AH64" s="8"/>
      <c r="AI64" s="9"/>
      <c r="AJ64" s="7"/>
      <c r="AK64" s="8"/>
      <c r="AL64" s="9"/>
      <c r="AM64" s="7"/>
      <c r="AN64" s="8"/>
      <c r="AO64" s="9"/>
      <c r="AP64" s="7"/>
      <c r="AQ64" s="8"/>
      <c r="AR64" s="9"/>
      <c r="AS64" s="7"/>
      <c r="AT64" s="8"/>
      <c r="AU64" s="9"/>
      <c r="AV64" s="7"/>
      <c r="AW64" s="8"/>
      <c r="AX64" s="9">
        <v>8242</v>
      </c>
      <c r="AY64" s="7">
        <v>7680</v>
      </c>
      <c r="AZ64" s="8">
        <v>20</v>
      </c>
      <c r="BA64" s="9"/>
      <c r="BB64" s="7"/>
      <c r="BC64" s="8"/>
      <c r="BD64" s="9"/>
      <c r="BE64" s="7"/>
      <c r="BF64" s="8"/>
      <c r="BG64" s="9"/>
      <c r="BH64" s="7"/>
      <c r="BI64" s="8"/>
      <c r="BJ64" s="9">
        <v>4790</v>
      </c>
      <c r="BK64" s="7">
        <v>4419</v>
      </c>
      <c r="BL64" s="8">
        <v>23</v>
      </c>
      <c r="BM64" s="9"/>
      <c r="BN64" s="7"/>
      <c r="BO64" s="8"/>
      <c r="BP64" s="9"/>
      <c r="BQ64" s="7"/>
      <c r="BR64" s="8"/>
      <c r="BS64" s="9"/>
      <c r="BT64" s="7"/>
      <c r="BU64" s="8"/>
      <c r="BV64" s="9">
        <v>4822</v>
      </c>
      <c r="BW64" s="7">
        <v>4311</v>
      </c>
      <c r="BX64" s="8">
        <v>31.5</v>
      </c>
      <c r="BY64" s="9"/>
      <c r="BZ64" s="7"/>
      <c r="CA64" s="8"/>
      <c r="CB64" s="75"/>
      <c r="CC64" s="76"/>
      <c r="CD64" s="77"/>
      <c r="CE64" s="75"/>
      <c r="CF64" s="76"/>
      <c r="CG64" s="77"/>
      <c r="CH64" s="75">
        <v>2968</v>
      </c>
      <c r="CI64" s="76">
        <v>2706</v>
      </c>
      <c r="CJ64" s="77">
        <v>28</v>
      </c>
      <c r="CK64" s="75"/>
      <c r="CL64" s="76"/>
      <c r="CM64" s="77"/>
      <c r="CN64" s="9"/>
      <c r="CO64" s="92">
        <f t="shared" si="1"/>
        <v>5951.333333333333</v>
      </c>
      <c r="CP64" s="39">
        <f t="shared" si="2"/>
        <v>5470</v>
      </c>
      <c r="CQ64" s="31"/>
      <c r="CR64" s="32"/>
      <c r="CS64" s="92">
        <f t="shared" si="3"/>
        <v>24.833333333333332</v>
      </c>
      <c r="CT64" s="32"/>
    </row>
    <row r="65" spans="1:98" ht="15.75" thickBot="1">
      <c r="A65" s="31"/>
      <c r="B65" s="7" t="s">
        <v>159</v>
      </c>
      <c r="D65" t="s">
        <v>37</v>
      </c>
      <c r="E65" s="31"/>
      <c r="I65" s="31"/>
      <c r="K65">
        <v>5.7</v>
      </c>
      <c r="M65" s="31"/>
      <c r="O65">
        <v>359</v>
      </c>
      <c r="Q65" s="31"/>
      <c r="S65" s="64">
        <v>211</v>
      </c>
      <c r="T65" s="32"/>
      <c r="U65" s="78"/>
      <c r="X65" s="79">
        <v>19.100000000000001</v>
      </c>
      <c r="Y65" s="78"/>
      <c r="AA65" s="74">
        <v>2</v>
      </c>
      <c r="AB65" s="79"/>
      <c r="AC65" s="32"/>
      <c r="AD65" s="73">
        <f t="shared" si="0"/>
        <v>191.9</v>
      </c>
      <c r="AE65" s="39"/>
      <c r="AF65" s="31"/>
      <c r="AH65" s="32"/>
      <c r="AI65" s="31"/>
      <c r="AK65" s="32"/>
      <c r="AL65" s="31"/>
      <c r="AN65" s="32"/>
      <c r="AO65" s="31"/>
      <c r="AQ65" s="32"/>
      <c r="AR65" s="31"/>
      <c r="AT65" s="32"/>
      <c r="AU65" s="31"/>
      <c r="AW65" s="32"/>
      <c r="AX65" s="31"/>
      <c r="AZ65" s="32"/>
      <c r="BA65" s="31"/>
      <c r="BC65" s="32"/>
      <c r="BD65" s="31"/>
      <c r="BF65" s="32"/>
      <c r="BG65" s="31"/>
      <c r="BI65" s="32"/>
      <c r="BJ65" s="31"/>
      <c r="BL65" s="32"/>
      <c r="BM65" s="31"/>
      <c r="BO65" s="32"/>
      <c r="BP65" s="31"/>
      <c r="BR65" s="32"/>
      <c r="BS65" s="31"/>
      <c r="BU65" s="32"/>
      <c r="BV65" s="31"/>
      <c r="BX65" s="32"/>
      <c r="BY65" s="31"/>
      <c r="CA65" s="32"/>
      <c r="CB65" s="78"/>
      <c r="CD65" s="79"/>
      <c r="CE65" s="78"/>
      <c r="CG65" s="79"/>
      <c r="CH65" s="78"/>
      <c r="CJ65" s="79"/>
      <c r="CK65" s="78"/>
      <c r="CM65" s="79"/>
      <c r="CN65" s="31"/>
      <c r="CO65" s="92"/>
      <c r="CP65" s="39"/>
      <c r="CQ65" s="31"/>
      <c r="CR65" s="32"/>
      <c r="CS65" s="92"/>
      <c r="CT65" s="32"/>
    </row>
    <row r="66" spans="1:98" ht="15.75" thickBot="1">
      <c r="A66" s="33"/>
      <c r="B66" s="7" t="s">
        <v>159</v>
      </c>
      <c r="C66" s="34"/>
      <c r="D66" s="34" t="s">
        <v>39</v>
      </c>
      <c r="E66" s="33"/>
      <c r="F66" s="34"/>
      <c r="G66" s="34"/>
      <c r="H66" s="34"/>
      <c r="I66" s="33"/>
      <c r="J66" s="34"/>
      <c r="K66" s="34">
        <v>63.2</v>
      </c>
      <c r="L66" s="34"/>
      <c r="M66" s="33"/>
      <c r="N66" s="34"/>
      <c r="O66" s="34">
        <v>25.7</v>
      </c>
      <c r="P66" s="34"/>
      <c r="Q66" s="33"/>
      <c r="R66" s="34"/>
      <c r="S66" s="34">
        <v>17.2</v>
      </c>
      <c r="T66" s="35"/>
      <c r="U66" s="80"/>
      <c r="V66" s="81"/>
      <c r="W66" s="81"/>
      <c r="X66" s="82">
        <v>11.5</v>
      </c>
      <c r="Y66" s="80"/>
      <c r="Z66" s="81"/>
      <c r="AA66" s="81">
        <v>26.9</v>
      </c>
      <c r="AB66" s="82"/>
      <c r="AC66" s="35"/>
      <c r="AD66" s="73">
        <f t="shared" si="0"/>
        <v>35.366666666666667</v>
      </c>
      <c r="AE66" s="66"/>
      <c r="AF66" s="33"/>
      <c r="AG66" s="34"/>
      <c r="AH66" s="35"/>
      <c r="AI66" s="33"/>
      <c r="AJ66" s="34"/>
      <c r="AK66" s="35"/>
      <c r="AL66" s="33"/>
      <c r="AM66" s="34"/>
      <c r="AN66" s="35"/>
      <c r="AO66" s="33"/>
      <c r="AP66" s="34"/>
      <c r="AQ66" s="35"/>
      <c r="AR66" s="33"/>
      <c r="AS66" s="34"/>
      <c r="AT66" s="35"/>
      <c r="AU66" s="33"/>
      <c r="AV66" s="34"/>
      <c r="AW66" s="35"/>
      <c r="AX66" s="33"/>
      <c r="AY66" s="34"/>
      <c r="AZ66" s="35"/>
      <c r="BA66" s="33"/>
      <c r="BB66" s="34"/>
      <c r="BC66" s="35"/>
      <c r="BD66" s="33"/>
      <c r="BE66" s="34"/>
      <c r="BF66" s="35"/>
      <c r="BG66" s="33"/>
      <c r="BH66" s="34"/>
      <c r="BI66" s="35"/>
      <c r="BJ66" s="33"/>
      <c r="BK66" s="34"/>
      <c r="BL66" s="35"/>
      <c r="BM66" s="33"/>
      <c r="BN66" s="34"/>
      <c r="BO66" s="35"/>
      <c r="BP66" s="33"/>
      <c r="BQ66" s="34"/>
      <c r="BR66" s="35"/>
      <c r="BS66" s="33"/>
      <c r="BT66" s="34"/>
      <c r="BU66" s="35"/>
      <c r="BV66" s="33"/>
      <c r="BW66" s="34"/>
      <c r="BX66" s="35"/>
      <c r="BY66" s="33"/>
      <c r="BZ66" s="34"/>
      <c r="CA66" s="35"/>
      <c r="CB66" s="80"/>
      <c r="CC66" s="81"/>
      <c r="CD66" s="82"/>
      <c r="CE66" s="80"/>
      <c r="CF66" s="81"/>
      <c r="CG66" s="82"/>
      <c r="CH66" s="80"/>
      <c r="CI66" s="81"/>
      <c r="CJ66" s="82"/>
      <c r="CK66" s="80"/>
      <c r="CL66" s="81"/>
      <c r="CM66" s="82"/>
      <c r="CN66" s="33"/>
      <c r="CO66" s="92"/>
      <c r="CP66" s="39"/>
      <c r="CQ66" s="31"/>
      <c r="CR66" s="32"/>
      <c r="CS66" s="92"/>
      <c r="CT66" s="35"/>
    </row>
    <row r="67" spans="1:98" ht="15.75" thickBot="1">
      <c r="A67" s="67" t="s">
        <v>107</v>
      </c>
      <c r="B67" s="7" t="s">
        <v>159</v>
      </c>
      <c r="C67" s="68" t="s">
        <v>108</v>
      </c>
      <c r="D67" s="68" t="s">
        <v>34</v>
      </c>
      <c r="E67" s="67"/>
      <c r="F67" s="68"/>
      <c r="G67" s="68"/>
      <c r="H67" s="68"/>
      <c r="I67" s="67"/>
      <c r="J67" s="68">
        <v>17.2</v>
      </c>
      <c r="K67" s="68"/>
      <c r="L67" s="68">
        <v>11.7</v>
      </c>
      <c r="M67" s="67"/>
      <c r="N67" s="68"/>
      <c r="O67" s="68"/>
      <c r="P67" s="68">
        <v>21.1</v>
      </c>
      <c r="Q67" s="67"/>
      <c r="R67" s="68">
        <v>12.5</v>
      </c>
      <c r="S67" s="68"/>
      <c r="T67" s="69">
        <v>32.299999999999997</v>
      </c>
      <c r="U67" s="83"/>
      <c r="V67" s="84"/>
      <c r="W67" s="84"/>
      <c r="X67" s="85"/>
      <c r="Y67" s="83">
        <v>116</v>
      </c>
      <c r="Z67" s="84"/>
      <c r="AA67" s="84"/>
      <c r="AB67" s="85">
        <v>30.6</v>
      </c>
      <c r="AC67" s="217"/>
      <c r="AD67" s="73">
        <f t="shared" si="0"/>
        <v>18.96</v>
      </c>
      <c r="AE67" s="70"/>
      <c r="AF67" s="67"/>
      <c r="AG67" s="68"/>
      <c r="AH67" s="69"/>
      <c r="AI67" s="67"/>
      <c r="AJ67" s="68"/>
      <c r="AK67" s="69"/>
      <c r="AL67" s="67"/>
      <c r="AM67" s="68"/>
      <c r="AN67" s="69"/>
      <c r="AO67" s="67"/>
      <c r="AP67" s="68"/>
      <c r="AQ67" s="69"/>
      <c r="AR67" s="67"/>
      <c r="AS67" s="68"/>
      <c r="AT67" s="69"/>
      <c r="AU67" s="67">
        <v>37342</v>
      </c>
      <c r="AV67" s="68">
        <v>31585</v>
      </c>
      <c r="AW67" s="69">
        <v>11.5</v>
      </c>
      <c r="AX67" s="67"/>
      <c r="AY67" s="68"/>
      <c r="AZ67" s="69"/>
      <c r="BA67" s="67">
        <v>31933</v>
      </c>
      <c r="BB67" s="68">
        <v>27048</v>
      </c>
      <c r="BC67" s="69">
        <v>45.5</v>
      </c>
      <c r="BD67" s="67"/>
      <c r="BE67" s="68"/>
      <c r="BF67" s="69"/>
      <c r="BG67" s="67"/>
      <c r="BH67" s="68"/>
      <c r="BI67" s="69"/>
      <c r="BJ67" s="67"/>
      <c r="BK67" s="68"/>
      <c r="BL67" s="69"/>
      <c r="BM67" s="67">
        <v>36710</v>
      </c>
      <c r="BN67" s="68">
        <v>30125</v>
      </c>
      <c r="BO67" s="69">
        <v>52.8</v>
      </c>
      <c r="BP67" s="67"/>
      <c r="BQ67" s="68"/>
      <c r="BR67" s="69"/>
      <c r="BS67" s="67">
        <v>25652</v>
      </c>
      <c r="BT67" s="68">
        <v>21332</v>
      </c>
      <c r="BU67" s="69">
        <v>7.9</v>
      </c>
      <c r="BV67" s="67"/>
      <c r="BW67" s="68"/>
      <c r="BX67" s="69"/>
      <c r="BY67" s="67">
        <v>37741</v>
      </c>
      <c r="BZ67" s="68">
        <v>31324</v>
      </c>
      <c r="CA67" s="69">
        <v>55</v>
      </c>
      <c r="CB67" s="83">
        <v>39483</v>
      </c>
      <c r="CC67" s="84">
        <v>32168</v>
      </c>
      <c r="CD67" s="85">
        <v>58</v>
      </c>
      <c r="CE67" s="83"/>
      <c r="CF67" s="84"/>
      <c r="CG67" s="85"/>
      <c r="CH67" s="83"/>
      <c r="CI67" s="84"/>
      <c r="CJ67" s="85"/>
      <c r="CK67" s="83">
        <v>39581</v>
      </c>
      <c r="CL67" s="84">
        <v>33372</v>
      </c>
      <c r="CM67" s="85">
        <v>54.3</v>
      </c>
      <c r="CN67" s="67"/>
      <c r="CO67" s="98">
        <f t="shared" si="1"/>
        <v>33875.599999999999</v>
      </c>
      <c r="CP67" s="70">
        <f t="shared" si="2"/>
        <v>28282.799999999999</v>
      </c>
      <c r="CQ67" s="67"/>
      <c r="CR67" s="69"/>
      <c r="CS67" s="98">
        <f t="shared" si="3"/>
        <v>34.54</v>
      </c>
      <c r="CT67" s="69"/>
    </row>
    <row r="68" spans="1:98" ht="15.75" thickBot="1">
      <c r="A68" s="9" t="s">
        <v>109</v>
      </c>
      <c r="B68" s="7" t="s">
        <v>159</v>
      </c>
      <c r="C68" s="7" t="s">
        <v>110</v>
      </c>
      <c r="D68" s="7" t="s">
        <v>32</v>
      </c>
      <c r="E68" s="9"/>
      <c r="F68" s="7"/>
      <c r="G68" s="7"/>
      <c r="H68" s="7"/>
      <c r="I68" s="9"/>
      <c r="J68" s="7">
        <v>0.23</v>
      </c>
      <c r="K68" s="7"/>
      <c r="L68" s="7"/>
      <c r="M68" s="9"/>
      <c r="N68" s="7">
        <v>0.56000000000000005</v>
      </c>
      <c r="O68" s="7"/>
      <c r="P68" s="7"/>
      <c r="Q68" s="9"/>
      <c r="R68" s="7">
        <v>0.13</v>
      </c>
      <c r="S68" s="7"/>
      <c r="T68" s="8"/>
      <c r="U68" s="75"/>
      <c r="V68" s="76"/>
      <c r="W68" s="76">
        <v>0.19</v>
      </c>
      <c r="X68" s="77"/>
      <c r="Y68" s="75"/>
      <c r="Z68" s="76"/>
      <c r="AA68" s="76">
        <v>0.1</v>
      </c>
      <c r="AB68" s="77"/>
      <c r="AC68" s="91"/>
      <c r="AD68" s="73">
        <f t="shared" si="0"/>
        <v>0.3066666666666667</v>
      </c>
      <c r="AE68" s="65"/>
      <c r="AF68" s="9"/>
      <c r="AG68" s="7"/>
      <c r="AH68" s="8"/>
      <c r="AI68" s="9"/>
      <c r="AJ68" s="7"/>
      <c r="AK68" s="8"/>
      <c r="AL68" s="9"/>
      <c r="AM68" s="7"/>
      <c r="AN68" s="8"/>
      <c r="AO68" s="9"/>
      <c r="AP68" s="7"/>
      <c r="AQ68" s="8"/>
      <c r="AR68" s="9"/>
      <c r="AS68" s="7"/>
      <c r="AT68" s="8"/>
      <c r="AU68" s="9">
        <v>2051</v>
      </c>
      <c r="AV68" s="7">
        <v>1940</v>
      </c>
      <c r="AW68" s="8">
        <v>19.5</v>
      </c>
      <c r="AX68" s="9"/>
      <c r="AY68" s="7"/>
      <c r="AZ68" s="8"/>
      <c r="BA68" s="9"/>
      <c r="BB68" s="7"/>
      <c r="BC68" s="8"/>
      <c r="BD68" s="9"/>
      <c r="BE68" s="7"/>
      <c r="BF68" s="8"/>
      <c r="BG68" s="9">
        <v>2056</v>
      </c>
      <c r="BH68" s="7">
        <v>1921</v>
      </c>
      <c r="BI68" s="8">
        <v>19</v>
      </c>
      <c r="BJ68" s="9"/>
      <c r="BK68" s="7"/>
      <c r="BL68" s="8"/>
      <c r="BM68" s="9"/>
      <c r="BN68" s="7"/>
      <c r="BO68" s="8"/>
      <c r="BP68" s="9"/>
      <c r="BQ68" s="7"/>
      <c r="BR68" s="8"/>
      <c r="BS68" s="9">
        <v>1001</v>
      </c>
      <c r="BT68" s="7">
        <v>941</v>
      </c>
      <c r="BU68" s="8">
        <v>17</v>
      </c>
      <c r="BV68" s="9"/>
      <c r="BW68" s="7"/>
      <c r="BX68" s="8"/>
      <c r="BY68" s="9"/>
      <c r="BZ68" s="7"/>
      <c r="CA68" s="8"/>
      <c r="CB68" s="75"/>
      <c r="CC68" s="76"/>
      <c r="CD68" s="77"/>
      <c r="CE68" s="75"/>
      <c r="CF68" s="76"/>
      <c r="CG68" s="77"/>
      <c r="CH68" s="75">
        <v>1028</v>
      </c>
      <c r="CI68" s="76">
        <v>959</v>
      </c>
      <c r="CJ68" s="77">
        <v>21</v>
      </c>
      <c r="CK68" s="75"/>
      <c r="CL68" s="76"/>
      <c r="CM68" s="77"/>
      <c r="CN68" s="9"/>
      <c r="CO68" s="92">
        <f t="shared" si="1"/>
        <v>1702.6666666666667</v>
      </c>
      <c r="CP68" s="39">
        <f t="shared" si="2"/>
        <v>1600.6666666666667</v>
      </c>
      <c r="CQ68" s="31"/>
      <c r="CR68" s="32"/>
      <c r="CS68" s="92">
        <f t="shared" si="3"/>
        <v>18.5</v>
      </c>
      <c r="CT68" s="8"/>
    </row>
    <row r="69" spans="1:98" ht="15.75" thickBot="1">
      <c r="A69" s="33"/>
      <c r="B69" s="7" t="s">
        <v>159</v>
      </c>
      <c r="C69" s="34"/>
      <c r="D69" s="34" t="s">
        <v>33</v>
      </c>
      <c r="E69" s="33"/>
      <c r="F69" s="34"/>
      <c r="G69" s="34"/>
      <c r="H69" s="34"/>
      <c r="I69" s="33"/>
      <c r="J69" s="34">
        <v>0.23</v>
      </c>
      <c r="K69" s="34"/>
      <c r="L69" s="34"/>
      <c r="M69" s="33"/>
      <c r="N69" s="34">
        <v>0.31</v>
      </c>
      <c r="O69" s="34"/>
      <c r="P69" s="34"/>
      <c r="Q69" s="33"/>
      <c r="R69" s="34">
        <v>0.21</v>
      </c>
      <c r="S69" s="34"/>
      <c r="T69" s="35"/>
      <c r="U69" s="80"/>
      <c r="V69" s="81"/>
      <c r="W69" s="81">
        <v>0.17</v>
      </c>
      <c r="X69" s="82"/>
      <c r="Y69" s="80"/>
      <c r="Z69" s="81"/>
      <c r="AA69" s="81">
        <v>0.6</v>
      </c>
      <c r="AB69" s="82"/>
      <c r="AC69" s="216"/>
      <c r="AD69" s="73">
        <f t="shared" si="0"/>
        <v>0.25</v>
      </c>
      <c r="AE69" s="66"/>
      <c r="AF69" s="33"/>
      <c r="AG69" s="34"/>
      <c r="AH69" s="35"/>
      <c r="AI69" s="33"/>
      <c r="AJ69" s="34"/>
      <c r="AK69" s="35"/>
      <c r="AL69" s="33"/>
      <c r="AM69" s="34"/>
      <c r="AN69" s="35"/>
      <c r="AO69" s="33"/>
      <c r="AP69" s="34"/>
      <c r="AQ69" s="35"/>
      <c r="AR69" s="33"/>
      <c r="AS69" s="34"/>
      <c r="AT69" s="35"/>
      <c r="AU69" s="33"/>
      <c r="AV69" s="34"/>
      <c r="AW69" s="35"/>
      <c r="AX69" s="33"/>
      <c r="AY69" s="34"/>
      <c r="AZ69" s="35"/>
      <c r="BA69" s="33"/>
      <c r="BB69" s="34"/>
      <c r="BC69" s="35"/>
      <c r="BD69" s="33"/>
      <c r="BE69" s="34"/>
      <c r="BF69" s="35"/>
      <c r="BG69" s="33"/>
      <c r="BH69" s="34"/>
      <c r="BI69" s="35"/>
      <c r="BJ69" s="33"/>
      <c r="BK69" s="34"/>
      <c r="BL69" s="35"/>
      <c r="BM69" s="33"/>
      <c r="BN69" s="34"/>
      <c r="BO69" s="35"/>
      <c r="BP69" s="33"/>
      <c r="BQ69" s="34"/>
      <c r="BR69" s="35"/>
      <c r="BS69" s="33"/>
      <c r="BT69" s="34"/>
      <c r="BU69" s="35"/>
      <c r="BV69" s="33"/>
      <c r="BW69" s="34"/>
      <c r="BX69" s="35"/>
      <c r="BY69" s="33"/>
      <c r="BZ69" s="34"/>
      <c r="CA69" s="35"/>
      <c r="CB69" s="80"/>
      <c r="CC69" s="81"/>
      <c r="CD69" s="82"/>
      <c r="CE69" s="80"/>
      <c r="CF69" s="81"/>
      <c r="CG69" s="82"/>
      <c r="CH69" s="80"/>
      <c r="CI69" s="81"/>
      <c r="CJ69" s="82"/>
      <c r="CK69" s="80"/>
      <c r="CL69" s="81"/>
      <c r="CM69" s="82"/>
      <c r="CN69" s="33"/>
      <c r="CO69" s="92"/>
      <c r="CP69" s="39"/>
      <c r="CQ69" s="31"/>
      <c r="CR69" s="32"/>
      <c r="CS69" s="92"/>
      <c r="CT69" s="35"/>
    </row>
    <row r="70" spans="1:98" ht="15.75" thickBot="1">
      <c r="A70" t="s">
        <v>109</v>
      </c>
      <c r="B70" s="7" t="s">
        <v>159</v>
      </c>
      <c r="C70" t="s">
        <v>111</v>
      </c>
      <c r="D70" t="s">
        <v>37</v>
      </c>
      <c r="E70" s="31"/>
      <c r="I70" s="31"/>
      <c r="J70">
        <v>6.7000000000000004E-2</v>
      </c>
      <c r="M70" s="31"/>
      <c r="N70">
        <v>0.14000000000000001</v>
      </c>
      <c r="Q70" s="31"/>
      <c r="R70">
        <v>0.1</v>
      </c>
      <c r="T70" s="32"/>
      <c r="U70" s="78"/>
      <c r="V70" s="74">
        <v>0.1</v>
      </c>
      <c r="X70" s="79"/>
      <c r="Y70" s="78"/>
      <c r="AA70" s="74">
        <v>0.1</v>
      </c>
      <c r="AB70" s="79"/>
      <c r="AC70" s="215"/>
      <c r="AD70" s="73">
        <f t="shared" ref="AD70" si="5">AVERAGE(I70:T70)</f>
        <v>0.10233333333333335</v>
      </c>
      <c r="AE70" s="39"/>
      <c r="AF70" s="31"/>
      <c r="AH70" s="32"/>
      <c r="AI70" s="31"/>
      <c r="AK70" s="32"/>
      <c r="AL70" s="31"/>
      <c r="AN70" s="32"/>
      <c r="AO70" s="31"/>
      <c r="AQ70" s="32"/>
      <c r="AR70" s="31"/>
      <c r="AT70" s="32"/>
      <c r="AU70" s="31">
        <v>1138</v>
      </c>
      <c r="AV70">
        <v>1079</v>
      </c>
      <c r="AW70" s="32">
        <v>21</v>
      </c>
      <c r="AX70" s="31"/>
      <c r="AZ70" s="32"/>
      <c r="BA70" s="31"/>
      <c r="BC70" s="32"/>
      <c r="BD70" s="31"/>
      <c r="BF70" s="32"/>
      <c r="BG70" s="31">
        <v>1170</v>
      </c>
      <c r="BH70">
        <v>1100</v>
      </c>
      <c r="BI70" s="32">
        <v>17</v>
      </c>
      <c r="BJ70" s="31"/>
      <c r="BL70" s="32"/>
      <c r="BM70" s="31"/>
      <c r="BO70" s="32"/>
      <c r="BP70" s="31"/>
      <c r="BR70" s="32"/>
      <c r="BS70" s="31">
        <v>1141</v>
      </c>
      <c r="BT70">
        <v>1072</v>
      </c>
      <c r="BU70" s="32">
        <v>17</v>
      </c>
      <c r="BV70" s="31"/>
      <c r="BX70" s="32"/>
      <c r="BY70" s="31"/>
      <c r="CA70" s="32"/>
      <c r="CB70" s="78"/>
      <c r="CD70" s="79"/>
      <c r="CE70" s="78"/>
      <c r="CG70" s="79"/>
      <c r="CH70" s="78">
        <v>1373</v>
      </c>
      <c r="CI70" s="74">
        <v>1282</v>
      </c>
      <c r="CJ70" s="79">
        <v>21</v>
      </c>
      <c r="CK70" s="78"/>
      <c r="CM70" s="79"/>
      <c r="CN70" s="31"/>
      <c r="CO70" s="97">
        <f t="shared" si="1"/>
        <v>1149.6666666666667</v>
      </c>
      <c r="CP70" s="65">
        <f t="shared" si="2"/>
        <v>1083.6666666666667</v>
      </c>
      <c r="CQ70" s="9"/>
      <c r="CR70" s="8"/>
      <c r="CS70" s="97">
        <f t="shared" si="3"/>
        <v>18.333333333333332</v>
      </c>
      <c r="CT70" s="32"/>
    </row>
    <row r="71" spans="1:98" ht="15.75" thickBot="1">
      <c r="A71" t="s">
        <v>170</v>
      </c>
      <c r="B71" t="s">
        <v>159</v>
      </c>
      <c r="E71" s="31"/>
      <c r="I71" s="31"/>
      <c r="M71" s="31"/>
      <c r="Q71" s="31"/>
      <c r="T71" s="32"/>
      <c r="U71" s="78"/>
      <c r="X71" s="79"/>
      <c r="Y71" s="78"/>
      <c r="AB71" s="79"/>
      <c r="AC71" s="215"/>
      <c r="AD71" s="73"/>
      <c r="AF71" s="31"/>
      <c r="AH71" s="32"/>
      <c r="AI71" s="31"/>
      <c r="AK71" s="32"/>
      <c r="AL71" s="31"/>
      <c r="AN71" s="32"/>
      <c r="AO71" s="31"/>
      <c r="AQ71" s="32"/>
      <c r="AR71" s="31"/>
      <c r="AT71" s="32"/>
      <c r="AU71" s="31"/>
      <c r="AW71" s="32"/>
      <c r="AX71" s="31"/>
      <c r="AZ71" s="32"/>
      <c r="BA71" s="31"/>
      <c r="BC71" s="32"/>
      <c r="BD71" s="31"/>
      <c r="BF71" s="32"/>
      <c r="BG71" s="31"/>
      <c r="BI71" s="32"/>
      <c r="BJ71" s="31"/>
      <c r="BL71" s="32"/>
      <c r="BM71" s="31"/>
      <c r="BO71" s="32"/>
      <c r="BP71" s="31"/>
      <c r="BR71" s="32"/>
      <c r="BS71" s="31"/>
      <c r="BU71" s="32"/>
      <c r="BV71" s="31"/>
      <c r="BX71" s="32"/>
      <c r="BY71" s="31"/>
      <c r="CA71" s="32"/>
      <c r="CB71" s="78"/>
      <c r="CD71" s="79"/>
      <c r="CE71" s="78"/>
      <c r="CG71" s="79"/>
      <c r="CH71" s="78"/>
      <c r="CJ71" s="79"/>
      <c r="CK71" s="78"/>
      <c r="CM71" s="79"/>
      <c r="CN71" s="31"/>
      <c r="CO71" s="92"/>
      <c r="CP71" s="39"/>
      <c r="CQ71" s="31"/>
      <c r="CR71" s="32"/>
      <c r="CS71" s="92"/>
      <c r="CT71" s="32"/>
    </row>
    <row r="72" spans="1:98" ht="15.75" thickBot="1">
      <c r="A72" t="s">
        <v>171</v>
      </c>
      <c r="B72" s="34" t="s">
        <v>159</v>
      </c>
      <c r="E72" s="33"/>
      <c r="F72" s="34"/>
      <c r="G72" s="34"/>
      <c r="H72" s="34"/>
      <c r="I72" s="33"/>
      <c r="J72" s="34"/>
      <c r="K72" s="34"/>
      <c r="L72" s="34"/>
      <c r="M72" s="33"/>
      <c r="N72" s="34"/>
      <c r="O72" s="34"/>
      <c r="P72" s="34"/>
      <c r="Q72" s="33"/>
      <c r="R72" s="34"/>
      <c r="S72" s="34"/>
      <c r="T72" s="35"/>
      <c r="U72" s="80"/>
      <c r="V72" s="81"/>
      <c r="W72" s="81"/>
      <c r="X72" s="82"/>
      <c r="Y72" s="80"/>
      <c r="Z72" s="81"/>
      <c r="AA72" s="81"/>
      <c r="AB72" s="82"/>
      <c r="AC72" s="215"/>
      <c r="AD72" s="73"/>
      <c r="AF72" s="33"/>
      <c r="AG72" s="34"/>
      <c r="AH72" s="35"/>
      <c r="AI72" s="33"/>
      <c r="AJ72" s="34"/>
      <c r="AK72" s="35"/>
      <c r="AL72" s="33"/>
      <c r="AM72" s="34"/>
      <c r="AN72" s="35"/>
      <c r="AO72" s="33"/>
      <c r="AP72" s="34"/>
      <c r="AQ72" s="35"/>
      <c r="AR72" s="33"/>
      <c r="AS72" s="34"/>
      <c r="AT72" s="35"/>
      <c r="AU72" s="33"/>
      <c r="AV72" s="34"/>
      <c r="AW72" s="35"/>
      <c r="AX72" s="33"/>
      <c r="AY72" s="34"/>
      <c r="AZ72" s="35"/>
      <c r="BA72" s="33"/>
      <c r="BB72" s="34"/>
      <c r="BC72" s="35"/>
      <c r="BD72" s="33"/>
      <c r="BE72" s="34"/>
      <c r="BF72" s="35"/>
      <c r="BG72" s="33"/>
      <c r="BH72" s="34"/>
      <c r="BI72" s="35"/>
      <c r="BJ72" s="33"/>
      <c r="BK72" s="34"/>
      <c r="BL72" s="35"/>
      <c r="BM72" s="33"/>
      <c r="BN72" s="34"/>
      <c r="BO72" s="35"/>
      <c r="BP72" s="33"/>
      <c r="BQ72" s="34"/>
      <c r="BR72" s="35"/>
      <c r="BS72" s="33"/>
      <c r="BT72" s="34"/>
      <c r="BU72" s="35"/>
      <c r="BV72" s="33"/>
      <c r="BW72" s="34"/>
      <c r="BX72" s="35"/>
      <c r="BY72" s="33"/>
      <c r="BZ72" s="34"/>
      <c r="CA72" s="35"/>
      <c r="CB72" s="80"/>
      <c r="CC72" s="81"/>
      <c r="CD72" s="82"/>
      <c r="CE72" s="80"/>
      <c r="CF72" s="81"/>
      <c r="CG72" s="82"/>
      <c r="CH72" s="80"/>
      <c r="CI72" s="81"/>
      <c r="CJ72" s="82"/>
      <c r="CK72" s="80"/>
      <c r="CL72" s="81"/>
      <c r="CM72" s="82"/>
      <c r="CN72" s="33"/>
      <c r="CO72" s="93"/>
      <c r="CP72" s="66"/>
      <c r="CQ72" s="33"/>
      <c r="CR72" s="35"/>
      <c r="CS72" s="93"/>
      <c r="CT72" s="35"/>
    </row>
    <row r="73" spans="1:98">
      <c r="AD73" s="7"/>
    </row>
  </sheetData>
  <mergeCells count="1">
    <mergeCell ref="BD3:BO3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1450-EA4D-43A8-BDFC-BBAC3F6C123C}">
  <dimension ref="B2:M31"/>
  <sheetViews>
    <sheetView workbookViewId="0">
      <selection activeCell="M29" sqref="M29:M31"/>
    </sheetView>
  </sheetViews>
  <sheetFormatPr defaultRowHeight="15"/>
  <cols>
    <col min="3" max="3" width="16.28515625" customWidth="1"/>
  </cols>
  <sheetData>
    <row r="2" spans="2:4">
      <c r="B2" t="s">
        <v>172</v>
      </c>
    </row>
    <row r="4" spans="2:4">
      <c r="B4" t="s">
        <v>173</v>
      </c>
      <c r="C4" t="s">
        <v>174</v>
      </c>
      <c r="D4" t="s">
        <v>175</v>
      </c>
    </row>
    <row r="5" spans="2:4">
      <c r="B5" t="s">
        <v>176</v>
      </c>
      <c r="C5" t="s">
        <v>177</v>
      </c>
    </row>
    <row r="6" spans="2:4">
      <c r="C6" t="s">
        <v>178</v>
      </c>
    </row>
    <row r="7" spans="2:4">
      <c r="C7" t="s">
        <v>179</v>
      </c>
    </row>
    <row r="9" spans="2:4">
      <c r="B9" t="s">
        <v>171</v>
      </c>
      <c r="C9" t="s">
        <v>180</v>
      </c>
    </row>
    <row r="10" spans="2:4">
      <c r="C10" t="s">
        <v>181</v>
      </c>
    </row>
    <row r="12" spans="2:4">
      <c r="B12" t="s">
        <v>182</v>
      </c>
      <c r="C12" t="s">
        <v>141</v>
      </c>
    </row>
    <row r="28" spans="13:13">
      <c r="M28">
        <v>20</v>
      </c>
    </row>
    <row r="29" spans="13:13">
      <c r="M29">
        <v>1.1000000000000001</v>
      </c>
    </row>
    <row r="30" spans="13:13">
      <c r="M30">
        <v>11.8</v>
      </c>
    </row>
    <row r="31" spans="13:13">
      <c r="M31">
        <v>1.8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3D79BE554BA5FA4C855D1235E340D070" ma:contentTypeVersion="48" ma:contentTypeDescription="Create a new document." ma:contentTypeScope="" ma:versionID="4efc4879323f5e0174b20c283165b026">
  <xsd:schema xmlns:xsd="http://www.w3.org/2001/XMLSchema" xmlns:xs="http://www.w3.org/2001/XMLSchema" xmlns:p="http://schemas.microsoft.com/office/2006/metadata/properties" xmlns:ns2="8595a0ec-c146-4eeb-925a-270f4bc4be63" xmlns:ns3="662745e8-e224-48e8-a2e3-254862b8c2f5" xmlns:ns4="eebef177-55b5-4448-a5fb-28ea454417ee" xmlns:ns5="5ffd8e36-f429-4edc-ab50-c5be84842779" xmlns:ns6="78dbe001-c251-4e73-ac7d-a437e8f0ea50" targetNamespace="http://schemas.microsoft.com/office/2006/metadata/properties" ma:root="true" ma:fieldsID="ea163c7b6652592070ac110e87230840" ns2:_="" ns3:_="" ns4:_="" ns5:_="" ns6:_="">
    <xsd:import namespace="8595a0ec-c146-4eeb-925a-270f4bc4be63"/>
    <xsd:import namespace="662745e8-e224-48e8-a2e3-254862b8c2f5"/>
    <xsd:import namespace="eebef177-55b5-4448-a5fb-28ea454417ee"/>
    <xsd:import namespace="5ffd8e36-f429-4edc-ab50-c5be84842779"/>
    <xsd:import namespace="78dbe001-c251-4e73-ac7d-a437e8f0ea50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AutoKeyPoints" minOccurs="0"/>
                <xsd:element ref="ns6:MediaServiceKeyPoints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  <xsd:element ref="ns6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a0ec-c146-4eeb-925a-270f4bc4be63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9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2e41c19-1047-4874-acff-e817b08e966f}" ma:internalName="TaxCatchAll" ma:showField="CatchAllData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2e41c19-1047-4874-acff-e817b08e966f}" ma:internalName="TaxCatchAllLabel" ma:readOnly="true" ma:showField="CatchAllDataLabel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be001-c251-4e73-ac7d-a437e8f0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5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51" nillable="true" ma:displayName="Tags" ma:internalName="MediaServiceAutoTags" ma:readOnly="true">
      <xsd:simpleType>
        <xsd:restriction base="dms:Text"/>
      </xsd:simple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5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6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dbe001-c251-4e73-ac7d-a437e8f0ea50">
      <Terms xmlns="http://schemas.microsoft.com/office/infopath/2007/PartnerControls"/>
    </lcf76f155ced4ddcb4097134ff3c332f>
    <TaxCatchAll xmlns="662745e8-e224-48e8-a2e3-254862b8c2f5">
      <Value>181</Value>
      <Value>12</Value>
      <Value>10</Value>
      <Value>9</Value>
      <Value>38</Value>
    </TaxCatchAll>
    <EAReceivedDate xmlns="eebef177-55b5-4448-a5fb-28ea454417ee">2024-11-14T00:00:00+00:00</EAReceivedDate>
    <c52c737aaa794145b5e1ab0b33580095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PermitNumber xmlns="eebef177-55b5-4448-a5fb-28ea454417ee">epr-bt7086ij</PermitNumber>
    <la34db7254a948be973d9738b9f07ba7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 - Do not select for New Permits</TermName>
          <TermId xmlns="http://schemas.microsoft.com/office/infopath/2007/PartnerControls">0430e4c2-ee0a-4b2d-9af6-df735aafbcb2</TermId>
        </TermInfo>
      </Terms>
    </la34db7254a948be973d9738b9f07ba7>
    <CessationDate xmlns="eebef177-55b5-4448-a5fb-28ea454417ee" xsi:nil="true"/>
    <NationalSecurity xmlns="eebef177-55b5-4448-a5fb-28ea454417ee">No</NationalSecurity>
    <OtherReference xmlns="eebef177-55b5-4448-a5fb-28ea454417ee" xsi:nil="true"/>
    <EventLink xmlns="5ffd8e36-f429-4edc-ab50-c5be84842779" xsi:nil="true"/>
    <d22401b98bfe4ec6b8dacbec81c66a1e xmlns="8595a0ec-c146-4eeb-925a-270f4bc4be63">
      <Terms xmlns="http://schemas.microsoft.com/office/infopath/2007/PartnerControls"/>
    </d22401b98bfe4ec6b8dacbec81c66a1e>
    <Customer_x002f_OperatorName xmlns="eebef177-55b5-4448-a5fb-28ea454417ee">JOHNSON MATTHEY PLC</Customer_x002f_OperatorName>
    <ncb1594ff73b435992550f571a78c184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ocumentDate xmlns="eebef177-55b5-4448-a5fb-28ea454417ee">2024-11-14T00:00:00+00:00</DocumentDate>
    <f91636ce86a943e5a85e589048b494b2 xmlns="8595a0ec-c146-4eeb-925a-270f4bc4be63">
      <Terms xmlns="http://schemas.microsoft.com/office/infopath/2007/PartnerControls"/>
    </f91636ce86a943e5a85e589048b494b2>
    <bf174f8632e04660b372cf372c1956fe xmlns="8595a0ec-c146-4eeb-925a-270f4bc4be63">
      <Terms xmlns="http://schemas.microsoft.com/office/infopath/2007/PartnerControls"/>
    </bf174f8632e04660b372cf372c1956fe>
    <mb0b523b12654e57a98fd73f451222f6 xmlns="8595a0ec-c146-4eeb-925a-270f4bc4be63">
      <Terms xmlns="http://schemas.microsoft.com/office/infopath/2007/PartnerControls"/>
    </mb0b523b12654e57a98fd73f451222f6>
    <CurrentPermit xmlns="eebef177-55b5-4448-a5fb-28ea454417ee">N/A - Do not select for New Permits</CurrentPermit>
    <_Flow_SignoffStatus xmlns="78dbe001-c251-4e73-ac7d-a437e8f0ea50" xsi:nil="true"/>
    <EPRNumber xmlns="eebef177-55b5-4448-a5fb-28ea454417ee">EPR/BT7086IJ/V016</EPRNumber>
    <ed3cfd1978f244c4af5dc9d642a18018 xmlns="8595a0ec-c146-4eeb-925a-270f4bc4be63">
      <Terms xmlns="http://schemas.microsoft.com/office/infopath/2007/PartnerControls"/>
    </ed3cfd1978f244c4af5dc9d642a18018>
    <d3564be703db47eda46ec138bc1ba091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FacilityAddressPostcode xmlns="eebef177-55b5-4448-a5fb-28ea454417ee">SG8 5HE</FacilityAddressPostcode>
    <ExternalAuthor xmlns="eebef177-55b5-4448-a5fb-28ea454417ee">Johnson Matthey PLC</ExternalAuthor>
    <SiteName xmlns="eebef177-55b5-4448-a5fb-28ea454417ee">Royston Site</SiteName>
    <m63bd5d2e6554c968a3f4ff9289590fe xmlns="8595a0ec-c146-4eeb-925a-270f4bc4be63">
      <Terms xmlns="http://schemas.microsoft.com/office/infopath/2007/PartnerControls"/>
    </m63bd5d2e6554c968a3f4ff9289590fe>
    <p517ccc45a7e4674ae144f9410147bb3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ga477587807b4e8dbd9d142e03c014fa xmlns="8595a0ec-c146-4eeb-925a-270f4bc4be63">
      <Terms xmlns="http://schemas.microsoft.com/office/infopath/2007/PartnerControls"/>
    </ga477587807b4e8dbd9d142e03c014fa>
    <FacilityAddress xmlns="eebef177-55b5-4448-a5fb-28ea454417ee">Royston Site Orchard Road Royston Hertfordshire SG8 5HE</FacilityAddr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A1728A-54A8-4E25-AC9E-4BC5457C4DDF}"/>
</file>

<file path=customXml/itemProps2.xml><?xml version="1.0" encoding="utf-8"?>
<ds:datastoreItem xmlns:ds="http://schemas.openxmlformats.org/officeDocument/2006/customXml" ds:itemID="{0198490A-B204-4D23-823E-64CC88080FC5}"/>
</file>

<file path=customXml/itemProps3.xml><?xml version="1.0" encoding="utf-8"?>
<ds:datastoreItem xmlns:ds="http://schemas.openxmlformats.org/officeDocument/2006/customXml" ds:itemID="{20874957-9AF6-4789-8480-8E5129C06B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Finney</dc:creator>
  <cp:keywords/>
  <dc:description/>
  <cp:lastModifiedBy/>
  <cp:revision/>
  <dcterms:created xsi:type="dcterms:W3CDTF">2018-07-17T08:37:06Z</dcterms:created>
  <dcterms:modified xsi:type="dcterms:W3CDTF">2025-03-06T10:50:57Z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511531-3b62-4ad0-a3e4-a04202c385ac_Enabled">
    <vt:lpwstr>true</vt:lpwstr>
  </property>
  <property fmtid="{D5CDD505-2E9C-101B-9397-08002B2CF9AE}" pid="3" name="MSIP_Label_4e511531-3b62-4ad0-a3e4-a04202c385ac_SetDate">
    <vt:lpwstr>2020-03-25T11:58:23Z</vt:lpwstr>
  </property>
  <property fmtid="{D5CDD505-2E9C-101B-9397-08002B2CF9AE}" pid="4" name="MSIP_Label_4e511531-3b62-4ad0-a3e4-a04202c385ac_Method">
    <vt:lpwstr>Privileged</vt:lpwstr>
  </property>
  <property fmtid="{D5CDD505-2E9C-101B-9397-08002B2CF9AE}" pid="5" name="MSIP_Label_4e511531-3b62-4ad0-a3e4-a04202c385ac_Name">
    <vt:lpwstr>4e511531-3b62-4ad0-a3e4-a04202c385ac</vt:lpwstr>
  </property>
  <property fmtid="{D5CDD505-2E9C-101B-9397-08002B2CF9AE}" pid="6" name="MSIP_Label_4e511531-3b62-4ad0-a3e4-a04202c385ac_SiteId">
    <vt:lpwstr>cc7f83dd-bc5a-4682-9b3e-062a900202a2</vt:lpwstr>
  </property>
  <property fmtid="{D5CDD505-2E9C-101B-9397-08002B2CF9AE}" pid="7" name="MSIP_Label_4e511531-3b62-4ad0-a3e4-a04202c385ac_ActionId">
    <vt:lpwstr>1c0c2bd8-caed-4f57-9012-0000fcf112de</vt:lpwstr>
  </property>
  <property fmtid="{D5CDD505-2E9C-101B-9397-08002B2CF9AE}" pid="8" name="MSIP_Label_4e511531-3b62-4ad0-a3e4-a04202c385ac_ContentBits">
    <vt:lpwstr>0</vt:lpwstr>
  </property>
  <property fmtid="{D5CDD505-2E9C-101B-9397-08002B2CF9AE}" pid="9" name="ContentTypeId">
    <vt:lpwstr>0x0101000E9AD557692E154F9D2697C8C6432F76003D79BE554BA5FA4C855D1235E340D070</vt:lpwstr>
  </property>
  <property fmtid="{D5CDD505-2E9C-101B-9397-08002B2CF9AE}" pid="10" name="MediaServiceImageTags">
    <vt:lpwstr/>
  </property>
  <property fmtid="{D5CDD505-2E9C-101B-9397-08002B2CF9AE}" pid="11" name="PermitDocumentType">
    <vt:lpwstr/>
  </property>
  <property fmtid="{D5CDD505-2E9C-101B-9397-08002B2CF9AE}" pid="12" name="TypeofPermit">
    <vt:lpwstr>9;#N/A - Do not select for New Permits|0430e4c2-ee0a-4b2d-9af6-df735aafbcb2</vt:lpwstr>
  </property>
  <property fmtid="{D5CDD505-2E9C-101B-9397-08002B2CF9AE}" pid="13" name="DisclosureStatus">
    <vt:lpwstr>181;#Public Register|f1fcf6a6-5d97-4f1d-964e-a2f916eb1f18</vt:lpwstr>
  </property>
  <property fmtid="{D5CDD505-2E9C-101B-9397-08002B2CF9AE}" pid="14" name="ActivityGrouping">
    <vt:lpwstr>12;#Application ＆ Associated Docs|5eadfd3c-6deb-44e1-b7e1-16accd427bec</vt:lpwstr>
  </property>
  <property fmtid="{D5CDD505-2E9C-101B-9397-08002B2CF9AE}" pid="15" name="RegulatedActivityClass">
    <vt:lpwstr>38;#Installations|645f1c9c-65df-490a-9ce3-4a2aa7c5ff7f</vt:lpwstr>
  </property>
  <property fmtid="{D5CDD505-2E9C-101B-9397-08002B2CF9AE}" pid="16" name="Catchment">
    <vt:lpwstr/>
  </property>
  <property fmtid="{D5CDD505-2E9C-101B-9397-08002B2CF9AE}" pid="17" name="MajorProjectID">
    <vt:lpwstr/>
  </property>
  <property fmtid="{D5CDD505-2E9C-101B-9397-08002B2CF9AE}" pid="18" name="StandardRulesID">
    <vt:lpwstr/>
  </property>
  <property fmtid="{D5CDD505-2E9C-101B-9397-08002B2CF9AE}" pid="19" name="CessationStatus">
    <vt:lpwstr/>
  </property>
  <property fmtid="{D5CDD505-2E9C-101B-9397-08002B2CF9AE}" pid="20" name="Regime">
    <vt:lpwstr>10;#EPR|0e5af97d-1a8c-4d8f-a20b-528a11cab1f6</vt:lpwstr>
  </property>
  <property fmtid="{D5CDD505-2E9C-101B-9397-08002B2CF9AE}" pid="21" name="RegulatedActivitySub-Class">
    <vt:lpwstr/>
  </property>
  <property fmtid="{D5CDD505-2E9C-101B-9397-08002B2CF9AE}" pid="22" name="EventType1">
    <vt:lpwstr/>
  </property>
  <property fmtid="{D5CDD505-2E9C-101B-9397-08002B2CF9AE}" pid="23" name="RegulatedActivitySub_x002d_Class">
    <vt:lpwstr/>
  </property>
  <property fmtid="{D5CDD505-2E9C-101B-9397-08002B2CF9AE}" pid="24" name="SysUpdateNoER">
    <vt:lpwstr>No</vt:lpwstr>
  </property>
</Properties>
</file>