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mc:AlternateContent xmlns:mc="http://schemas.openxmlformats.org/markup-compatibility/2006">
    <mc:Choice Requires="x15">
      <x15ac:absPath xmlns:x15ac="http://schemas.microsoft.com/office/spreadsheetml/2010/11/ac" url="/Users/nigelleeson/Downloads/CBE_H1_V4/"/>
    </mc:Choice>
  </mc:AlternateContent>
  <xr:revisionPtr revIDLastSave="0" documentId="11_6B039EFFEA679D96B1F79B901ED76278D622A340" xr6:coauthVersionLast="47" xr6:coauthVersionMax="47" xr10:uidLastSave="{00000000-0000-0000-0000-000000000000}"/>
  <bookViews>
    <workbookView xWindow="0" yWindow="660" windowWidth="29400" windowHeight="17180" activeTab="2" xr2:uid="{00000000-000D-0000-FFFF-FFFF00000000}"/>
  </bookViews>
  <sheets>
    <sheet name="Calculator" sheetId="1" r:id="rId1"/>
    <sheet name="Route &amp; evidence" sheetId="2" r:id="rId2"/>
    <sheet name="STW flow data (YWS)" sheetId="3" r:id="rId3"/>
    <sheet name="Assumptions — CLOSED" sheetId="4" r:id="rId4"/>
    <sheet name="Discharge log 2025 (source)" sheetId="5" r:id="rId5"/>
    <sheet name="Superseded basis (V2)" sheetId="6" r:id="rId6"/>
    <sheet name="Verify vs screenshots" sheetId="7" r:id="rId7"/>
    <sheet name="CBE screenshot data" sheetId="8" r:id="rId8"/>
    <sheet name="Notes"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7" l="1"/>
  <c r="I15" i="7"/>
  <c r="J14" i="7"/>
  <c r="I14" i="7"/>
  <c r="B9" i="7"/>
  <c r="H17" i="7" s="1"/>
  <c r="J17" i="7" s="1"/>
  <c r="B8" i="7"/>
  <c r="G17" i="7" s="1"/>
  <c r="I17" i="7" s="1"/>
  <c r="O29" i="6"/>
  <c r="N29" i="6"/>
  <c r="M29" i="6"/>
  <c r="L29" i="6"/>
  <c r="O28" i="6"/>
  <c r="N28" i="6"/>
  <c r="M28" i="6"/>
  <c r="O27" i="6"/>
  <c r="N27" i="6"/>
  <c r="M27" i="6"/>
  <c r="L27" i="6"/>
  <c r="I27" i="6"/>
  <c r="K27" i="6" s="1"/>
  <c r="O26" i="6"/>
  <c r="N26" i="6"/>
  <c r="L26" i="6"/>
  <c r="O25" i="6"/>
  <c r="M25" i="6"/>
  <c r="K25" i="6"/>
  <c r="I25" i="6"/>
  <c r="O24" i="6"/>
  <c r="N24" i="6"/>
  <c r="M24" i="6"/>
  <c r="L24" i="6"/>
  <c r="K24" i="6"/>
  <c r="I24" i="6"/>
  <c r="H24" i="6"/>
  <c r="J24" i="6" s="1"/>
  <c r="O23" i="6"/>
  <c r="N23" i="6"/>
  <c r="I23" i="6"/>
  <c r="K23" i="6" s="1"/>
  <c r="O22" i="6"/>
  <c r="N22" i="6"/>
  <c r="I22" i="6"/>
  <c r="M22" i="6" s="1"/>
  <c r="H22" i="6"/>
  <c r="J22" i="6" s="1"/>
  <c r="O20" i="6"/>
  <c r="M20" i="6"/>
  <c r="O19" i="6"/>
  <c r="M19" i="6"/>
  <c r="K19" i="6"/>
  <c r="I19" i="6"/>
  <c r="K18" i="6"/>
  <c r="I18" i="6"/>
  <c r="M18" i="6" s="1"/>
  <c r="H18" i="6"/>
  <c r="N18" i="6" s="1"/>
  <c r="I17" i="6"/>
  <c r="K17" i="6" s="1"/>
  <c r="N16" i="6"/>
  <c r="I16" i="6"/>
  <c r="M16" i="6" s="1"/>
  <c r="H16" i="6"/>
  <c r="J16" i="6" s="1"/>
  <c r="O15" i="6"/>
  <c r="N15" i="6"/>
  <c r="M15" i="6"/>
  <c r="L15" i="6"/>
  <c r="O14" i="6"/>
  <c r="M14" i="6"/>
  <c r="K14" i="6"/>
  <c r="I14" i="6"/>
  <c r="B9" i="6"/>
  <c r="I28" i="6" s="1"/>
  <c r="K28" i="6" s="1"/>
  <c r="B8" i="6"/>
  <c r="H26" i="6" s="1"/>
  <c r="J26" i="6" s="1"/>
  <c r="O30" i="1"/>
  <c r="N30" i="1"/>
  <c r="M30" i="1"/>
  <c r="L30" i="1"/>
  <c r="O29" i="1"/>
  <c r="N29" i="1"/>
  <c r="M29" i="1"/>
  <c r="L29" i="1"/>
  <c r="H29" i="1"/>
  <c r="J29" i="1" s="1"/>
  <c r="O28" i="1"/>
  <c r="M28" i="1"/>
  <c r="I28" i="1"/>
  <c r="K28" i="1" s="1"/>
  <c r="N26" i="1"/>
  <c r="L26" i="1"/>
  <c r="O25" i="1"/>
  <c r="M25" i="1"/>
  <c r="H24" i="1"/>
  <c r="N24" i="1" s="1"/>
  <c r="I23" i="1"/>
  <c r="K23" i="1" s="1"/>
  <c r="O21" i="1"/>
  <c r="M21" i="1"/>
  <c r="M19" i="1"/>
  <c r="I19" i="1"/>
  <c r="H18" i="1"/>
  <c r="L18" i="1" s="1"/>
  <c r="I17" i="1"/>
  <c r="K17" i="1" s="1"/>
  <c r="O16" i="1"/>
  <c r="M16" i="1"/>
  <c r="O15" i="1"/>
  <c r="M15" i="1"/>
  <c r="B11" i="1"/>
  <c r="B10" i="1"/>
  <c r="H20" i="1" s="1"/>
  <c r="L20" i="1" l="1"/>
  <c r="J20" i="1"/>
  <c r="N20" i="1" s="1"/>
  <c r="I15" i="1"/>
  <c r="K15" i="1" s="1"/>
  <c r="M17" i="1"/>
  <c r="I20" i="1"/>
  <c r="M23" i="1"/>
  <c r="I26" i="1"/>
  <c r="I15" i="6"/>
  <c r="K15" i="6" s="1"/>
  <c r="K16" i="6"/>
  <c r="O16" i="6" s="1"/>
  <c r="M17" i="6"/>
  <c r="O18" i="6"/>
  <c r="I20" i="6"/>
  <c r="K20" i="6" s="1"/>
  <c r="K22" i="6"/>
  <c r="M23" i="6"/>
  <c r="I26" i="6"/>
  <c r="H19" i="1"/>
  <c r="H25" i="1"/>
  <c r="H30" i="1"/>
  <c r="J30" i="1" s="1"/>
  <c r="H14" i="6"/>
  <c r="L16" i="6"/>
  <c r="H19" i="6"/>
  <c r="L22" i="6"/>
  <c r="H25" i="6"/>
  <c r="G15" i="7"/>
  <c r="O17" i="1"/>
  <c r="O23" i="1"/>
  <c r="I25" i="1"/>
  <c r="K25" i="1" s="1"/>
  <c r="I30" i="1"/>
  <c r="K30" i="1" s="1"/>
  <c r="O17" i="6"/>
  <c r="H15" i="7"/>
  <c r="H29" i="6"/>
  <c r="J29" i="6" s="1"/>
  <c r="G13" i="7"/>
  <c r="I13" i="7" s="1"/>
  <c r="G18" i="7"/>
  <c r="I18" i="7" s="1"/>
  <c r="I18" i="1"/>
  <c r="K19" i="1"/>
  <c r="O19" i="1" s="1"/>
  <c r="I24" i="1"/>
  <c r="I29" i="1"/>
  <c r="K29" i="1" s="1"/>
  <c r="I29" i="6"/>
  <c r="K29" i="6" s="1"/>
  <c r="H13" i="7"/>
  <c r="J13" i="7" s="1"/>
  <c r="H18" i="7"/>
  <c r="J18" i="7" s="1"/>
  <c r="H17" i="1"/>
  <c r="J18" i="1"/>
  <c r="N18" i="1" s="1"/>
  <c r="H23" i="1"/>
  <c r="J24" i="1"/>
  <c r="H28" i="1"/>
  <c r="H17" i="6"/>
  <c r="J18" i="6"/>
  <c r="H23" i="6"/>
  <c r="H28" i="6"/>
  <c r="G16" i="7"/>
  <c r="I16" i="7" s="1"/>
  <c r="H16" i="7"/>
  <c r="J16" i="7" s="1"/>
  <c r="H16" i="1"/>
  <c r="H21" i="1"/>
  <c r="L24" i="1"/>
  <c r="H27" i="1"/>
  <c r="L18" i="6"/>
  <c r="H27" i="6"/>
  <c r="J27" i="6" s="1"/>
  <c r="G14" i="7"/>
  <c r="G19" i="7"/>
  <c r="I19" i="7" s="1"/>
  <c r="I16" i="1"/>
  <c r="K16" i="1" s="1"/>
  <c r="I21" i="1"/>
  <c r="K21" i="1" s="1"/>
  <c r="I27" i="1"/>
  <c r="H14" i="7"/>
  <c r="H19" i="7"/>
  <c r="J19" i="7" s="1"/>
  <c r="H26" i="1"/>
  <c r="J26" i="1" s="1"/>
  <c r="H15" i="6"/>
  <c r="J15" i="6" s="1"/>
  <c r="H20" i="6"/>
  <c r="H15" i="1"/>
  <c r="N25" i="1" l="1"/>
  <c r="L25" i="1"/>
  <c r="J25" i="1"/>
  <c r="M26" i="1"/>
  <c r="O26" i="1"/>
  <c r="K26" i="1"/>
  <c r="L15" i="1"/>
  <c r="J15" i="1"/>
  <c r="N15" i="1" s="1"/>
  <c r="L17" i="6"/>
  <c r="J17" i="6"/>
  <c r="N17" i="6"/>
  <c r="M24" i="1"/>
  <c r="K24" i="1"/>
  <c r="O24" i="1"/>
  <c r="L19" i="1"/>
  <c r="J19" i="1"/>
  <c r="N19" i="1" s="1"/>
  <c r="M20" i="1"/>
  <c r="O20" i="1"/>
  <c r="K20" i="1"/>
  <c r="M18" i="1"/>
  <c r="K18" i="1"/>
  <c r="O18" i="1"/>
  <c r="L23" i="1"/>
  <c r="J23" i="1"/>
  <c r="N23" i="1"/>
  <c r="J28" i="1"/>
  <c r="N28" i="1"/>
  <c r="L28" i="1"/>
  <c r="M26" i="6"/>
  <c r="K26" i="6"/>
  <c r="J21" i="1"/>
  <c r="N21" i="1"/>
  <c r="L21" i="1"/>
  <c r="N25" i="6"/>
  <c r="L25" i="6"/>
  <c r="J25" i="6"/>
  <c r="O27" i="1"/>
  <c r="M27" i="1"/>
  <c r="K27" i="1"/>
  <c r="J16" i="1"/>
  <c r="N16" i="1"/>
  <c r="L16" i="1"/>
  <c r="N19" i="6"/>
  <c r="L19" i="6"/>
  <c r="J19" i="6"/>
  <c r="L23" i="6"/>
  <c r="J23" i="6"/>
  <c r="N20" i="6"/>
  <c r="L20" i="6"/>
  <c r="J20" i="6"/>
  <c r="J27" i="1"/>
  <c r="N27" i="1"/>
  <c r="L27" i="1"/>
  <c r="L17" i="1"/>
  <c r="J17" i="1"/>
  <c r="N17" i="1"/>
  <c r="J28" i="6"/>
  <c r="L28" i="6"/>
  <c r="N14" i="6"/>
  <c r="L14" i="6"/>
  <c r="J14" i="6"/>
</calcChain>
</file>

<file path=xl/sharedStrings.xml><?xml version="1.0" encoding="utf-8"?>
<sst xmlns="http://schemas.openxmlformats.org/spreadsheetml/2006/main" count="297" uniqueCount="241">
  <si>
    <t>Williamthorpe STW — flow record (Yorkshire Water, via K. Davison 10/06/2026)</t>
  </si>
  <si>
    <t>Values in m³/day. Q95 = flow exceeded 95% of days. 5-year minimum Q95 used as the V4 dilution basis.</t>
  </si>
  <si>
    <t>2021</t>
  </si>
  <si>
    <t>2022</t>
  </si>
  <si>
    <t>2023</t>
  </si>
  <si>
    <t>2024</t>
  </si>
  <si>
    <t>2025</t>
  </si>
  <si>
    <t>Count of days</t>
  </si>
  <si>
    <t>Q95</t>
  </si>
  <si>
    <t>Q90</t>
  </si>
  <si>
    <t>Q80</t>
  </si>
  <si>
    <t>Dilution available at the consented maximum discharge (35 m³/day): 669.2/35 = approx 19:1 at the minimum-year Q95; approx 23:1 at the 2025 Q95. At actual 2025 mean throughput (9.78 m³/day): approx 68:1 (minimum-year Q95).</t>
  </si>
  <si>
    <t>H1 Assessment of Point Source Emissions to Water — V4 (FINAL)</t>
  </si>
  <si>
    <t>CBE Plus Ltd, Enterprise Drive, Holmewood — release point W1: trade effluent to public foul sewer (YWS consent Y/5032/23D) → Williamthorpe STW (YWS; EA reg. NE/2941/009; NGR SK 43160 66490)</t>
  </si>
  <si>
    <t>Basis: consented maximum effluent flow 35 m³/day into the receiving works at its 5-year minimum Q95 flow (2022: 669.2 m³/day, YWS daily flow record). PC = conc × STF × f, f = Qe/(Qe+Qr). Concentrations in µg/l.</t>
  </si>
  <si>
    <t>Blue = input · Black = formula · Sewage Treatment Factors (STF) per EA surface water pollution risk assessment guidance, as applied in CBE’s H1 tool entries. EQS from H1 v9.2 freshwater library; hardness-banded standards use the &gt;50 mg/l CaCO₃ band (supply hardness 193 mg/l CaCO₃, Severn Trent, via K. Davison 10/06/2026).</t>
  </si>
  <si>
    <t>Effluent flow Qe — consented maximum (m³/day)</t>
  </si>
  <si>
    <t>YWS consent Y/5032/23D condition 4 (also 0.4 l/s rate limit). PRIMARY BASIS — the enforceable envelope.</t>
  </si>
  <si>
    <t>Effluent flow — actual 2025 mean (m³/day)</t>
  </si>
  <si>
    <t>ETP Discharge Log 2025 (Appendix 17). Context only.</t>
  </si>
  <si>
    <t>Effluent flow — actual 2025 maximum (m³/day)</t>
  </si>
  <si>
    <t>Receiving works flow Qr — Q95, 5-yr minimum (m³/day)</t>
  </si>
  <si>
    <t>Williamthorpe STW daily flow record 2021-2025 (YWS data via K. Davison 10/06/2026); minimum-year Q95 (2022) used as conservative basis. 2025 Q95 = 806.5.</t>
  </si>
  <si>
    <t>Dilution factor f = Qe/(Qe+Qr)  [consented max basis]</t>
  </si>
  <si>
    <t>Single conservative factor applied to long- and short-term PCs (max permitted discharge into minimum works flow).</t>
  </si>
  <si>
    <t>Dilution factor f — actual-mean basis (context)</t>
  </si>
  <si>
    <t>Substance</t>
  </si>
  <si>
    <t>AA conc (µg/l)</t>
  </si>
  <si>
    <t>Max conc (µg/l)</t>
  </si>
  <si>
    <t>STF</t>
  </si>
  <si>
    <t>Background (µg/l)</t>
  </si>
  <si>
    <t>EQS LT (µg/l)</t>
  </si>
  <si>
    <t>EQS MAC (µg/l)</t>
  </si>
  <si>
    <t>PC long-term</t>
  </si>
  <si>
    <t>PC short-term</t>
  </si>
  <si>
    <t>PEC long-term</t>
  </si>
  <si>
    <t>PEC short-term</t>
  </si>
  <si>
    <t>PC % EQS (LT)</t>
  </si>
  <si>
    <t>PC % EQS (ST)</t>
  </si>
  <si>
    <t>Outcome — long-term</t>
  </si>
  <si>
    <t>Outcome — short-term</t>
  </si>
  <si>
    <t>GROUP A — assessed substances (ETP Discharge Log 2025, Appendix 17; STF per EA guidance)</t>
  </si>
  <si>
    <t>Copper</t>
  </si>
  <si>
    <t>Ammonia (&gt;50 mg/l CaCO₃, 90%ile)</t>
  </si>
  <si>
    <t>Hardness band corrected to &gt;50 (was &lt;=50). Library EQS 200.</t>
  </si>
  <si>
    <t>Chromium III (95%ile) (dissolved)</t>
  </si>
  <si>
    <t>Trivalent confirmed — no hexavalent chromium on site (K. Davison).</t>
  </si>
  <si>
    <t>Cyanide</t>
  </si>
  <si>
    <t>Lead and its compounds (non-detect, at LoD)</t>
  </si>
  <si>
    <t>Not detected; flat 290 µg/l = laboratory limit of detection, retained as conservative input (K. Davison 10/06/2026).</t>
  </si>
  <si>
    <t>Nickel and its compounds</t>
  </si>
  <si>
    <t>Zinc</t>
  </si>
  <si>
    <t>Log-supported value; 0.85 mg/l email figure not supported by monitoring.</t>
  </si>
  <si>
    <t>GROUP B — additional determinands (Kelvin 04/06/2026; no STF available — STF 1, conservative)</t>
  </si>
  <si>
    <t>Chlorine (95%ile, total residual oxidant)</t>
  </si>
  <si>
    <t>Transient oxidant — consumed in sewer/works; numeric screen is a bounding case (report s6.3).</t>
  </si>
  <si>
    <t>Bromine</t>
  </si>
  <si>
    <t>No detectable level (K. Davison 10/06/2026).</t>
  </si>
  <si>
    <t>Iron</t>
  </si>
  <si>
    <t>0.5 mg/l per Sheffield Assay Office analysis (preferred over kit reading).</t>
  </si>
  <si>
    <t>Mercury and its compounds</t>
  </si>
  <si>
    <t>Fluoride (&gt;50 mg/l CaCO₃) (dissolved)</t>
  </si>
  <si>
    <t>Hardness band confirmed &gt;50 (193 mg/l CaCO₃).</t>
  </si>
  <si>
    <t>Sulphate</t>
  </si>
  <si>
    <t>Nitrate  [no H1 EQS]</t>
  </si>
  <si>
    <t>No freshwater EQS in H1 library — closed via sewer route (report s6.4).</t>
  </si>
  <si>
    <t>Isotridecanol, ethoxylated polymer  [no H1 EQS]</t>
  </si>
  <si>
    <t>Biodegradable surfactant; no EQS in H1 library — closed via sewer route (report s6.4).</t>
  </si>
  <si>
    <t>Reading the outcomes</t>
  </si>
  <si>
    <t>- "Insignificant (Test 1)" — process contribution below 10% of the EQS at the conservative screen: no further assessment required.</t>
  </si>
  <si>
    <t>- "Within EQS (PEC)" — predicted concentration including background remains within the EQS at the conservative screen.</t>
  </si>
  <si>
    <t>- "Exceeds at screen — controlled via TE consent" — the bounding screen exceeds the freshwater EQS; for a consented discharge to foul sewer these substances are controlled by the numeric limits of YWS consent Y/5032/23D (Cu, CN, Ni, Zn, plus pH/temperature/COD/solids), and the receiving works own discharge is regulated under its EA permit (NE/2941/009). See Final Report s6-7.</t>
  </si>
  <si>
    <t>- The screen is deliberately conservative: maximum consented flow into minimum recorded works flow; total-substance concentrations against (largely bioavailable/dissolved) EQS; no allowance for the works further treatment of Group B substances; default zero backgrounds except copper.</t>
  </si>
  <si>
    <t>Discharge route — established and evidenced (V4 closure)</t>
  </si>
  <si>
    <t>Item</t>
  </si>
  <si>
    <t>Finding</t>
  </si>
  <si>
    <t>Evidence</t>
  </si>
  <si>
    <t>Release point W1</t>
  </si>
  <si>
    <t>Treated effluent from the ETP discharges to the public foul sewer. Trade effluent line runs from the ETP (sample point Y) to the point of discharge to the public foul sewer (X), joining the main foul sewer at Z, Holmewood Industrial Park.</t>
  </si>
  <si>
    <t>YWS consent plan (Appendix 3, p.10); K. Davison email 10/06/2026</t>
  </si>
  <si>
    <t>Statutory control of the discharge</t>
  </si>
  <si>
    <t>Trade effluent consent: Direction Y/5032/23D (effective 29/09/2023), varying Consent Y/4927/22C (11/04/2022), Yorkshire Water Services Ltd, WIA 1991. Max 35 m³/day; 0.4 l/s; pH 6-10.5; temp &lt;=43.3 C; settled COD &lt;=3,000 mg/l; settleable solids &lt;=250 mg/l; Cu &lt;=1 mg/l and &lt;=0.015 kg/day; CN &lt;=2 mg/l; Ni &lt;=4 mg/l and &lt;=0.06 kg/day; Zn &lt;=1 mg/l; prescribed substances not above background.</t>
  </si>
  <si>
    <t>Appendix 3 — YWS Discharge Consent (ref WH/WWI/SB/3390786)</t>
  </si>
  <si>
    <t>Receiving sewage treatment works</t>
  </si>
  <si>
    <t>Williamthorpe STW, Yorkshire Water Services Ltd, Park Road (track off), Holmewood Industrial Park, Chesterfield S42 5UY. NGR SK 43160 66490 (E 443160, N 366490). Current EA registration NE/2941/009 (from 11/07/2022).</t>
  </si>
  <si>
    <t>EA public register of water discharge permits (environment.data.gov.uk), retrieved 10/06/2026 — answers LIT 11887 item 9</t>
  </si>
  <si>
    <t>Works flow (dilution basis)</t>
  </si>
  <si>
    <t>Daily flow record 2021-2025; Q95 (m³/day): 746.2 / 669.2 / 729.2 / 780.3 / 806.5. Assessment uses 5-year minimum (669.2, 2022) as the conservative basis. See sheet STW flow data (YWS).</t>
  </si>
  <si>
    <t>YWS data supplied via K. Davison, 10/06/2026</t>
  </si>
  <si>
    <t>Williamthorpe Reservoir (previous entries)</t>
  </si>
  <si>
    <t>The receptor named in CBE Access H1 tool corresponds to the Williamthorpe location of the receiving works and its adjacent waterbody; there is no direct discharge from the installation to any surface water. Surface-water (reservoir) mixing modelling is therefore not applicable.</t>
  </si>
  <si>
    <t>Route evidence above; CBE H1 tool screenshots</t>
  </si>
  <si>
    <t>Water hardness</t>
  </si>
  <si>
    <t>Supply water 13.53 deg Clarke = 193 mg/l CaCO₃ (moderately hard) — hardness-banded EQS resolve to the &gt;50 mg/l CaCO₃ band (ammonia, fluoride).</t>
  </si>
  <si>
    <t>Severn Trent figure via K. Davison, 10/06/2026</t>
  </si>
  <si>
    <t>Application alignment</t>
  </si>
  <si>
    <t>For resubmission: Part B6 Table 3 and the site plan should describe this emission as a point source emission to sewer (the previously ticked non-tidal river entry is superseded by the evidence above).</t>
  </si>
  <si>
    <t>LIT 11887 items 4 and 9; Appendix 3</t>
  </si>
  <si>
    <t>Assumptions register — all items closed (V4, 10/06/2026)</t>
  </si>
  <si>
    <t>Item (formerly interim)</t>
  </si>
  <si>
    <t>Resolution</t>
  </si>
  <si>
    <t>Evidence / basis</t>
  </si>
  <si>
    <t>Discharge route / receptor</t>
  </si>
  <si>
    <t>To public foul sewer under YWS trade effluent consent; receiving works Williamthorpe STW. No direct surface-water discharge; reservoir mixing assessment not applicable.</t>
  </si>
  <si>
    <t>Appendix 3 consent + plan; K. Davison 10/06/2026; EA register NE/2941/009</t>
  </si>
  <si>
    <t>Flow basis (actual vs capacity)</t>
  </si>
  <si>
    <t>CLOSED — consented maximum 35 m³/day adopted as the primary, enforceable basis (identical to ETP book maximum). Actual 2025 flows (9.78 mean / 14 max m³/day) shown for context. Removes the enforceable-condition risk attached to an actuals-only basis.</t>
  </si>
  <si>
    <t>Consent Y/5032/23D condition 4; Discharge Log 2025</t>
  </si>
  <si>
    <t>Receiving-water dilution</t>
  </si>
  <si>
    <t>CLOSED — YWS works flow record adopted; 5-year minimum Q95 (669.2 m³/day, 2022) as conservative dilution. Supersedes the unevidenced 0.0004 m³/s figure in the Access tool.</t>
  </si>
  <si>
    <t>YWS flow data via K. Davison 10/06/2026</t>
  </si>
  <si>
    <t>Sewage Treatment Factors</t>
  </si>
  <si>
    <t>CLOSED — STFs are the applicable mechanism for a discharge to sewer per EA surface water pollution risk assessment guidance; values as entered in CBE tool (Cu 0.21, NH3 0.08, CrIII 0.16, CN 0.32, Pb 0.17, Ni 0.76, Zn 0.33). Group B assessed at STF 1 (conservative).</t>
  </si>
  <si>
    <t>EA guidance cited in CBE tool provenance note; route evidence</t>
  </si>
  <si>
    <t>Lead 290 µg/l</t>
  </si>
  <si>
    <t>CLOSED — non-detect: flat value across all samples is the laboratory limit of detection; retained at LoD as a conservative input. Not detected in 2025.</t>
  </si>
  <si>
    <t>K. Davison 10/06/2026; Discharge Log 2023-24</t>
  </si>
  <si>
    <t>Zinc 70 vs 850 µg/l</t>
  </si>
  <si>
    <t>CLOSED — 70 µg/l (0.07 mg/l) per the monitoring record; the 0.85 mg/l email figure is not supported by the log and is not used.</t>
  </si>
  <si>
    <t>Discharge Log 2025</t>
  </si>
  <si>
    <t>Chromium species</t>
  </si>
  <si>
    <t>CLOSED — trivalent (no hexavalent chromium on site); assessed as Cr III dissolved.</t>
  </si>
  <si>
    <t>K. Davison 10/06/2026</t>
  </si>
  <si>
    <t>Iron value (0 vs 0.5 mg/l)</t>
  </si>
  <si>
    <t>CLOSED — 0.5 mg/l per Sheffield Assay Office analysis (preferred over field kit).</t>
  </si>
  <si>
    <t>Bromine / Mercury / Sulphate</t>
  </si>
  <si>
    <t>CLOSED — no detectable levels confirmed; entered as absent.</t>
  </si>
  <si>
    <t>Fluoride hardness band</t>
  </si>
  <si>
    <t>CLOSED — &gt;50 mg/l CaCO₃ band (supply 193 mg/l CaCO₃); EQS 5,000 µg/l AA / 15,000 MAC.</t>
  </si>
  <si>
    <t>Severn Trent hardness via K. Davison 10/06/2026; H1 v9.2 library</t>
  </si>
  <si>
    <t>Ammonia EQS band</t>
  </si>
  <si>
    <t>CLOSED — &gt;50 mg/l CaCO₃ band (90%ile) per library: 200 µg/l. Previous &lt;=50 entry superseded.</t>
  </si>
  <si>
    <t>As above</t>
  </si>
  <si>
    <t>Nitrate and isotridecanol</t>
  </si>
  <si>
    <t>CLOSED — no freshwater EQS exists in the H1 library; both are amenable to biological treatment and are managed within the trade effluent consent framework (incl. condition 7 notification of changed effluent). No direct surface-water pathway exists. See Final Report s6.4.</t>
  </si>
  <si>
    <t>Consent Y/5032/23D; route evidence</t>
  </si>
  <si>
    <t>Peak / 95%ile concentrations</t>
  </si>
  <si>
    <t>CLOSED — Discharge Log maxima used for short-term (MAC) tests; where only a single value exists it is applied to both bases (conservative).</t>
  </si>
  <si>
    <t>ETP Discharge Log (Appendix 17) — provenance of Group A inputs</t>
  </si>
  <si>
    <t>The 2025 mean/maximum reproduce the annual-average and peak concentrations in CBE Access H1 tool. Chromium and Lead carried from 2023-24 (not detected in 2025). Flows: 2025 mean 9.78 m³/day, max 14; 2023-24 mean 5.44, max 11.</t>
  </si>
  <si>
    <t>Log mean (µg/l)</t>
  </si>
  <si>
    <t>Log max (µg/l)</t>
  </si>
  <si>
    <t>Tool AA</t>
  </si>
  <si>
    <t>Tool peak</t>
  </si>
  <si>
    <t>Note</t>
  </si>
  <si>
    <t>2025 record</t>
  </si>
  <si>
    <t>Ammonia</t>
  </si>
  <si>
    <t>Chromium III</t>
  </si>
  <si>
    <t>2023-24 averages; not detected 2025</t>
  </si>
  <si>
    <t>Lead</t>
  </si>
  <si>
    <t>2023-24; flat value = LoD (non-detect); not detected 2025</t>
  </si>
  <si>
    <t>Nickel</t>
  </si>
  <si>
    <t>2025 record (0.07 mg/l); 0.85 mg/l email figure unsupported</t>
  </si>
  <si>
    <t>SUPERSEDED - V2 direct-discharge basis, retained for audit only. See Calculator (V4) for the current assessment.</t>
  </si>
  <si>
    <t>Release point W1 → Williamthorpe Reservoir (freshwater) · concentrations in µg/l · PC = conc × dilution × STF · method per gov.uk freshwaters guidance</t>
  </si>
  <si>
    <t>Blue = input · Black = formula · Yellow = needs a value/decision · GREEN group = CBE actual screenshot data · AMBER group = Kelvin's additions</t>
  </si>
  <si>
    <t>Effluent flow Qe — normal (m³/s)</t>
  </si>
  <si>
    <t>◀ CBE tool value (≈17,280 l/day). NB Kelvin's email said 5,000–9,000 l/day — reconcile</t>
  </si>
  <si>
    <t>Effluent flow Qe — max/5% (m³/s)</t>
  </si>
  <si>
    <t>River Q95 flow Qr (m³/s)</t>
  </si>
  <si>
    <t>◀ river dilution (≈34,560 l/day) — confirm receiving-water Q95</t>
  </si>
  <si>
    <t>Dilution factor  f_LT = Qe/(Qe+Qr)</t>
  </si>
  <si>
    <t>Dilution factor  f_ST = Qe/(Qe+Qr)</t>
  </si>
  <si>
    <t>AA conc
(µg/l)</t>
  </si>
  <si>
    <t>Max conc
(µg/l)</t>
  </si>
  <si>
    <t>Background
(µg/l)</t>
  </si>
  <si>
    <t>EQS LT
(µg/l)</t>
  </si>
  <si>
    <t>EQS MAC
(µg/l)</t>
  </si>
  <si>
    <t>PC
long-term</t>
  </si>
  <si>
    <t>PC
short-term</t>
  </si>
  <si>
    <t>PEC
long-term</t>
  </si>
  <si>
    <t>PEC
short-term</t>
  </si>
  <si>
    <t>PC %
EQS (LT)</t>
  </si>
  <si>
    <t>PC %
EQS (ST)</t>
  </si>
  <si>
    <t>GROUP A — CBE assessed substances (from H1 screenshots; Sewage Treatment Factor applied)</t>
  </si>
  <si>
    <t>Ammonia (≤50 CaCO₃ 90%ile)</t>
  </si>
  <si>
    <t>Lead and it's compounds</t>
  </si>
  <si>
    <t>GROUP B — additional determinands from Kelvin's email (no STF supplied → set to 1; to be assessed)</t>
  </si>
  <si>
    <t>Chlorine (95%ile)</t>
  </si>
  <si>
    <t>Nitrate  [not in library]</t>
  </si>
  <si>
    <t>Fluoride (≤/&gt;50 CaCO₃)  [hardness-dep]</t>
  </si>
  <si>
    <t>Isotridecanol, ethoxylated polymer  [not in library]</t>
  </si>
  <si>
    <t>Verification — engine reproduces CBE's screenshot PCs (PC = AA × f_LT × STF)</t>
  </si>
  <si>
    <t>Flows &amp; STFs as CBE used them. Match should be ✓ for every substance shown in the screenshots.</t>
  </si>
  <si>
    <t>Qe normal (m³/s)</t>
  </si>
  <si>
    <t>Qe max (m³/s)</t>
  </si>
  <si>
    <t>Qr Q95 (m³/s)</t>
  </si>
  <si>
    <t>f_LT</t>
  </si>
  <si>
    <t>f_ST</t>
  </si>
  <si>
    <t>AA conc</t>
  </si>
  <si>
    <t>Max conc</t>
  </si>
  <si>
    <t>Screenshot PC_LT</t>
  </si>
  <si>
    <t>Screenshot PC_ST</t>
  </si>
  <si>
    <t>Calc PC_LT</t>
  </si>
  <si>
    <t>Calc PC_ST</t>
  </si>
  <si>
    <t>Match LT</t>
  </si>
  <si>
    <t>Match ST</t>
  </si>
  <si>
    <t>Extracted from: Water Monitoring Access H1 Screenshots.docx (CBE) — 4 screenshots of the live Access H1 tool</t>
  </si>
  <si>
    <t>AA conc µg/l</t>
  </si>
  <si>
    <t>Max conc µg/l</t>
  </si>
  <si>
    <t>Op mode %yr</t>
  </si>
  <si>
    <t>EQS LT</t>
  </si>
  <si>
    <t>EQS MAC</t>
  </si>
  <si>
    <t>Background</t>
  </si>
  <si>
    <t>2.0%</t>
  </si>
  <si>
    <t>(no MAC)</t>
  </si>
  <si>
    <t>(not in tests)</t>
  </si>
  <si>
    <t>(none)</t>
  </si>
  <si>
    <t>Chromium III (95%ile) dissolved</t>
  </si>
  <si>
    <t>1.2 (Test1)/1.3 (Test2)</t>
  </si>
  <si>
    <t>4 (Test1)/8.6 (Test2)</t>
  </si>
  <si>
    <t>10.9 (Test1)/6.8 (Test2)</t>
  </si>
  <si>
    <t>Screenshot PC results (annual / MAC, µg/l):</t>
  </si>
  <si>
    <t>Copper 8.89 / 58.485 · Cyanide 1.4933 / 2.24 · Lead 16.4333 / 24.65 · Nickel 1059.1867 / 8550 · Zinc 7.70 / 11.55</t>
  </si>
  <si>
    <t>Screenshot test outcomes:</t>
  </si>
  <si>
    <t>Test 1 (release &lt; 10% EQS): all FAIL (annual). MAC: Copper &amp; Zinc N/A (no MAC EQS), others Fail.</t>
  </si>
  <si>
    <t>Test 2 (PC ≤ 4% EQS): annual all FAIL. MAC: Copper Pass, Zinc Pass, Cyanide/Lead/Nickel Fail.</t>
  </si>
  <si>
    <t>Tests 3/4 (PEC): only Copper has a background (0.2) → PEC 9.03, Test 3 Fail, %PEC 902 Test 4a Fail, MAC Test 4b Pass. Others 'No BC'.</t>
  </si>
  <si>
    <t>Provenance note (from the screenshot comments box):</t>
  </si>
  <si>
    <t>'Figures entered from actual spot measurements over 12 months in operation. No Chromium or Lead detected in 2025; those two are 2024 averages. Sewerage Treatment Reduction Factors applied from Environmental Agency Guidance (link from Surface Water Pollution risk assessment page).'</t>
  </si>
  <si>
    <t>Method: Chemical Specific · Release point W1 · Receiving water: Williamthorpe Reservoir (freshwater).</t>
  </si>
  <si>
    <t>CHANGELOG</t>
  </si>
  <si>
    <t>V4 (10/06/2026) — FINAL. Discharge route established: trade effluent to public foul sewer under YWS consent Y/5032/23D; receiving works Williamthorpe STW (EA reg. NE/2941/009, NGR SK 43160 66490) — answers LIT 11887 item 9. Dilution basis: consented max 35 m³/day into 5-yr minimum works Q95 669.2 m³/day. Hardness 193 mg/l CaCO₃: ammonia and fluoride moved to &gt;50 band (ammonia EQS 200, fluoride 5,000/15,000). Lead documented as non-detect at LoD. Bromine/mercury/sulphate confirmed absent. Chromium confirmed trivalent. Iron 0.5 mg/l (Assay Office). All interim assumptions closed — see Assumptions — CLOSED. V2 direct-discharge table retained as Superseded basis (V2) for audit.</t>
  </si>
  <si>
    <t>V3 (09/06/2026) — flow corrected to actual 2025 figures (9.78/14 m³/day) from the ETP Discharge Log; provenance sheet added; three-basis flow comparison; assumptions (interim) sheet; no screening outcome changed.</t>
  </si>
  <si>
    <t>V2 (08/06/2026) — rebuilt around CBE Access tool screenshots: per-substance STFs; CBE flows (0.0002/0.0004 m³/s); Group B determinands added; engine verified against screenshot PCs.</t>
  </si>
  <si>
    <t>V1 (04/06/2026) — first reconstruction of the EA H1 freshwater method from H1TOOL_2.7.9.mdb.</t>
  </si>
  <si>
    <t>H1 Calculator v2 — what changed from v1, and the open points</t>
  </si>
  <si>
    <t>WHY v2: the CBE Access H1 screenshots revealed actual inputs not available when v1 was built. v2 reproduces CBE's actual assessment, then adds Kelvin's extra determinands.</t>
  </si>
  <si>
    <t>CHANGES FROM v1:</t>
  </si>
  <si>
    <t xml:space="preserve">  1. Sewage Treatment Factor (STF) now applied per substance (Cu 0.21, NH3 0.08, CrIII 0.16, CN 0.32, Pb 0.17, Ni 0.76, Zn 0.33). v1 used no reduction factor (ERF=1).</t>
  </si>
  <si>
    <t xml:space="preserve">     → PC = conc × dilution × STF. With STF + the flows below, the engine reproduces CBE's screenshot PCs exactly (see 'Verify vs screenshots').</t>
  </si>
  <si>
    <t xml:space="preserve">  2. Flows reverted to CBE's actual: Qe 0.0002 m³/s, Qr 0.0004 m³/s → f_LT 0.333 (v1 had used 9,000 l/day → 0.207).</t>
  </si>
  <si>
    <t xml:space="preserve">  3. Backgrounds: only Copper (0.2) as CBE did; others left blank ('No BC'), not defaulted to 50% EQS.</t>
  </si>
  <si>
    <t>OPEN POINTS / FLAGS:</t>
  </si>
  <si>
    <t xml:space="preserve">  • STF basis: CBE cite EA guidance (sewage treatment reduction). The basic gov.uk freshwater formula has NO reduction factor — applying STF materially lowers PC, so confirm it is valid for this discharge.</t>
  </si>
  <si>
    <t xml:space="preserve">  • Effluent flow conflict: CBE's tool uses 0.0002 m³/s (≈17,280 l/day) but Kelvin's email said 5,000–9,000 l/day. Reconcile — a lower flow lowers PC.</t>
  </si>
  <si>
    <t xml:space="preserve">  • EQS inconsistency in CBE's tool: Test 1 uses library EQS (Pb 1.2, Ni 4, Zn 10.9); Test 2 uses entered values (1.3 / 8.6 / 6.8). v2 uses the library/current-EA values; CBE's Test-2 %EQS figures were computed on the other set.</t>
  </si>
  <si>
    <t xml:space="preserve">  • Concentration conflicts (email vs screenshots): Lead 50 vs 290, Zinc 850 vs 70 (µg/l). v2 uses CBE's screenshot values; the screenshot note explains Cr &amp; Pb are 2024 averages (not detected 2025).</t>
  </si>
  <si>
    <t xml:space="preserve">  • Group B (Kelvin's additions): no STF supplied → set to 1 (conservative). Peak = annual placeholder. EQS from the freshwater library; Nitrate, Isotridecanol, Fluoride still unresolved (Fluoride hardness-dependent).</t>
  </si>
  <si>
    <t xml:space="preserve">  • Metal EQS are bioavailable; PC is total/dissolved, so the screen is conservative (a Bio-met assessment may relax it).</t>
  </si>
  <si>
    <t>CAVEAT: validate against the EA's official Excel H1 tool before submission. Source: CBE H1 screenshots + H1TOOL_2.7.9.mdb + gov.uk freshwaters guidance. Prepared 2026-06-08.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</si>
</sst>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
    <numFmt numFmtId="166" formatCode="0.00000"/>
    <numFmt numFmtId="167" formatCode="0.###"/>
    <numFmt numFmtId="168" formatCode="0.000"/>
  </numFmts>
  <fonts count="21" x14ac:knownFonts="1">
    <font>
      <sz val="11"/>
      <color theme="1"/>
      <name val="Calibri"/>
      <family val="2"/>
      <scheme val="minor"/>
    </font>
    <font>
      <b/>
      <sz val="14"/>
      <name val="Arial"/>
    </font>
    <font>
      <i/>
      <sz val="10"/>
      <name val="Arial"/>
    </font>
    <font>
      <sz val="11"/>
      <color rgb="FF0000FF"/>
      <name val="Arial"/>
    </font>
    <font>
      <sz val="11"/>
      <color rgb="FF000000"/>
      <name val="Arial"/>
    </font>
    <font>
      <b/>
      <sz val="11"/>
      <name val="Arial"/>
    </font>
    <font>
      <b/>
      <sz val="11"/>
      <color rgb="FFFFFFFF"/>
      <name val="Arial"/>
    </font>
    <font>
      <sz val="11"/>
      <name val="Arial"/>
    </font>
    <font>
      <b/>
      <sz val="11"/>
      <color rgb="FFC00000"/>
      <name val="Arial"/>
    </font>
    <font>
      <b/>
      <sz val="11"/>
      <color rgb="FF008000"/>
      <name val="Arial"/>
    </font>
    <font>
      <sz val="11"/>
      <color rgb="FFC00000"/>
      <name val="Arial"/>
    </font>
    <font>
      <b/>
      <sz val="11"/>
      <color rgb="FF9C0006"/>
      <name val="Calibri"/>
    </font>
    <font>
      <b/>
      <sz val="13"/>
      <name val="Calibri"/>
    </font>
    <font>
      <i/>
      <sz val="11"/>
      <name val="Calibri"/>
    </font>
    <font>
      <i/>
      <sz val="9"/>
      <name val="Calibri"/>
    </font>
    <font>
      <b/>
      <sz val="11"/>
      <name val="Calibri"/>
    </font>
    <font>
      <b/>
      <sz val="11"/>
      <color rgb="FF0000FF"/>
      <name val="Calibri"/>
    </font>
    <font>
      <b/>
      <i/>
      <sz val="11"/>
      <name val="Calibri"/>
    </font>
    <font>
      <sz val="11"/>
      <color rgb="FF0000FF"/>
      <name val="Calibri"/>
    </font>
    <font>
      <b/>
      <sz val="11"/>
      <name val="Calibri"/>
    </font>
    <font>
      <b/>
      <sz val="11"/>
      <color rgb="FFC00000"/>
      <name val="Calibri"/>
    </font>
  </fonts>
  <fills count="10">
    <fill>
      <patternFill patternType="none"/>
    </fill>
    <fill>
      <patternFill patternType="gray125"/>
    </fill>
    <fill>
      <patternFill patternType="solid">
        <fgColor rgb="FF1F4E78"/>
      </patternFill>
    </fill>
    <fill>
      <patternFill patternType="solid">
        <fgColor rgb="FF2E7D32"/>
      </patternFill>
    </fill>
    <fill>
      <patternFill patternType="solid">
        <fgColor rgb="FFFFFF00"/>
      </patternFill>
    </fill>
    <fill>
      <patternFill patternType="solid">
        <fgColor rgb="FFB45F06"/>
      </patternFill>
    </fill>
    <fill>
      <patternFill patternType="solid">
        <fgColor rgb="FFF8CBAD"/>
      </patternFill>
    </fill>
    <fill>
      <patternFill patternType="solid">
        <fgColor rgb="FFD9D9D9"/>
      </patternFill>
    </fill>
    <fill>
      <patternFill patternType="solid">
        <fgColor rgb="FFC6EFCE"/>
      </patternFill>
    </fill>
    <fill>
      <patternFill patternType="solid">
        <fgColor rgb="FFFFE699"/>
      </patternFill>
    </fill>
  </fills>
  <borders count="3">
    <border>
      <left/>
      <right/>
      <top/>
      <bottom/>
      <diagonal/>
    </border>
    <border>
      <left style="thin">
        <color rgb="FFBBBBBB"/>
      </left>
      <right style="thin">
        <color rgb="FFBBBBBB"/>
      </right>
      <top style="thin">
        <color rgb="FFBBBBBB"/>
      </top>
      <bottom style="thin">
        <color rgb="FFBBBBBB"/>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56">
    <xf numFmtId="0" fontId="0" fillId="0" borderId="0" xfId="0"/>
    <xf numFmtId="0" fontId="1" fillId="0" borderId="0" xfId="0" applyFont="1"/>
    <xf numFmtId="0" fontId="2" fillId="0" borderId="0" xfId="0" applyFont="1"/>
    <xf numFmtId="164" fontId="3" fillId="0" borderId="0" xfId="0" applyNumberFormat="1" applyFont="1" applyAlignment="1">
      <alignment horizontal="center"/>
    </xf>
    <xf numFmtId="0" fontId="5" fillId="0" borderId="0" xfId="0" applyFont="1"/>
    <xf numFmtId="164" fontId="4" fillId="0" borderId="0" xfId="0" applyNumberFormat="1" applyFont="1" applyAlignment="1">
      <alignment horizontal="center"/>
    </xf>
    <xf numFmtId="0" fontId="6" fillId="2" borderId="1" xfId="0" applyFont="1" applyFill="1" applyBorder="1" applyAlignment="1">
      <alignment horizontal="center" vertical="center" wrapText="1"/>
    </xf>
    <xf numFmtId="0" fontId="6" fillId="3" borderId="0" xfId="0" applyFont="1" applyFill="1"/>
    <xf numFmtId="0" fontId="0" fillId="3" borderId="0" xfId="0" applyFill="1"/>
    <xf numFmtId="0" fontId="7" fillId="0" borderId="0" xfId="0" applyFont="1" applyAlignment="1">
      <alignment horizontal="left" vertical="center" wrapText="1"/>
    </xf>
    <xf numFmtId="4" fontId="3" fillId="0" borderId="1" xfId="0" applyNumberFormat="1" applyFont="1" applyBorder="1"/>
    <xf numFmtId="4" fontId="3" fillId="0" borderId="1" xfId="0" applyNumberFormat="1" applyFont="1" applyBorder="1" applyAlignment="1">
      <alignment horizontal="center"/>
    </xf>
    <xf numFmtId="4" fontId="0" fillId="4" borderId="1" xfId="0" applyNumberFormat="1" applyFill="1" applyBorder="1" applyAlignment="1">
      <alignment horizontal="center"/>
    </xf>
    <xf numFmtId="4" fontId="4" fillId="0" borderId="1" xfId="0" applyNumberFormat="1" applyFont="1" applyBorder="1" applyAlignment="1">
      <alignment horizontal="center"/>
    </xf>
    <xf numFmtId="165" fontId="4" fillId="0" borderId="1" xfId="0" applyNumberFormat="1" applyFont="1" applyBorder="1" applyAlignment="1">
      <alignment horizontal="center"/>
    </xf>
    <xf numFmtId="0" fontId="4" fillId="0" borderId="1" xfId="0" applyFont="1" applyBorder="1" applyAlignment="1">
      <alignment horizontal="center" vertical="center" wrapText="1"/>
    </xf>
    <xf numFmtId="4" fontId="0" fillId="4" borderId="1" xfId="0" applyNumberFormat="1" applyFill="1" applyBorder="1"/>
    <xf numFmtId="0" fontId="6" fillId="5" borderId="0" xfId="0" applyFont="1" applyFill="1"/>
    <xf numFmtId="0" fontId="0" fillId="5" borderId="0" xfId="0" applyFill="1"/>
    <xf numFmtId="0" fontId="8" fillId="0" borderId="0" xfId="0" applyFont="1" applyAlignment="1">
      <alignment horizontal="left" vertical="center" wrapText="1"/>
    </xf>
    <xf numFmtId="164" fontId="3" fillId="0" borderId="0" xfId="0" applyNumberFormat="1" applyFont="1"/>
    <xf numFmtId="164" fontId="4" fillId="0" borderId="0" xfId="0" applyNumberFormat="1" applyFont="1"/>
    <xf numFmtId="4" fontId="9" fillId="0" borderId="1" xfId="0" applyNumberFormat="1" applyFont="1" applyBorder="1" applyAlignment="1">
      <alignment horizontal="center"/>
    </xf>
    <xf numFmtId="4" fontId="0" fillId="0" borderId="1" xfId="0" applyNumberFormat="1" applyBorder="1" applyAlignment="1">
      <alignment horizontal="center"/>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0" fillId="0" borderId="0" xfId="0" applyAlignment="1">
      <alignment horizontal="left" vertical="top" wrapText="1"/>
    </xf>
    <xf numFmtId="0" fontId="1"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Alignment="1">
      <alignment horizontal="left" vertical="center" wrapText="1"/>
    </xf>
    <xf numFmtId="0" fontId="10" fillId="0" borderId="0" xfId="0" applyFont="1" applyAlignment="1">
      <alignment horizontal="left" vertical="center" wrapText="1"/>
    </xf>
    <xf numFmtId="0" fontId="12" fillId="0" borderId="0" xfId="0" applyFont="1"/>
    <xf numFmtId="0" fontId="13" fillId="0" borderId="0" xfId="0" applyFont="1"/>
    <xf numFmtId="0" fontId="14" fillId="0" borderId="0" xfId="0" applyFont="1" applyAlignment="1">
      <alignment vertical="top" wrapText="1"/>
    </xf>
    <xf numFmtId="0" fontId="15" fillId="0" borderId="0" xfId="0" applyFont="1"/>
    <xf numFmtId="2" fontId="16" fillId="0" borderId="0" xfId="0" applyNumberFormat="1" applyFont="1"/>
    <xf numFmtId="0" fontId="14" fillId="0" borderId="0" xfId="0" applyFont="1"/>
    <xf numFmtId="166" fontId="0" fillId="0" borderId="0" xfId="0" applyNumberFormat="1"/>
    <xf numFmtId="0" fontId="15" fillId="7" borderId="2" xfId="0" applyFont="1" applyFill="1" applyBorder="1" applyAlignment="1">
      <alignment vertical="top" wrapText="1"/>
    </xf>
    <xf numFmtId="0" fontId="17" fillId="8" borderId="0" xfId="0" applyFont="1" applyFill="1"/>
    <xf numFmtId="0" fontId="0" fillId="8" borderId="0" xfId="0" applyFill="1"/>
    <xf numFmtId="0" fontId="0" fillId="0" borderId="2" xfId="0" applyBorder="1" applyAlignment="1">
      <alignment vertical="top" wrapText="1"/>
    </xf>
    <xf numFmtId="167" fontId="18" fillId="0" borderId="2" xfId="0" applyNumberFormat="1" applyFont="1" applyBorder="1"/>
    <xf numFmtId="168" fontId="0" fillId="0" borderId="2" xfId="0" applyNumberFormat="1" applyBorder="1"/>
    <xf numFmtId="0" fontId="0" fillId="0" borderId="2" xfId="0" applyBorder="1"/>
    <xf numFmtId="0" fontId="17" fillId="9" borderId="0" xfId="0" applyFont="1" applyFill="1"/>
    <xf numFmtId="0" fontId="0" fillId="9" borderId="0" xfId="0" applyFill="1"/>
    <xf numFmtId="0" fontId="19" fillId="0" borderId="0" xfId="0" applyFont="1"/>
    <xf numFmtId="0" fontId="15" fillId="0" borderId="2" xfId="0" applyFont="1" applyBorder="1" applyAlignment="1">
      <alignment vertical="top" wrapText="1"/>
    </xf>
    <xf numFmtId="0" fontId="15" fillId="7" borderId="2" xfId="0" applyFont="1" applyFill="1" applyBorder="1"/>
    <xf numFmtId="2" fontId="0" fillId="0" borderId="2" xfId="0" applyNumberFormat="1" applyBorder="1"/>
    <xf numFmtId="2" fontId="20" fillId="0" borderId="2" xfId="0" applyNumberFormat="1" applyFont="1" applyBorder="1"/>
    <xf numFmtId="0" fontId="0" fillId="7" borderId="2" xfId="0" applyFill="1" applyBorder="1" applyAlignment="1">
      <alignment vertical="top" wrapText="1"/>
    </xf>
    <xf numFmtId="0" fontId="11" fillId="6" borderId="0" xfId="0" applyFont="1" applyFill="1"/>
    <xf numFmtId="0" fontId="0" fillId="0" borderId="0" xfId="0" applyAlignment="1">
      <alignment vertical="top"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6"/>
  <sheetViews>
    <sheetView workbookViewId="0"/>
  </sheetViews>
  <sheetFormatPr baseColWidth="10" defaultColWidth="8.83203125" defaultRowHeight="15" x14ac:dyDescent="0.2"/>
  <cols>
    <col min="1" max="1" width="44" customWidth="1"/>
    <col min="2" max="3" width="11" customWidth="1"/>
    <col min="4" max="4" width="8" customWidth="1"/>
    <col min="5" max="5" width="12" customWidth="1"/>
    <col min="6" max="7" width="10" customWidth="1"/>
    <col min="8" max="13" width="11" customWidth="1"/>
    <col min="14" max="14" width="30" customWidth="1"/>
    <col min="15" max="15" width="26" customWidth="1"/>
    <col min="16" max="16" width="50" customWidth="1"/>
  </cols>
  <sheetData>
    <row r="1" spans="1:16" ht="17" x14ac:dyDescent="0.2">
      <c r="A1" s="31" t="s">
        <v>12</v>
      </c>
    </row>
    <row r="2" spans="1:16" x14ac:dyDescent="0.2">
      <c r="A2" s="32" t="s">
        <v>13</v>
      </c>
    </row>
    <row r="3" spans="1:16" ht="26" customHeight="1" x14ac:dyDescent="0.2">
      <c r="A3" s="33" t="s">
        <v>14</v>
      </c>
    </row>
    <row r="4" spans="1:16" ht="38" customHeight="1" x14ac:dyDescent="0.2">
      <c r="A4" s="33" t="s">
        <v>15</v>
      </c>
    </row>
    <row r="6" spans="1:16" x14ac:dyDescent="0.2">
      <c r="A6" s="34" t="s">
        <v>16</v>
      </c>
      <c r="B6" s="35">
        <v>35</v>
      </c>
      <c r="D6" s="36" t="s">
        <v>17</v>
      </c>
    </row>
    <row r="7" spans="1:16" x14ac:dyDescent="0.2">
      <c r="A7" s="34" t="s">
        <v>18</v>
      </c>
      <c r="B7" s="35">
        <v>9.7799999999999994</v>
      </c>
      <c r="D7" s="36" t="s">
        <v>19</v>
      </c>
    </row>
    <row r="8" spans="1:16" x14ac:dyDescent="0.2">
      <c r="A8" s="34" t="s">
        <v>20</v>
      </c>
      <c r="B8" s="35">
        <v>14</v>
      </c>
      <c r="D8" s="36" t="s">
        <v>19</v>
      </c>
    </row>
    <row r="9" spans="1:16" x14ac:dyDescent="0.2">
      <c r="A9" s="34" t="s">
        <v>21</v>
      </c>
      <c r="B9" s="35">
        <v>669.2</v>
      </c>
      <c r="D9" s="36" t="s">
        <v>22</v>
      </c>
    </row>
    <row r="10" spans="1:16" x14ac:dyDescent="0.2">
      <c r="A10" s="34" t="s">
        <v>23</v>
      </c>
      <c r="B10" s="37">
        <f>B6/(B6+B9)</f>
        <v>4.9701789264413515E-2</v>
      </c>
      <c r="D10" s="36" t="s">
        <v>24</v>
      </c>
    </row>
    <row r="11" spans="1:16" x14ac:dyDescent="0.2">
      <c r="A11" t="s">
        <v>25</v>
      </c>
      <c r="B11" s="37">
        <f>B7/(B7+B9)</f>
        <v>1.4403958879495712E-2</v>
      </c>
    </row>
    <row r="13" spans="1:16" ht="30" customHeight="1" x14ac:dyDescent="0.2">
      <c r="A13" s="38" t="s">
        <v>26</v>
      </c>
      <c r="B13" s="38" t="s">
        <v>27</v>
      </c>
      <c r="C13" s="38" t="s">
        <v>28</v>
      </c>
      <c r="D13" s="38" t="s">
        <v>29</v>
      </c>
      <c r="E13" s="38" t="s">
        <v>30</v>
      </c>
      <c r="F13" s="38" t="s">
        <v>31</v>
      </c>
      <c r="G13" s="38" t="s">
        <v>32</v>
      </c>
      <c r="H13" s="38" t="s">
        <v>33</v>
      </c>
      <c r="I13" s="38" t="s">
        <v>34</v>
      </c>
      <c r="J13" s="38" t="s">
        <v>35</v>
      </c>
      <c r="K13" s="38" t="s">
        <v>36</v>
      </c>
      <c r="L13" s="38" t="s">
        <v>37</v>
      </c>
      <c r="M13" s="38" t="s">
        <v>38</v>
      </c>
      <c r="N13" s="38" t="s">
        <v>39</v>
      </c>
      <c r="O13" s="38" t="s">
        <v>40</v>
      </c>
    </row>
    <row r="14" spans="1:16" x14ac:dyDescent="0.2">
      <c r="A14" s="39" t="s">
        <v>41</v>
      </c>
      <c r="B14" s="40"/>
      <c r="C14" s="40"/>
      <c r="D14" s="40"/>
      <c r="E14" s="40"/>
      <c r="F14" s="40"/>
      <c r="G14" s="40"/>
      <c r="H14" s="40"/>
      <c r="I14" s="40"/>
      <c r="J14" s="40"/>
      <c r="K14" s="40"/>
      <c r="L14" s="40"/>
      <c r="M14" s="40"/>
      <c r="N14" s="40"/>
      <c r="O14" s="40"/>
    </row>
    <row r="15" spans="1:16" ht="16" x14ac:dyDescent="0.2">
      <c r="A15" s="41" t="s">
        <v>42</v>
      </c>
      <c r="B15" s="42">
        <v>127</v>
      </c>
      <c r="C15" s="42">
        <v>557</v>
      </c>
      <c r="D15" s="42">
        <v>0.21</v>
      </c>
      <c r="E15" s="42">
        <v>0.2</v>
      </c>
      <c r="F15" s="42">
        <v>1</v>
      </c>
      <c r="G15" s="42"/>
      <c r="H15" s="43">
        <f t="shared" ref="H15:H21" si="0">B15*D15*$B$10</f>
        <v>1.3255467196819084</v>
      </c>
      <c r="I15" s="43">
        <f t="shared" ref="I15:I21" si="1">C15*D15*$B$10</f>
        <v>5.8136182902584492</v>
      </c>
      <c r="J15" s="43">
        <f t="shared" ref="J15:J21" si="2">H15+IF(E15="",0,E15)</f>
        <v>1.5255467196819084</v>
      </c>
      <c r="K15" s="43">
        <f t="shared" ref="K15:K21" si="3">I15+IF(E15="",0,E15)</f>
        <v>6.0136182902584494</v>
      </c>
      <c r="L15" s="44">
        <f t="shared" ref="L15:M21" si="4">IF(F15="","—",ROUND(H15/F15*100,1))</f>
        <v>132.6</v>
      </c>
      <c r="M15" s="44" t="str">
        <f t="shared" si="4"/>
        <v>—</v>
      </c>
      <c r="N15" s="41" t="str">
        <f t="shared" ref="N15:N21" si="5">IF(F15="","No EQS — see report",IF(H15/F15&lt;0.1,"Insignificant (Test 1)",IF(J15&lt;=F15,"Within EQS (PEC)","Exceeds at screen — controlled via TE consent")))</f>
        <v>Exceeds at screen — controlled via TE consent</v>
      </c>
      <c r="O15" s="41" t="str">
        <f t="shared" ref="O15:O21" si="6">IF(G15="","n/a (no MAC EQS)",IF(I15/G15&lt;0.1,"Insignificant (Test 1)",IF(K15&lt;=G15,"Within EQS (PEC)","Exceeds at screen — controlled via TE consent")))</f>
        <v>n/a (no MAC EQS)</v>
      </c>
    </row>
    <row r="16" spans="1:16" ht="16" x14ac:dyDescent="0.2">
      <c r="A16" s="41" t="s">
        <v>43</v>
      </c>
      <c r="B16" s="42">
        <v>98000</v>
      </c>
      <c r="C16" s="42">
        <v>318000</v>
      </c>
      <c r="D16" s="42">
        <v>0.08</v>
      </c>
      <c r="E16" s="42"/>
      <c r="F16" s="42">
        <v>200</v>
      </c>
      <c r="G16" s="42"/>
      <c r="H16" s="43">
        <f t="shared" si="0"/>
        <v>389.66202783300196</v>
      </c>
      <c r="I16" s="43">
        <f t="shared" si="1"/>
        <v>1264.4135188866799</v>
      </c>
      <c r="J16" s="43">
        <f t="shared" si="2"/>
        <v>389.66202783300196</v>
      </c>
      <c r="K16" s="43">
        <f t="shared" si="3"/>
        <v>1264.4135188866799</v>
      </c>
      <c r="L16" s="44">
        <f t="shared" si="4"/>
        <v>194.8</v>
      </c>
      <c r="M16" s="44" t="str">
        <f t="shared" si="4"/>
        <v>—</v>
      </c>
      <c r="N16" s="41" t="str">
        <f t="shared" si="5"/>
        <v>Exceeds at screen — controlled via TE consent</v>
      </c>
      <c r="O16" s="41" t="str">
        <f t="shared" si="6"/>
        <v>n/a (no MAC EQS)</v>
      </c>
      <c r="P16" s="33" t="s">
        <v>44</v>
      </c>
    </row>
    <row r="17" spans="1:16" ht="16" x14ac:dyDescent="0.2">
      <c r="A17" s="41" t="s">
        <v>45</v>
      </c>
      <c r="B17" s="42">
        <v>24</v>
      </c>
      <c r="C17" s="42">
        <v>26</v>
      </c>
      <c r="D17" s="42">
        <v>0.16</v>
      </c>
      <c r="E17" s="42"/>
      <c r="F17" s="42">
        <v>4.7</v>
      </c>
      <c r="G17" s="42">
        <v>32</v>
      </c>
      <c r="H17" s="43">
        <f t="shared" si="0"/>
        <v>0.19085487077534788</v>
      </c>
      <c r="I17" s="43">
        <f t="shared" si="1"/>
        <v>0.20675944333996024</v>
      </c>
      <c r="J17" s="43">
        <f t="shared" si="2"/>
        <v>0.19085487077534788</v>
      </c>
      <c r="K17" s="43">
        <f t="shared" si="3"/>
        <v>0.20675944333996024</v>
      </c>
      <c r="L17" s="44">
        <f t="shared" si="4"/>
        <v>4.0999999999999996</v>
      </c>
      <c r="M17" s="44">
        <f t="shared" si="4"/>
        <v>0.6</v>
      </c>
      <c r="N17" s="41" t="str">
        <f t="shared" si="5"/>
        <v>Insignificant (Test 1)</v>
      </c>
      <c r="O17" s="41" t="str">
        <f t="shared" si="6"/>
        <v>Insignificant (Test 1)</v>
      </c>
      <c r="P17" s="33" t="s">
        <v>46</v>
      </c>
    </row>
    <row r="18" spans="1:16" ht="16" x14ac:dyDescent="0.2">
      <c r="A18" s="41" t="s">
        <v>47</v>
      </c>
      <c r="B18" s="42">
        <v>14</v>
      </c>
      <c r="C18" s="42">
        <v>14</v>
      </c>
      <c r="D18" s="42">
        <v>0.32</v>
      </c>
      <c r="E18" s="42"/>
      <c r="F18" s="42">
        <v>1</v>
      </c>
      <c r="G18" s="42">
        <v>5</v>
      </c>
      <c r="H18" s="43">
        <f t="shared" si="0"/>
        <v>0.22266401590457258</v>
      </c>
      <c r="I18" s="43">
        <f t="shared" si="1"/>
        <v>0.22266401590457258</v>
      </c>
      <c r="J18" s="43">
        <f t="shared" si="2"/>
        <v>0.22266401590457258</v>
      </c>
      <c r="K18" s="43">
        <f t="shared" si="3"/>
        <v>0.22266401590457258</v>
      </c>
      <c r="L18" s="44">
        <f t="shared" si="4"/>
        <v>22.3</v>
      </c>
      <c r="M18" s="44">
        <f t="shared" si="4"/>
        <v>4.5</v>
      </c>
      <c r="N18" s="41" t="str">
        <f t="shared" si="5"/>
        <v>Within EQS (PEC)</v>
      </c>
      <c r="O18" s="41" t="str">
        <f t="shared" si="6"/>
        <v>Insignificant (Test 1)</v>
      </c>
    </row>
    <row r="19" spans="1:16" ht="26" x14ac:dyDescent="0.2">
      <c r="A19" s="41" t="s">
        <v>48</v>
      </c>
      <c r="B19" s="42">
        <v>290</v>
      </c>
      <c r="C19" s="42">
        <v>290</v>
      </c>
      <c r="D19" s="42">
        <v>0.17</v>
      </c>
      <c r="E19" s="42"/>
      <c r="F19" s="42">
        <v>1.2</v>
      </c>
      <c r="G19" s="42">
        <v>14</v>
      </c>
      <c r="H19" s="43">
        <f t="shared" si="0"/>
        <v>2.4502982107355864</v>
      </c>
      <c r="I19" s="43">
        <f t="shared" si="1"/>
        <v>2.4502982107355864</v>
      </c>
      <c r="J19" s="43">
        <f t="shared" si="2"/>
        <v>2.4502982107355864</v>
      </c>
      <c r="K19" s="43">
        <f t="shared" si="3"/>
        <v>2.4502982107355864</v>
      </c>
      <c r="L19" s="44">
        <f t="shared" si="4"/>
        <v>204.2</v>
      </c>
      <c r="M19" s="44">
        <f t="shared" si="4"/>
        <v>17.5</v>
      </c>
      <c r="N19" s="41" t="str">
        <f t="shared" si="5"/>
        <v>Exceeds at screen — controlled via TE consent</v>
      </c>
      <c r="O19" s="41" t="str">
        <f t="shared" si="6"/>
        <v>Within EQS (PEC)</v>
      </c>
      <c r="P19" s="33" t="s">
        <v>49</v>
      </c>
    </row>
    <row r="20" spans="1:16" ht="16" x14ac:dyDescent="0.2">
      <c r="A20" s="41" t="s">
        <v>50</v>
      </c>
      <c r="B20" s="42">
        <v>4181</v>
      </c>
      <c r="C20" s="42">
        <v>22500</v>
      </c>
      <c r="D20" s="42">
        <v>0.76</v>
      </c>
      <c r="E20" s="42"/>
      <c r="F20" s="42">
        <v>4</v>
      </c>
      <c r="G20" s="42">
        <v>34</v>
      </c>
      <c r="H20" s="43">
        <f t="shared" si="0"/>
        <v>157.93041749502981</v>
      </c>
      <c r="I20" s="43">
        <f t="shared" si="1"/>
        <v>849.90059642147116</v>
      </c>
      <c r="J20" s="43">
        <f t="shared" si="2"/>
        <v>157.93041749502981</v>
      </c>
      <c r="K20" s="43">
        <f t="shared" si="3"/>
        <v>849.90059642147116</v>
      </c>
      <c r="L20" s="44">
        <f t="shared" si="4"/>
        <v>3948.3</v>
      </c>
      <c r="M20" s="44">
        <f t="shared" si="4"/>
        <v>2499.6999999999998</v>
      </c>
      <c r="N20" s="41" t="str">
        <f t="shared" si="5"/>
        <v>Exceeds at screen — controlled via TE consent</v>
      </c>
      <c r="O20" s="41" t="str">
        <f t="shared" si="6"/>
        <v>Exceeds at screen — controlled via TE consent</v>
      </c>
    </row>
    <row r="21" spans="1:16" ht="16" x14ac:dyDescent="0.2">
      <c r="A21" s="41" t="s">
        <v>51</v>
      </c>
      <c r="B21" s="42">
        <v>70</v>
      </c>
      <c r="C21" s="42">
        <v>70</v>
      </c>
      <c r="D21" s="42">
        <v>0.33</v>
      </c>
      <c r="E21" s="42"/>
      <c r="F21" s="42">
        <v>10.9</v>
      </c>
      <c r="G21" s="42"/>
      <c r="H21" s="43">
        <f t="shared" si="0"/>
        <v>1.1481113320079523</v>
      </c>
      <c r="I21" s="43">
        <f t="shared" si="1"/>
        <v>1.1481113320079523</v>
      </c>
      <c r="J21" s="43">
        <f t="shared" si="2"/>
        <v>1.1481113320079523</v>
      </c>
      <c r="K21" s="43">
        <f t="shared" si="3"/>
        <v>1.1481113320079523</v>
      </c>
      <c r="L21" s="44">
        <f t="shared" si="4"/>
        <v>10.5</v>
      </c>
      <c r="M21" s="44" t="str">
        <f t="shared" si="4"/>
        <v>—</v>
      </c>
      <c r="N21" s="41" t="str">
        <f t="shared" si="5"/>
        <v>Within EQS (PEC)</v>
      </c>
      <c r="O21" s="41" t="str">
        <f t="shared" si="6"/>
        <v>n/a (no MAC EQS)</v>
      </c>
      <c r="P21" s="33" t="s">
        <v>52</v>
      </c>
    </row>
    <row r="22" spans="1:16" x14ac:dyDescent="0.2">
      <c r="A22" s="45" t="s">
        <v>53</v>
      </c>
      <c r="B22" s="46"/>
      <c r="C22" s="46"/>
      <c r="D22" s="46"/>
      <c r="E22" s="46"/>
      <c r="F22" s="46"/>
      <c r="G22" s="46"/>
      <c r="H22" s="46"/>
      <c r="I22" s="46"/>
      <c r="J22" s="46"/>
      <c r="K22" s="46"/>
      <c r="L22" s="46"/>
      <c r="M22" s="46"/>
      <c r="N22" s="46"/>
      <c r="O22" s="46"/>
    </row>
    <row r="23" spans="1:16" ht="26" x14ac:dyDescent="0.2">
      <c r="A23" s="41" t="s">
        <v>54</v>
      </c>
      <c r="B23" s="42">
        <v>500</v>
      </c>
      <c r="C23" s="42">
        <v>500</v>
      </c>
      <c r="D23" s="42">
        <v>1</v>
      </c>
      <c r="E23" s="42"/>
      <c r="F23" s="42">
        <v>2</v>
      </c>
      <c r="G23" s="42">
        <v>5</v>
      </c>
      <c r="H23" s="43">
        <f t="shared" ref="H23:H30" si="7">B23*D23*$B$10</f>
        <v>24.850894632206757</v>
      </c>
      <c r="I23" s="43">
        <f t="shared" ref="I23:I30" si="8">C23*D23*$B$10</f>
        <v>24.850894632206757</v>
      </c>
      <c r="J23" s="43">
        <f t="shared" ref="J23:J30" si="9">H23+IF(E23="",0,E23)</f>
        <v>24.850894632206757</v>
      </c>
      <c r="K23" s="43">
        <f t="shared" ref="K23:K30" si="10">I23+IF(E23="",0,E23)</f>
        <v>24.850894632206757</v>
      </c>
      <c r="L23" s="44">
        <f t="shared" ref="L23:M30" si="11">IF(F23="","—",ROUND(H23/F23*100,1))</f>
        <v>1242.5</v>
      </c>
      <c r="M23" s="44">
        <f t="shared" si="11"/>
        <v>497</v>
      </c>
      <c r="N23" s="41" t="str">
        <f t="shared" ref="N23:N30" si="12">IF(F23="","No EQS — see report",IF(H23/F23&lt;0.1,"Insignificant (Test 1)",IF(J23&lt;=F23,"Within EQS (PEC)","Exceeds at screen — controlled via TE consent")))</f>
        <v>Exceeds at screen — controlled via TE consent</v>
      </c>
      <c r="O23" s="41" t="str">
        <f t="shared" ref="O23:O30" si="13">IF(G23="","n/a (no MAC EQS)",IF(I23/G23&lt;0.1,"Insignificant (Test 1)",IF(K23&lt;=G23,"Within EQS (PEC)","Exceeds at screen — controlled via TE consent")))</f>
        <v>Exceeds at screen — controlled via TE consent</v>
      </c>
      <c r="P23" s="33" t="s">
        <v>55</v>
      </c>
    </row>
    <row r="24" spans="1:16" ht="16" x14ac:dyDescent="0.2">
      <c r="A24" s="41" t="s">
        <v>56</v>
      </c>
      <c r="B24" s="42">
        <v>0</v>
      </c>
      <c r="C24" s="42">
        <v>0</v>
      </c>
      <c r="D24" s="42">
        <v>1</v>
      </c>
      <c r="E24" s="42"/>
      <c r="F24" s="42">
        <v>2</v>
      </c>
      <c r="G24" s="42">
        <v>5</v>
      </c>
      <c r="H24" s="43">
        <f t="shared" si="7"/>
        <v>0</v>
      </c>
      <c r="I24" s="43">
        <f t="shared" si="8"/>
        <v>0</v>
      </c>
      <c r="J24" s="43">
        <f t="shared" si="9"/>
        <v>0</v>
      </c>
      <c r="K24" s="43">
        <f t="shared" si="10"/>
        <v>0</v>
      </c>
      <c r="L24" s="44">
        <f t="shared" si="11"/>
        <v>0</v>
      </c>
      <c r="M24" s="44">
        <f t="shared" si="11"/>
        <v>0</v>
      </c>
      <c r="N24" s="41" t="str">
        <f t="shared" si="12"/>
        <v>Insignificant (Test 1)</v>
      </c>
      <c r="O24" s="41" t="str">
        <f t="shared" si="13"/>
        <v>Insignificant (Test 1)</v>
      </c>
      <c r="P24" s="33" t="s">
        <v>57</v>
      </c>
    </row>
    <row r="25" spans="1:16" ht="16" x14ac:dyDescent="0.2">
      <c r="A25" s="41" t="s">
        <v>58</v>
      </c>
      <c r="B25" s="42">
        <v>500</v>
      </c>
      <c r="C25" s="42">
        <v>500</v>
      </c>
      <c r="D25" s="42">
        <v>1</v>
      </c>
      <c r="E25" s="42"/>
      <c r="F25" s="42">
        <v>1000</v>
      </c>
      <c r="G25" s="42"/>
      <c r="H25" s="43">
        <f t="shared" si="7"/>
        <v>24.850894632206757</v>
      </c>
      <c r="I25" s="43">
        <f t="shared" si="8"/>
        <v>24.850894632206757</v>
      </c>
      <c r="J25" s="43">
        <f t="shared" si="9"/>
        <v>24.850894632206757</v>
      </c>
      <c r="K25" s="43">
        <f t="shared" si="10"/>
        <v>24.850894632206757</v>
      </c>
      <c r="L25" s="44">
        <f t="shared" si="11"/>
        <v>2.5</v>
      </c>
      <c r="M25" s="44" t="str">
        <f t="shared" si="11"/>
        <v>—</v>
      </c>
      <c r="N25" s="41" t="str">
        <f t="shared" si="12"/>
        <v>Insignificant (Test 1)</v>
      </c>
      <c r="O25" s="41" t="str">
        <f t="shared" si="13"/>
        <v>n/a (no MAC EQS)</v>
      </c>
      <c r="P25" s="33" t="s">
        <v>59</v>
      </c>
    </row>
    <row r="26" spans="1:16" ht="16" x14ac:dyDescent="0.2">
      <c r="A26" s="41" t="s">
        <v>60</v>
      </c>
      <c r="B26" s="42">
        <v>0</v>
      </c>
      <c r="C26" s="42">
        <v>0</v>
      </c>
      <c r="D26" s="42">
        <v>1</v>
      </c>
      <c r="E26" s="42"/>
      <c r="F26" s="42"/>
      <c r="G26" s="42">
        <v>7.0000000000000007E-2</v>
      </c>
      <c r="H26" s="43">
        <f t="shared" si="7"/>
        <v>0</v>
      </c>
      <c r="I26" s="43">
        <f t="shared" si="8"/>
        <v>0</v>
      </c>
      <c r="J26" s="43">
        <f t="shared" si="9"/>
        <v>0</v>
      </c>
      <c r="K26" s="43">
        <f t="shared" si="10"/>
        <v>0</v>
      </c>
      <c r="L26" s="44" t="str">
        <f t="shared" si="11"/>
        <v>—</v>
      </c>
      <c r="M26" s="44">
        <f t="shared" si="11"/>
        <v>0</v>
      </c>
      <c r="N26" s="41" t="str">
        <f t="shared" si="12"/>
        <v>No EQS — see report</v>
      </c>
      <c r="O26" s="41" t="str">
        <f t="shared" si="13"/>
        <v>Insignificant (Test 1)</v>
      </c>
      <c r="P26" s="33" t="s">
        <v>57</v>
      </c>
    </row>
    <row r="27" spans="1:16" ht="16" x14ac:dyDescent="0.2">
      <c r="A27" s="41" t="s">
        <v>61</v>
      </c>
      <c r="B27" s="42">
        <v>3000</v>
      </c>
      <c r="C27" s="42">
        <v>3000</v>
      </c>
      <c r="D27" s="42">
        <v>1</v>
      </c>
      <c r="E27" s="42"/>
      <c r="F27" s="42">
        <v>5000</v>
      </c>
      <c r="G27" s="42">
        <v>15000</v>
      </c>
      <c r="H27" s="43">
        <f t="shared" si="7"/>
        <v>149.10536779324053</v>
      </c>
      <c r="I27" s="43">
        <f t="shared" si="8"/>
        <v>149.10536779324053</v>
      </c>
      <c r="J27" s="43">
        <f t="shared" si="9"/>
        <v>149.10536779324053</v>
      </c>
      <c r="K27" s="43">
        <f t="shared" si="10"/>
        <v>149.10536779324053</v>
      </c>
      <c r="L27" s="44">
        <f t="shared" si="11"/>
        <v>3</v>
      </c>
      <c r="M27" s="44">
        <f t="shared" si="11"/>
        <v>1</v>
      </c>
      <c r="N27" s="41" t="str">
        <f t="shared" si="12"/>
        <v>Insignificant (Test 1)</v>
      </c>
      <c r="O27" s="41" t="str">
        <f t="shared" si="13"/>
        <v>Insignificant (Test 1)</v>
      </c>
      <c r="P27" s="33" t="s">
        <v>62</v>
      </c>
    </row>
    <row r="28" spans="1:16" ht="16" x14ac:dyDescent="0.2">
      <c r="A28" s="41" t="s">
        <v>63</v>
      </c>
      <c r="B28" s="42">
        <v>0</v>
      </c>
      <c r="C28" s="42">
        <v>0</v>
      </c>
      <c r="D28" s="42">
        <v>1</v>
      </c>
      <c r="E28" s="42"/>
      <c r="F28" s="42">
        <v>400000</v>
      </c>
      <c r="G28" s="42"/>
      <c r="H28" s="43">
        <f t="shared" si="7"/>
        <v>0</v>
      </c>
      <c r="I28" s="43">
        <f t="shared" si="8"/>
        <v>0</v>
      </c>
      <c r="J28" s="43">
        <f t="shared" si="9"/>
        <v>0</v>
      </c>
      <c r="K28" s="43">
        <f t="shared" si="10"/>
        <v>0</v>
      </c>
      <c r="L28" s="44">
        <f t="shared" si="11"/>
        <v>0</v>
      </c>
      <c r="M28" s="44" t="str">
        <f t="shared" si="11"/>
        <v>—</v>
      </c>
      <c r="N28" s="41" t="str">
        <f t="shared" si="12"/>
        <v>Insignificant (Test 1)</v>
      </c>
      <c r="O28" s="41" t="str">
        <f t="shared" si="13"/>
        <v>n/a (no MAC EQS)</v>
      </c>
      <c r="P28" s="33" t="s">
        <v>57</v>
      </c>
    </row>
    <row r="29" spans="1:16" ht="16" x14ac:dyDescent="0.2">
      <c r="A29" s="41" t="s">
        <v>64</v>
      </c>
      <c r="B29" s="42">
        <v>250000</v>
      </c>
      <c r="C29" s="42">
        <v>250000</v>
      </c>
      <c r="D29" s="42">
        <v>1</v>
      </c>
      <c r="E29" s="42"/>
      <c r="F29" s="42"/>
      <c r="G29" s="42"/>
      <c r="H29" s="43">
        <f t="shared" si="7"/>
        <v>12425.447316103378</v>
      </c>
      <c r="I29" s="43">
        <f t="shared" si="8"/>
        <v>12425.447316103378</v>
      </c>
      <c r="J29" s="43">
        <f t="shared" si="9"/>
        <v>12425.447316103378</v>
      </c>
      <c r="K29" s="43">
        <f t="shared" si="10"/>
        <v>12425.447316103378</v>
      </c>
      <c r="L29" s="44" t="str">
        <f t="shared" si="11"/>
        <v>—</v>
      </c>
      <c r="M29" s="44" t="str">
        <f t="shared" si="11"/>
        <v>—</v>
      </c>
      <c r="N29" s="41" t="str">
        <f t="shared" si="12"/>
        <v>No EQS — see report</v>
      </c>
      <c r="O29" s="41" t="str">
        <f t="shared" si="13"/>
        <v>n/a (no MAC EQS)</v>
      </c>
      <c r="P29" s="33" t="s">
        <v>65</v>
      </c>
    </row>
    <row r="30" spans="1:16" ht="26" x14ac:dyDescent="0.2">
      <c r="A30" s="41" t="s">
        <v>66</v>
      </c>
      <c r="B30" s="42">
        <v>5000</v>
      </c>
      <c r="C30" s="42">
        <v>5000</v>
      </c>
      <c r="D30" s="42">
        <v>1</v>
      </c>
      <c r="E30" s="42"/>
      <c r="F30" s="42"/>
      <c r="G30" s="42"/>
      <c r="H30" s="43">
        <f t="shared" si="7"/>
        <v>248.50894632206757</v>
      </c>
      <c r="I30" s="43">
        <f t="shared" si="8"/>
        <v>248.50894632206757</v>
      </c>
      <c r="J30" s="43">
        <f t="shared" si="9"/>
        <v>248.50894632206757</v>
      </c>
      <c r="K30" s="43">
        <f t="shared" si="10"/>
        <v>248.50894632206757</v>
      </c>
      <c r="L30" s="44" t="str">
        <f t="shared" si="11"/>
        <v>—</v>
      </c>
      <c r="M30" s="44" t="str">
        <f t="shared" si="11"/>
        <v>—</v>
      </c>
      <c r="N30" s="41" t="str">
        <f t="shared" si="12"/>
        <v>No EQS — see report</v>
      </c>
      <c r="O30" s="41" t="str">
        <f t="shared" si="13"/>
        <v>n/a (no MAC EQS)</v>
      </c>
      <c r="P30" s="33" t="s">
        <v>67</v>
      </c>
    </row>
    <row r="32" spans="1:16" x14ac:dyDescent="0.2">
      <c r="A32" s="47" t="s">
        <v>68</v>
      </c>
    </row>
    <row r="33" spans="1:14" ht="26" customHeight="1" x14ac:dyDescent="0.2">
      <c r="A33" s="54" t="s">
        <v>69</v>
      </c>
      <c r="B33" s="55"/>
      <c r="C33" s="55"/>
      <c r="D33" s="55"/>
      <c r="E33" s="55"/>
      <c r="F33" s="55"/>
      <c r="G33" s="55"/>
      <c r="H33" s="55"/>
      <c r="I33" s="55"/>
      <c r="J33" s="55"/>
      <c r="K33" s="55"/>
      <c r="L33" s="55"/>
      <c r="M33" s="55"/>
      <c r="N33" s="55"/>
    </row>
    <row r="34" spans="1:14" ht="26" customHeight="1" x14ac:dyDescent="0.2">
      <c r="A34" s="54" t="s">
        <v>70</v>
      </c>
      <c r="B34" s="55"/>
      <c r="C34" s="55"/>
      <c r="D34" s="55"/>
      <c r="E34" s="55"/>
      <c r="F34" s="55"/>
      <c r="G34" s="55"/>
      <c r="H34" s="55"/>
      <c r="I34" s="55"/>
      <c r="J34" s="55"/>
      <c r="K34" s="55"/>
      <c r="L34" s="55"/>
      <c r="M34" s="55"/>
      <c r="N34" s="55"/>
    </row>
    <row r="35" spans="1:14" ht="26" customHeight="1" x14ac:dyDescent="0.2">
      <c r="A35" s="54" t="s">
        <v>71</v>
      </c>
      <c r="B35" s="55"/>
      <c r="C35" s="55"/>
      <c r="D35" s="55"/>
      <c r="E35" s="55"/>
      <c r="F35" s="55"/>
      <c r="G35" s="55"/>
      <c r="H35" s="55"/>
      <c r="I35" s="55"/>
      <c r="J35" s="55"/>
      <c r="K35" s="55"/>
      <c r="L35" s="55"/>
      <c r="M35" s="55"/>
      <c r="N35" s="55"/>
    </row>
    <row r="36" spans="1:14" ht="26" customHeight="1" x14ac:dyDescent="0.2">
      <c r="A36" s="54" t="s">
        <v>72</v>
      </c>
      <c r="B36" s="55"/>
      <c r="C36" s="55"/>
      <c r="D36" s="55"/>
      <c r="E36" s="55"/>
      <c r="F36" s="55"/>
      <c r="G36" s="55"/>
      <c r="H36" s="55"/>
      <c r="I36" s="55"/>
      <c r="J36" s="55"/>
      <c r="K36" s="55"/>
      <c r="L36" s="55"/>
      <c r="M36" s="55"/>
      <c r="N36" s="55"/>
    </row>
  </sheetData>
  <mergeCells count="4">
    <mergeCell ref="A35:N35"/>
    <mergeCell ref="A36:N36"/>
    <mergeCell ref="A33:N33"/>
    <mergeCell ref="A34:N3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
  <sheetViews>
    <sheetView workbookViewId="0"/>
  </sheetViews>
  <sheetFormatPr baseColWidth="10" defaultColWidth="8.83203125" defaultRowHeight="15" x14ac:dyDescent="0.2"/>
  <cols>
    <col min="1" max="1" width="40" customWidth="1"/>
    <col min="2" max="2" width="60" customWidth="1"/>
    <col min="3" max="3" width="55" customWidth="1"/>
  </cols>
  <sheetData>
    <row r="1" spans="1:3" ht="17" x14ac:dyDescent="0.2">
      <c r="A1" s="31" t="s">
        <v>73</v>
      </c>
    </row>
    <row r="3" spans="1:3" ht="18" customHeight="1" x14ac:dyDescent="0.2">
      <c r="A3" s="38" t="s">
        <v>74</v>
      </c>
      <c r="B3" s="38" t="s">
        <v>75</v>
      </c>
      <c r="C3" s="38" t="s">
        <v>76</v>
      </c>
    </row>
    <row r="4" spans="1:3" ht="64" customHeight="1" x14ac:dyDescent="0.2">
      <c r="A4" s="48" t="s">
        <v>77</v>
      </c>
      <c r="B4" s="41" t="s">
        <v>78</v>
      </c>
      <c r="C4" s="41" t="s">
        <v>79</v>
      </c>
    </row>
    <row r="5" spans="1:3" ht="64" customHeight="1" x14ac:dyDescent="0.2">
      <c r="A5" s="48" t="s">
        <v>80</v>
      </c>
      <c r="B5" s="41" t="s">
        <v>81</v>
      </c>
      <c r="C5" s="41" t="s">
        <v>82</v>
      </c>
    </row>
    <row r="6" spans="1:3" ht="64" customHeight="1" x14ac:dyDescent="0.2">
      <c r="A6" s="48" t="s">
        <v>83</v>
      </c>
      <c r="B6" s="41" t="s">
        <v>84</v>
      </c>
      <c r="C6" s="41" t="s">
        <v>85</v>
      </c>
    </row>
    <row r="7" spans="1:3" ht="64" customHeight="1" x14ac:dyDescent="0.2">
      <c r="A7" s="48" t="s">
        <v>86</v>
      </c>
      <c r="B7" s="41" t="s">
        <v>87</v>
      </c>
      <c r="C7" s="41" t="s">
        <v>88</v>
      </c>
    </row>
    <row r="8" spans="1:3" ht="64" customHeight="1" x14ac:dyDescent="0.2">
      <c r="A8" s="48" t="s">
        <v>89</v>
      </c>
      <c r="B8" s="41" t="s">
        <v>90</v>
      </c>
      <c r="C8" s="41" t="s">
        <v>91</v>
      </c>
    </row>
    <row r="9" spans="1:3" ht="64" customHeight="1" x14ac:dyDescent="0.2">
      <c r="A9" s="48" t="s">
        <v>92</v>
      </c>
      <c r="B9" s="41" t="s">
        <v>93</v>
      </c>
      <c r="C9" s="41" t="s">
        <v>94</v>
      </c>
    </row>
    <row r="10" spans="1:3" ht="64" customHeight="1" x14ac:dyDescent="0.2">
      <c r="A10" s="48" t="s">
        <v>95</v>
      </c>
      <c r="B10" s="41" t="s">
        <v>96</v>
      </c>
      <c r="C10" s="41" t="s">
        <v>97</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
  <sheetViews>
    <sheetView tabSelected="1" workbookViewId="0"/>
  </sheetViews>
  <sheetFormatPr baseColWidth="10" defaultColWidth="8.83203125" defaultRowHeight="15" x14ac:dyDescent="0.2"/>
  <cols>
    <col min="1" max="1" width="22" customWidth="1"/>
    <col min="2" max="6" width="12" customWidth="1"/>
  </cols>
  <sheetData>
    <row r="1" spans="1:6" x14ac:dyDescent="0.2">
      <c r="A1" s="47" t="s">
        <v>0</v>
      </c>
    </row>
    <row r="2" spans="1:6" x14ac:dyDescent="0.2">
      <c r="A2" s="36" t="s">
        <v>1</v>
      </c>
    </row>
    <row r="4" spans="1:6" x14ac:dyDescent="0.2">
      <c r="A4" s="49"/>
      <c r="B4" s="49" t="s">
        <v>2</v>
      </c>
      <c r="C4" s="49" t="s">
        <v>3</v>
      </c>
      <c r="D4" s="49" t="s">
        <v>4</v>
      </c>
      <c r="E4" s="49" t="s">
        <v>5</v>
      </c>
      <c r="F4" s="49" t="s">
        <v>6</v>
      </c>
    </row>
    <row r="5" spans="1:6" x14ac:dyDescent="0.2">
      <c r="A5" s="44" t="s">
        <v>7</v>
      </c>
      <c r="B5" s="44">
        <v>332</v>
      </c>
      <c r="C5" s="44">
        <v>353</v>
      </c>
      <c r="D5" s="44">
        <v>363</v>
      </c>
      <c r="E5" s="44">
        <v>366</v>
      </c>
      <c r="F5" s="44">
        <v>365</v>
      </c>
    </row>
    <row r="6" spans="1:6" x14ac:dyDescent="0.2">
      <c r="A6" s="44" t="s">
        <v>8</v>
      </c>
      <c r="B6" s="50">
        <v>746.20759999999996</v>
      </c>
      <c r="C6" s="51">
        <v>669.19989999999996</v>
      </c>
      <c r="D6" s="50">
        <v>729.24599999999998</v>
      </c>
      <c r="E6" s="50">
        <v>780.27679999999998</v>
      </c>
      <c r="F6" s="50">
        <v>806.48450000000003</v>
      </c>
    </row>
    <row r="7" spans="1:6" x14ac:dyDescent="0.2">
      <c r="A7" s="44" t="s">
        <v>9</v>
      </c>
      <c r="B7" s="50">
        <v>768.11530000000005</v>
      </c>
      <c r="C7" s="50">
        <v>694.9076</v>
      </c>
      <c r="D7" s="50">
        <v>764.3229</v>
      </c>
      <c r="E7" s="50">
        <v>824.52290000000005</v>
      </c>
      <c r="F7" s="50">
        <v>830.47680000000003</v>
      </c>
    </row>
    <row r="8" spans="1:6" x14ac:dyDescent="0.2">
      <c r="A8" s="44" t="s">
        <v>10</v>
      </c>
      <c r="B8" s="50">
        <v>802.59220000000005</v>
      </c>
      <c r="C8" s="50">
        <v>731.77679999999998</v>
      </c>
      <c r="D8" s="50">
        <v>826.29989999999998</v>
      </c>
      <c r="E8" s="50">
        <v>895.8691</v>
      </c>
      <c r="F8" s="50">
        <v>858.3922</v>
      </c>
    </row>
    <row r="10" spans="1:6" x14ac:dyDescent="0.2">
      <c r="A10" s="54" t="s">
        <v>11</v>
      </c>
      <c r="B10" s="55"/>
      <c r="C10" s="55"/>
      <c r="D10" s="55"/>
      <c r="E10" s="55"/>
      <c r="F10" s="55"/>
    </row>
    <row r="11" spans="1:6" x14ac:dyDescent="0.2">
      <c r="A11" s="55"/>
      <c r="B11" s="55"/>
      <c r="C11" s="55"/>
      <c r="D11" s="55"/>
      <c r="E11" s="55"/>
      <c r="F11" s="55"/>
    </row>
  </sheetData>
  <mergeCells count="1">
    <mergeCell ref="A10:F1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6"/>
  <sheetViews>
    <sheetView workbookViewId="0"/>
  </sheetViews>
  <sheetFormatPr baseColWidth="10" defaultColWidth="8.83203125" defaultRowHeight="15" x14ac:dyDescent="0.2"/>
  <cols>
    <col min="1" max="1" width="34" customWidth="1"/>
    <col min="2" max="2" width="56" customWidth="1"/>
    <col min="3" max="3" width="50" customWidth="1"/>
  </cols>
  <sheetData>
    <row r="1" spans="1:3" ht="17" x14ac:dyDescent="0.2">
      <c r="A1" s="31" t="s">
        <v>98</v>
      </c>
    </row>
    <row r="3" spans="1:3" ht="18" customHeight="1" x14ac:dyDescent="0.2">
      <c r="A3" s="38" t="s">
        <v>99</v>
      </c>
      <c r="B3" s="52" t="s">
        <v>100</v>
      </c>
      <c r="C3" s="52" t="s">
        <v>101</v>
      </c>
    </row>
    <row r="4" spans="1:3" ht="52" customHeight="1" x14ac:dyDescent="0.2">
      <c r="A4" s="48" t="s">
        <v>102</v>
      </c>
      <c r="B4" s="41" t="s">
        <v>103</v>
      </c>
      <c r="C4" s="41" t="s">
        <v>104</v>
      </c>
    </row>
    <row r="5" spans="1:3" ht="52" customHeight="1" x14ac:dyDescent="0.2">
      <c r="A5" s="48" t="s">
        <v>105</v>
      </c>
      <c r="B5" s="41" t="s">
        <v>106</v>
      </c>
      <c r="C5" s="41" t="s">
        <v>107</v>
      </c>
    </row>
    <row r="6" spans="1:3" ht="52" customHeight="1" x14ac:dyDescent="0.2">
      <c r="A6" s="48" t="s">
        <v>108</v>
      </c>
      <c r="B6" s="41" t="s">
        <v>109</v>
      </c>
      <c r="C6" s="41" t="s">
        <v>110</v>
      </c>
    </row>
    <row r="7" spans="1:3" ht="52" customHeight="1" x14ac:dyDescent="0.2">
      <c r="A7" s="48" t="s">
        <v>111</v>
      </c>
      <c r="B7" s="41" t="s">
        <v>112</v>
      </c>
      <c r="C7" s="41" t="s">
        <v>113</v>
      </c>
    </row>
    <row r="8" spans="1:3" ht="52" customHeight="1" x14ac:dyDescent="0.2">
      <c r="A8" s="48" t="s">
        <v>114</v>
      </c>
      <c r="B8" s="41" t="s">
        <v>115</v>
      </c>
      <c r="C8" s="41" t="s">
        <v>116</v>
      </c>
    </row>
    <row r="9" spans="1:3" ht="52" customHeight="1" x14ac:dyDescent="0.2">
      <c r="A9" s="48" t="s">
        <v>117</v>
      </c>
      <c r="B9" s="41" t="s">
        <v>118</v>
      </c>
      <c r="C9" s="41" t="s">
        <v>119</v>
      </c>
    </row>
    <row r="10" spans="1:3" ht="52" customHeight="1" x14ac:dyDescent="0.2">
      <c r="A10" s="48" t="s">
        <v>120</v>
      </c>
      <c r="B10" s="41" t="s">
        <v>121</v>
      </c>
      <c r="C10" s="41" t="s">
        <v>122</v>
      </c>
    </row>
    <row r="11" spans="1:3" ht="52" customHeight="1" x14ac:dyDescent="0.2">
      <c r="A11" s="48" t="s">
        <v>123</v>
      </c>
      <c r="B11" s="41" t="s">
        <v>124</v>
      </c>
      <c r="C11" s="41" t="s">
        <v>122</v>
      </c>
    </row>
    <row r="12" spans="1:3" ht="52" customHeight="1" x14ac:dyDescent="0.2">
      <c r="A12" s="48" t="s">
        <v>125</v>
      </c>
      <c r="B12" s="41" t="s">
        <v>126</v>
      </c>
      <c r="C12" s="41" t="s">
        <v>122</v>
      </c>
    </row>
    <row r="13" spans="1:3" ht="52" customHeight="1" x14ac:dyDescent="0.2">
      <c r="A13" s="48" t="s">
        <v>127</v>
      </c>
      <c r="B13" s="41" t="s">
        <v>128</v>
      </c>
      <c r="C13" s="41" t="s">
        <v>129</v>
      </c>
    </row>
    <row r="14" spans="1:3" ht="52" customHeight="1" x14ac:dyDescent="0.2">
      <c r="A14" s="48" t="s">
        <v>130</v>
      </c>
      <c r="B14" s="41" t="s">
        <v>131</v>
      </c>
      <c r="C14" s="41" t="s">
        <v>132</v>
      </c>
    </row>
    <row r="15" spans="1:3" ht="52" customHeight="1" x14ac:dyDescent="0.2">
      <c r="A15" s="48" t="s">
        <v>133</v>
      </c>
      <c r="B15" s="41" t="s">
        <v>134</v>
      </c>
      <c r="C15" s="41" t="s">
        <v>135</v>
      </c>
    </row>
    <row r="16" spans="1:3" ht="52" customHeight="1" x14ac:dyDescent="0.2">
      <c r="A16" s="48" t="s">
        <v>136</v>
      </c>
      <c r="B16" s="41" t="s">
        <v>137</v>
      </c>
      <c r="C16" s="41" t="s">
        <v>119</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
  <sheetViews>
    <sheetView workbookViewId="0"/>
  </sheetViews>
  <sheetFormatPr baseColWidth="10" defaultColWidth="8.83203125" defaultRowHeight="15" x14ac:dyDescent="0.2"/>
  <cols>
    <col min="1" max="1" width="36" customWidth="1"/>
    <col min="2" max="5" width="14" customWidth="1"/>
    <col min="6" max="6" width="46" customWidth="1"/>
  </cols>
  <sheetData>
    <row r="1" spans="1:6" x14ac:dyDescent="0.2">
      <c r="A1" s="47" t="s">
        <v>138</v>
      </c>
    </row>
    <row r="2" spans="1:6" ht="30" customHeight="1" x14ac:dyDescent="0.2">
      <c r="A2" s="54" t="s">
        <v>139</v>
      </c>
      <c r="B2" s="55"/>
      <c r="C2" s="55"/>
      <c r="D2" s="55"/>
      <c r="E2" s="55"/>
      <c r="F2" s="55"/>
    </row>
    <row r="4" spans="1:6" ht="16" x14ac:dyDescent="0.2">
      <c r="A4" s="49" t="s">
        <v>26</v>
      </c>
      <c r="B4" s="49" t="s">
        <v>140</v>
      </c>
      <c r="C4" s="49" t="s">
        <v>141</v>
      </c>
      <c r="D4" s="49" t="s">
        <v>142</v>
      </c>
      <c r="E4" s="49" t="s">
        <v>143</v>
      </c>
      <c r="F4" s="38" t="s">
        <v>144</v>
      </c>
    </row>
    <row r="5" spans="1:6" ht="16" x14ac:dyDescent="0.2">
      <c r="A5" s="44" t="s">
        <v>42</v>
      </c>
      <c r="B5" s="44">
        <v>127</v>
      </c>
      <c r="C5" s="44">
        <v>557</v>
      </c>
      <c r="D5" s="44">
        <v>127</v>
      </c>
      <c r="E5" s="44">
        <v>557</v>
      </c>
      <c r="F5" s="41" t="s">
        <v>145</v>
      </c>
    </row>
    <row r="6" spans="1:6" ht="16" x14ac:dyDescent="0.2">
      <c r="A6" s="44" t="s">
        <v>146</v>
      </c>
      <c r="B6" s="44">
        <v>98000</v>
      </c>
      <c r="C6" s="44">
        <v>318000</v>
      </c>
      <c r="D6" s="44">
        <v>98000</v>
      </c>
      <c r="E6" s="44">
        <v>318000</v>
      </c>
      <c r="F6" s="41" t="s">
        <v>145</v>
      </c>
    </row>
    <row r="7" spans="1:6" ht="16" x14ac:dyDescent="0.2">
      <c r="A7" s="44" t="s">
        <v>147</v>
      </c>
      <c r="B7" s="44">
        <v>24</v>
      </c>
      <c r="C7" s="44">
        <v>26</v>
      </c>
      <c r="D7" s="44">
        <v>24</v>
      </c>
      <c r="E7" s="44">
        <v>26</v>
      </c>
      <c r="F7" s="41" t="s">
        <v>148</v>
      </c>
    </row>
    <row r="8" spans="1:6" ht="16" x14ac:dyDescent="0.2">
      <c r="A8" s="44" t="s">
        <v>47</v>
      </c>
      <c r="B8" s="44">
        <v>14</v>
      </c>
      <c r="C8" s="44">
        <v>14</v>
      </c>
      <c r="D8" s="44">
        <v>14</v>
      </c>
      <c r="E8" s="44">
        <v>14</v>
      </c>
      <c r="F8" s="41" t="s">
        <v>145</v>
      </c>
    </row>
    <row r="9" spans="1:6" ht="16" x14ac:dyDescent="0.2">
      <c r="A9" s="44" t="s">
        <v>149</v>
      </c>
      <c r="B9" s="44">
        <v>290</v>
      </c>
      <c r="C9" s="44">
        <v>290</v>
      </c>
      <c r="D9" s="44">
        <v>290</v>
      </c>
      <c r="E9" s="44">
        <v>290</v>
      </c>
      <c r="F9" s="41" t="s">
        <v>150</v>
      </c>
    </row>
    <row r="10" spans="1:6" ht="16" x14ac:dyDescent="0.2">
      <c r="A10" s="44" t="s">
        <v>151</v>
      </c>
      <c r="B10" s="44">
        <v>4181</v>
      </c>
      <c r="C10" s="44">
        <v>22500</v>
      </c>
      <c r="D10" s="44">
        <v>4181</v>
      </c>
      <c r="E10" s="44">
        <v>22500</v>
      </c>
      <c r="F10" s="41" t="s">
        <v>145</v>
      </c>
    </row>
    <row r="11" spans="1:6" ht="32" x14ac:dyDescent="0.2">
      <c r="A11" s="44" t="s">
        <v>51</v>
      </c>
      <c r="B11" s="44">
        <v>70</v>
      </c>
      <c r="C11" s="44">
        <v>70</v>
      </c>
      <c r="D11" s="44">
        <v>70</v>
      </c>
      <c r="E11" s="44">
        <v>70</v>
      </c>
      <c r="F11" s="41" t="s">
        <v>152</v>
      </c>
    </row>
  </sheetData>
  <mergeCells count="1">
    <mergeCell ref="A2:F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9"/>
  <sheetViews>
    <sheetView workbookViewId="0">
      <pane ySplit="12" topLeftCell="A13" activePane="bottomLeft" state="frozen"/>
      <selection pane="bottomLeft"/>
    </sheetView>
  </sheetViews>
  <sheetFormatPr baseColWidth="10" defaultColWidth="8.83203125" defaultRowHeight="15" x14ac:dyDescent="0.2"/>
  <cols>
    <col min="1" max="1" width="40" customWidth="1"/>
    <col min="2" max="3" width="10" customWidth="1"/>
    <col min="4" max="4" width="6" customWidth="1"/>
    <col min="5" max="5" width="11" customWidth="1"/>
    <col min="6" max="7" width="10" customWidth="1"/>
    <col min="8" max="11" width="11" customWidth="1"/>
    <col min="12" max="13" width="9" customWidth="1"/>
    <col min="14" max="15" width="22" customWidth="1"/>
  </cols>
  <sheetData>
    <row r="1" spans="1:15" ht="18" customHeight="1" x14ac:dyDescent="0.2">
      <c r="A1" s="53" t="s">
        <v>153</v>
      </c>
    </row>
    <row r="2" spans="1:15" x14ac:dyDescent="0.2">
      <c r="A2" s="2" t="s">
        <v>154</v>
      </c>
    </row>
    <row r="3" spans="1:15" x14ac:dyDescent="0.2">
      <c r="A3" s="2" t="s">
        <v>155</v>
      </c>
    </row>
    <row r="5" spans="1:15" x14ac:dyDescent="0.2">
      <c r="A5" t="s">
        <v>156</v>
      </c>
      <c r="B5" s="3">
        <v>2.0000000000000001E-4</v>
      </c>
      <c r="D5" s="2" t="s">
        <v>157</v>
      </c>
    </row>
    <row r="6" spans="1:15" x14ac:dyDescent="0.2">
      <c r="A6" t="s">
        <v>158</v>
      </c>
      <c r="B6" s="3">
        <v>4.0000000000000002E-4</v>
      </c>
    </row>
    <row r="7" spans="1:15" x14ac:dyDescent="0.2">
      <c r="A7" t="s">
        <v>159</v>
      </c>
      <c r="B7" s="3">
        <v>4.0000000000000002E-4</v>
      </c>
      <c r="D7" s="2" t="s">
        <v>160</v>
      </c>
    </row>
    <row r="8" spans="1:15" x14ac:dyDescent="0.2">
      <c r="A8" s="4" t="s">
        <v>161</v>
      </c>
      <c r="B8" s="5">
        <f>B5/(B5+B7)</f>
        <v>0.33333333333333331</v>
      </c>
    </row>
    <row r="9" spans="1:15" x14ac:dyDescent="0.2">
      <c r="A9" s="4" t="s">
        <v>162</v>
      </c>
      <c r="B9" s="5">
        <f>B6/(B6+B7)</f>
        <v>0.5</v>
      </c>
    </row>
    <row r="12" spans="1:15" ht="45" customHeight="1" x14ac:dyDescent="0.2">
      <c r="A12" s="6" t="s">
        <v>26</v>
      </c>
      <c r="B12" s="6" t="s">
        <v>163</v>
      </c>
      <c r="C12" s="6" t="s">
        <v>164</v>
      </c>
      <c r="D12" s="6" t="s">
        <v>29</v>
      </c>
      <c r="E12" s="6" t="s">
        <v>165</v>
      </c>
      <c r="F12" s="6" t="s">
        <v>166</v>
      </c>
      <c r="G12" s="6" t="s">
        <v>167</v>
      </c>
      <c r="H12" s="6" t="s">
        <v>168</v>
      </c>
      <c r="I12" s="6" t="s">
        <v>169</v>
      </c>
      <c r="J12" s="6" t="s">
        <v>170</v>
      </c>
      <c r="K12" s="6" t="s">
        <v>171</v>
      </c>
      <c r="L12" s="6" t="s">
        <v>172</v>
      </c>
      <c r="M12" s="6" t="s">
        <v>173</v>
      </c>
      <c r="N12" s="6" t="s">
        <v>39</v>
      </c>
      <c r="O12" s="6" t="s">
        <v>40</v>
      </c>
    </row>
    <row r="13" spans="1:15" x14ac:dyDescent="0.2">
      <c r="A13" s="7" t="s">
        <v>174</v>
      </c>
      <c r="B13" s="8"/>
      <c r="C13" s="8"/>
      <c r="D13" s="8"/>
      <c r="E13" s="8"/>
      <c r="F13" s="8"/>
      <c r="G13" s="8"/>
      <c r="H13" s="8"/>
      <c r="I13" s="8"/>
      <c r="J13" s="8"/>
      <c r="K13" s="8"/>
      <c r="L13" s="8"/>
      <c r="M13" s="8"/>
      <c r="N13" s="8"/>
      <c r="O13" s="8"/>
    </row>
    <row r="14" spans="1:15" x14ac:dyDescent="0.2">
      <c r="A14" s="9" t="s">
        <v>42</v>
      </c>
      <c r="B14" s="10">
        <v>127</v>
      </c>
      <c r="C14" s="10">
        <v>557</v>
      </c>
      <c r="D14" s="10">
        <v>0.21</v>
      </c>
      <c r="E14" s="10">
        <v>0.2</v>
      </c>
      <c r="F14" s="11">
        <v>1</v>
      </c>
      <c r="G14" s="12"/>
      <c r="H14" s="13">
        <f t="shared" ref="H14:H20" si="0">B14*$B$8*D14</f>
        <v>8.8899999999999988</v>
      </c>
      <c r="I14" s="13">
        <f t="shared" ref="I14:I20" si="1">C14*$B$9*D14</f>
        <v>58.484999999999999</v>
      </c>
      <c r="J14" s="13">
        <f t="shared" ref="J14:J20" si="2">E14+H14</f>
        <v>9.0899999999999981</v>
      </c>
      <c r="K14" s="13">
        <f t="shared" ref="K14:K20" si="3">E14+I14</f>
        <v>58.685000000000002</v>
      </c>
      <c r="L14" s="14">
        <f t="shared" ref="L14:M20" si="4">IF(AND(ISNUMBER(F14),F14&gt;0),100*H14/F14,"—")</f>
        <v>888.99999999999989</v>
      </c>
      <c r="M14" s="14" t="str">
        <f t="shared" si="4"/>
        <v>—</v>
      </c>
      <c r="N14" s="15" t="str">
        <f t="shared" ref="N14:O20" si="5">IF(NOT(AND(ISNUMBER(F14),F14&gt;0)),"EQS needed",IF(B14&lt;F14/10,"Insignificant (Test 1)",IF(H14&lt;=0.04*F14,"Insignificant (Test 2)",IF(H14&gt;0.1*F14,"Modelling (Test 3)",IF(J14&gt;F14,"Modelling (Test 4)","Acceptable")))))</f>
        <v>Modelling (Test 3)</v>
      </c>
      <c r="O14" s="15" t="str">
        <f t="shared" si="5"/>
        <v>EQS needed</v>
      </c>
    </row>
    <row r="15" spans="1:15" x14ac:dyDescent="0.2">
      <c r="A15" s="9" t="s">
        <v>175</v>
      </c>
      <c r="B15" s="10">
        <v>98000</v>
      </c>
      <c r="C15" s="10">
        <v>318000</v>
      </c>
      <c r="D15" s="10">
        <v>0.08</v>
      </c>
      <c r="E15" s="16"/>
      <c r="F15" s="12"/>
      <c r="G15" s="12"/>
      <c r="H15" s="13">
        <f t="shared" si="0"/>
        <v>2613.333333333333</v>
      </c>
      <c r="I15" s="13">
        <f t="shared" si="1"/>
        <v>12720</v>
      </c>
      <c r="J15" s="13">
        <f t="shared" si="2"/>
        <v>2613.333333333333</v>
      </c>
      <c r="K15" s="13">
        <f t="shared" si="3"/>
        <v>12720</v>
      </c>
      <c r="L15" s="14" t="str">
        <f t="shared" si="4"/>
        <v>—</v>
      </c>
      <c r="M15" s="14" t="str">
        <f t="shared" si="4"/>
        <v>—</v>
      </c>
      <c r="N15" s="15" t="str">
        <f t="shared" si="5"/>
        <v>EQS needed</v>
      </c>
      <c r="O15" s="15" t="str">
        <f t="shared" si="5"/>
        <v>EQS needed</v>
      </c>
    </row>
    <row r="16" spans="1:15" x14ac:dyDescent="0.2">
      <c r="A16" s="9" t="s">
        <v>45</v>
      </c>
      <c r="B16" s="10">
        <v>24</v>
      </c>
      <c r="C16" s="10">
        <v>26</v>
      </c>
      <c r="D16" s="10">
        <v>0.16</v>
      </c>
      <c r="E16" s="16"/>
      <c r="F16" s="11">
        <v>4.7</v>
      </c>
      <c r="G16" s="11">
        <v>32</v>
      </c>
      <c r="H16" s="13">
        <f t="shared" si="0"/>
        <v>1.28</v>
      </c>
      <c r="I16" s="13">
        <f t="shared" si="1"/>
        <v>2.08</v>
      </c>
      <c r="J16" s="13">
        <f t="shared" si="2"/>
        <v>1.28</v>
      </c>
      <c r="K16" s="13">
        <f t="shared" si="3"/>
        <v>2.08</v>
      </c>
      <c r="L16" s="14">
        <f t="shared" si="4"/>
        <v>27.23404255319149</v>
      </c>
      <c r="M16" s="14">
        <f t="shared" si="4"/>
        <v>6.5</v>
      </c>
      <c r="N16" s="15" t="str">
        <f t="shared" si="5"/>
        <v>Modelling (Test 3)</v>
      </c>
      <c r="O16" s="15" t="str">
        <f t="shared" si="5"/>
        <v>Acceptable</v>
      </c>
    </row>
    <row r="17" spans="1:15" x14ac:dyDescent="0.2">
      <c r="A17" s="9" t="s">
        <v>47</v>
      </c>
      <c r="B17" s="10">
        <v>14</v>
      </c>
      <c r="C17" s="10">
        <v>14</v>
      </c>
      <c r="D17" s="10">
        <v>0.32</v>
      </c>
      <c r="E17" s="16"/>
      <c r="F17" s="11">
        <v>1</v>
      </c>
      <c r="G17" s="11">
        <v>5</v>
      </c>
      <c r="H17" s="13">
        <f t="shared" si="0"/>
        <v>1.4933333333333332</v>
      </c>
      <c r="I17" s="13">
        <f t="shared" si="1"/>
        <v>2.2400000000000002</v>
      </c>
      <c r="J17" s="13">
        <f t="shared" si="2"/>
        <v>1.4933333333333332</v>
      </c>
      <c r="K17" s="13">
        <f t="shared" si="3"/>
        <v>2.2400000000000002</v>
      </c>
      <c r="L17" s="14">
        <f t="shared" si="4"/>
        <v>149.33333333333331</v>
      </c>
      <c r="M17" s="14">
        <f t="shared" si="4"/>
        <v>44.800000000000004</v>
      </c>
      <c r="N17" s="15" t="str">
        <f t="shared" si="5"/>
        <v>Modelling (Test 3)</v>
      </c>
      <c r="O17" s="15" t="str">
        <f t="shared" si="5"/>
        <v>Modelling (Test 3)</v>
      </c>
    </row>
    <row r="18" spans="1:15" x14ac:dyDescent="0.2">
      <c r="A18" s="9" t="s">
        <v>176</v>
      </c>
      <c r="B18" s="10">
        <v>290</v>
      </c>
      <c r="C18" s="10">
        <v>290</v>
      </c>
      <c r="D18" s="10">
        <v>0.17</v>
      </c>
      <c r="E18" s="16"/>
      <c r="F18" s="11">
        <v>1.2</v>
      </c>
      <c r="G18" s="11">
        <v>14</v>
      </c>
      <c r="H18" s="13">
        <f t="shared" si="0"/>
        <v>16.433333333333334</v>
      </c>
      <c r="I18" s="13">
        <f t="shared" si="1"/>
        <v>24.650000000000002</v>
      </c>
      <c r="J18" s="13">
        <f t="shared" si="2"/>
        <v>16.433333333333334</v>
      </c>
      <c r="K18" s="13">
        <f t="shared" si="3"/>
        <v>24.650000000000002</v>
      </c>
      <c r="L18" s="14">
        <f t="shared" si="4"/>
        <v>1369.4444444444443</v>
      </c>
      <c r="M18" s="14">
        <f t="shared" si="4"/>
        <v>176.07142857142858</v>
      </c>
      <c r="N18" s="15" t="str">
        <f t="shared" si="5"/>
        <v>Modelling (Test 3)</v>
      </c>
      <c r="O18" s="15" t="str">
        <f t="shared" si="5"/>
        <v>Modelling (Test 3)</v>
      </c>
    </row>
    <row r="19" spans="1:15" x14ac:dyDescent="0.2">
      <c r="A19" s="9" t="s">
        <v>50</v>
      </c>
      <c r="B19" s="10">
        <v>4181</v>
      </c>
      <c r="C19" s="10">
        <v>22500</v>
      </c>
      <c r="D19" s="10">
        <v>0.76</v>
      </c>
      <c r="E19" s="16"/>
      <c r="F19" s="11">
        <v>4</v>
      </c>
      <c r="G19" s="11">
        <v>34</v>
      </c>
      <c r="H19" s="13">
        <f t="shared" si="0"/>
        <v>1059.1866666666665</v>
      </c>
      <c r="I19" s="13">
        <f t="shared" si="1"/>
        <v>8550</v>
      </c>
      <c r="J19" s="13">
        <f t="shared" si="2"/>
        <v>1059.1866666666665</v>
      </c>
      <c r="K19" s="13">
        <f t="shared" si="3"/>
        <v>8550</v>
      </c>
      <c r="L19" s="14">
        <f t="shared" si="4"/>
        <v>26479.666666666664</v>
      </c>
      <c r="M19" s="14">
        <f t="shared" si="4"/>
        <v>25147.058823529413</v>
      </c>
      <c r="N19" s="15" t="str">
        <f t="shared" si="5"/>
        <v>Modelling (Test 3)</v>
      </c>
      <c r="O19" s="15" t="str">
        <f t="shared" si="5"/>
        <v>Modelling (Test 3)</v>
      </c>
    </row>
    <row r="20" spans="1:15" x14ac:dyDescent="0.2">
      <c r="A20" s="9" t="s">
        <v>51</v>
      </c>
      <c r="B20" s="10">
        <v>70</v>
      </c>
      <c r="C20" s="10">
        <v>70</v>
      </c>
      <c r="D20" s="10">
        <v>0.33</v>
      </c>
      <c r="E20" s="16"/>
      <c r="F20" s="11">
        <v>10.9</v>
      </c>
      <c r="G20" s="12"/>
      <c r="H20" s="13">
        <f t="shared" si="0"/>
        <v>7.7</v>
      </c>
      <c r="I20" s="13">
        <f t="shared" si="1"/>
        <v>11.55</v>
      </c>
      <c r="J20" s="13">
        <f t="shared" si="2"/>
        <v>7.7</v>
      </c>
      <c r="K20" s="13">
        <f t="shared" si="3"/>
        <v>11.55</v>
      </c>
      <c r="L20" s="14">
        <f t="shared" si="4"/>
        <v>70.642201834862377</v>
      </c>
      <c r="M20" s="14" t="str">
        <f t="shared" si="4"/>
        <v>—</v>
      </c>
      <c r="N20" s="15" t="str">
        <f t="shared" si="5"/>
        <v>Modelling (Test 3)</v>
      </c>
      <c r="O20" s="15" t="str">
        <f t="shared" si="5"/>
        <v>EQS needed</v>
      </c>
    </row>
    <row r="21" spans="1:15" x14ac:dyDescent="0.2">
      <c r="A21" s="17" t="s">
        <v>177</v>
      </c>
      <c r="B21" s="18"/>
      <c r="C21" s="18"/>
      <c r="D21" s="18"/>
      <c r="E21" s="18"/>
      <c r="F21" s="18"/>
      <c r="G21" s="18"/>
      <c r="H21" s="18"/>
      <c r="I21" s="18"/>
      <c r="J21" s="18"/>
      <c r="K21" s="18"/>
      <c r="L21" s="18"/>
      <c r="M21" s="18"/>
      <c r="N21" s="18"/>
      <c r="O21" s="18"/>
    </row>
    <row r="22" spans="1:15" x14ac:dyDescent="0.2">
      <c r="A22" s="9" t="s">
        <v>178</v>
      </c>
      <c r="B22" s="10">
        <v>500</v>
      </c>
      <c r="C22" s="10">
        <v>500</v>
      </c>
      <c r="D22" s="10">
        <v>1</v>
      </c>
      <c r="E22" s="16"/>
      <c r="F22" s="11">
        <v>2</v>
      </c>
      <c r="G22" s="11">
        <v>5</v>
      </c>
      <c r="H22" s="13">
        <f t="shared" ref="H22:H29" si="6">B22*$B$8*D22</f>
        <v>166.66666666666666</v>
      </c>
      <c r="I22" s="13">
        <f t="shared" ref="I22:I29" si="7">C22*$B$9*D22</f>
        <v>250</v>
      </c>
      <c r="J22" s="13">
        <f t="shared" ref="J22:J29" si="8">E22+H22</f>
        <v>166.66666666666666</v>
      </c>
      <c r="K22" s="13">
        <f t="shared" ref="K22:K29" si="9">E22+I22</f>
        <v>250</v>
      </c>
      <c r="L22" s="14">
        <f t="shared" ref="L22:M29" si="10">IF(AND(ISNUMBER(F22),F22&gt;0),100*H22/F22,"—")</f>
        <v>8333.3333333333321</v>
      </c>
      <c r="M22" s="14">
        <f t="shared" si="10"/>
        <v>5000</v>
      </c>
      <c r="N22" s="15" t="str">
        <f t="shared" ref="N22:O29" si="11">IF(NOT(AND(ISNUMBER(F22),F22&gt;0)),"EQS needed",IF(B22&lt;F22/10,"Insignificant (Test 1)",IF(H22&lt;=0.04*F22,"Insignificant (Test 2)",IF(H22&gt;0.1*F22,"Modelling (Test 3)",IF(J22&gt;F22,"Modelling (Test 4)","Acceptable")))))</f>
        <v>Modelling (Test 3)</v>
      </c>
      <c r="O22" s="15" t="str">
        <f t="shared" si="11"/>
        <v>Modelling (Test 3)</v>
      </c>
    </row>
    <row r="23" spans="1:15" x14ac:dyDescent="0.2">
      <c r="A23" s="9" t="s">
        <v>56</v>
      </c>
      <c r="B23" s="10">
        <v>0</v>
      </c>
      <c r="C23" s="10">
        <v>0</v>
      </c>
      <c r="D23" s="10">
        <v>1</v>
      </c>
      <c r="E23" s="16"/>
      <c r="F23" s="11">
        <v>2</v>
      </c>
      <c r="G23" s="11">
        <v>5</v>
      </c>
      <c r="H23" s="13">
        <f t="shared" si="6"/>
        <v>0</v>
      </c>
      <c r="I23" s="13">
        <f t="shared" si="7"/>
        <v>0</v>
      </c>
      <c r="J23" s="13">
        <f t="shared" si="8"/>
        <v>0</v>
      </c>
      <c r="K23" s="13">
        <f t="shared" si="9"/>
        <v>0</v>
      </c>
      <c r="L23" s="14">
        <f t="shared" si="10"/>
        <v>0</v>
      </c>
      <c r="M23" s="14">
        <f t="shared" si="10"/>
        <v>0</v>
      </c>
      <c r="N23" s="15" t="str">
        <f t="shared" si="11"/>
        <v>Insignificant (Test 1)</v>
      </c>
      <c r="O23" s="15" t="str">
        <f t="shared" si="11"/>
        <v>Insignificant (Test 1)</v>
      </c>
    </row>
    <row r="24" spans="1:15" x14ac:dyDescent="0.2">
      <c r="A24" s="19" t="s">
        <v>179</v>
      </c>
      <c r="B24" s="10">
        <v>250000</v>
      </c>
      <c r="C24" s="10">
        <v>250000</v>
      </c>
      <c r="D24" s="10">
        <v>1</v>
      </c>
      <c r="E24" s="16"/>
      <c r="F24" s="12"/>
      <c r="G24" s="12"/>
      <c r="H24" s="13">
        <f t="shared" si="6"/>
        <v>83333.333333333328</v>
      </c>
      <c r="I24" s="13">
        <f t="shared" si="7"/>
        <v>125000</v>
      </c>
      <c r="J24" s="13">
        <f t="shared" si="8"/>
        <v>83333.333333333328</v>
      </c>
      <c r="K24" s="13">
        <f t="shared" si="9"/>
        <v>125000</v>
      </c>
      <c r="L24" s="14" t="str">
        <f t="shared" si="10"/>
        <v>—</v>
      </c>
      <c r="M24" s="14" t="str">
        <f t="shared" si="10"/>
        <v>—</v>
      </c>
      <c r="N24" s="15" t="str">
        <f t="shared" si="11"/>
        <v>EQS needed</v>
      </c>
      <c r="O24" s="15" t="str">
        <f t="shared" si="11"/>
        <v>EQS needed</v>
      </c>
    </row>
    <row r="25" spans="1:15" x14ac:dyDescent="0.2">
      <c r="A25" s="9" t="s">
        <v>58</v>
      </c>
      <c r="B25" s="10">
        <v>500</v>
      </c>
      <c r="C25" s="10">
        <v>500</v>
      </c>
      <c r="D25" s="10">
        <v>1</v>
      </c>
      <c r="E25" s="16"/>
      <c r="F25" s="11">
        <v>1000</v>
      </c>
      <c r="G25" s="12"/>
      <c r="H25" s="13">
        <f t="shared" si="6"/>
        <v>166.66666666666666</v>
      </c>
      <c r="I25" s="13">
        <f t="shared" si="7"/>
        <v>250</v>
      </c>
      <c r="J25" s="13">
        <f t="shared" si="8"/>
        <v>166.66666666666666</v>
      </c>
      <c r="K25" s="13">
        <f t="shared" si="9"/>
        <v>250</v>
      </c>
      <c r="L25" s="14">
        <f t="shared" si="10"/>
        <v>16.666666666666664</v>
      </c>
      <c r="M25" s="14" t="str">
        <f t="shared" si="10"/>
        <v>—</v>
      </c>
      <c r="N25" s="15" t="str">
        <f t="shared" si="11"/>
        <v>Modelling (Test 3)</v>
      </c>
      <c r="O25" s="15" t="str">
        <f t="shared" si="11"/>
        <v>EQS needed</v>
      </c>
    </row>
    <row r="26" spans="1:15" x14ac:dyDescent="0.2">
      <c r="A26" s="9" t="s">
        <v>60</v>
      </c>
      <c r="B26" s="10">
        <v>0</v>
      </c>
      <c r="C26" s="10">
        <v>0</v>
      </c>
      <c r="D26" s="10">
        <v>1</v>
      </c>
      <c r="E26" s="16"/>
      <c r="F26" s="12"/>
      <c r="G26" s="11">
        <v>7.0000000000000007E-2</v>
      </c>
      <c r="H26" s="13">
        <f t="shared" si="6"/>
        <v>0</v>
      </c>
      <c r="I26" s="13">
        <f t="shared" si="7"/>
        <v>0</v>
      </c>
      <c r="J26" s="13">
        <f t="shared" si="8"/>
        <v>0</v>
      </c>
      <c r="K26" s="13">
        <f t="shared" si="9"/>
        <v>0</v>
      </c>
      <c r="L26" s="14" t="str">
        <f t="shared" si="10"/>
        <v>—</v>
      </c>
      <c r="M26" s="14">
        <f t="shared" si="10"/>
        <v>0</v>
      </c>
      <c r="N26" s="15" t="str">
        <f t="shared" si="11"/>
        <v>EQS needed</v>
      </c>
      <c r="O26" s="15" t="str">
        <f t="shared" si="11"/>
        <v>Insignificant (Test 1)</v>
      </c>
    </row>
    <row r="27" spans="1:15" x14ac:dyDescent="0.2">
      <c r="A27" s="9" t="s">
        <v>180</v>
      </c>
      <c r="B27" s="10">
        <v>3000</v>
      </c>
      <c r="C27" s="10">
        <v>3000</v>
      </c>
      <c r="D27" s="10">
        <v>1</v>
      </c>
      <c r="E27" s="16"/>
      <c r="F27" s="12"/>
      <c r="G27" s="12"/>
      <c r="H27" s="13">
        <f t="shared" si="6"/>
        <v>1000</v>
      </c>
      <c r="I27" s="13">
        <f t="shared" si="7"/>
        <v>1500</v>
      </c>
      <c r="J27" s="13">
        <f t="shared" si="8"/>
        <v>1000</v>
      </c>
      <c r="K27" s="13">
        <f t="shared" si="9"/>
        <v>1500</v>
      </c>
      <c r="L27" s="14" t="str">
        <f t="shared" si="10"/>
        <v>—</v>
      </c>
      <c r="M27" s="14" t="str">
        <f t="shared" si="10"/>
        <v>—</v>
      </c>
      <c r="N27" s="15" t="str">
        <f t="shared" si="11"/>
        <v>EQS needed</v>
      </c>
      <c r="O27" s="15" t="str">
        <f t="shared" si="11"/>
        <v>EQS needed</v>
      </c>
    </row>
    <row r="28" spans="1:15" x14ac:dyDescent="0.2">
      <c r="A28" s="9" t="s">
        <v>63</v>
      </c>
      <c r="B28" s="10">
        <v>0</v>
      </c>
      <c r="C28" s="10">
        <v>0</v>
      </c>
      <c r="D28" s="10">
        <v>1</v>
      </c>
      <c r="E28" s="16"/>
      <c r="F28" s="11">
        <v>400000</v>
      </c>
      <c r="G28" s="12"/>
      <c r="H28" s="13">
        <f t="shared" si="6"/>
        <v>0</v>
      </c>
      <c r="I28" s="13">
        <f t="shared" si="7"/>
        <v>0</v>
      </c>
      <c r="J28" s="13">
        <f t="shared" si="8"/>
        <v>0</v>
      </c>
      <c r="K28" s="13">
        <f t="shared" si="9"/>
        <v>0</v>
      </c>
      <c r="L28" s="14">
        <f t="shared" si="10"/>
        <v>0</v>
      </c>
      <c r="M28" s="14" t="str">
        <f t="shared" si="10"/>
        <v>—</v>
      </c>
      <c r="N28" s="15" t="str">
        <f t="shared" si="11"/>
        <v>Insignificant (Test 1)</v>
      </c>
      <c r="O28" s="15" t="str">
        <f t="shared" si="11"/>
        <v>EQS needed</v>
      </c>
    </row>
    <row r="29" spans="1:15" ht="30" customHeight="1" x14ac:dyDescent="0.2">
      <c r="A29" s="19" t="s">
        <v>181</v>
      </c>
      <c r="B29" s="10">
        <v>5000</v>
      </c>
      <c r="C29" s="10">
        <v>5000</v>
      </c>
      <c r="D29" s="10">
        <v>1</v>
      </c>
      <c r="E29" s="16"/>
      <c r="F29" s="12"/>
      <c r="G29" s="12"/>
      <c r="H29" s="13">
        <f t="shared" si="6"/>
        <v>1666.6666666666665</v>
      </c>
      <c r="I29" s="13">
        <f t="shared" si="7"/>
        <v>2500</v>
      </c>
      <c r="J29" s="13">
        <f t="shared" si="8"/>
        <v>1666.6666666666665</v>
      </c>
      <c r="K29" s="13">
        <f t="shared" si="9"/>
        <v>2500</v>
      </c>
      <c r="L29" s="14" t="str">
        <f t="shared" si="10"/>
        <v>—</v>
      </c>
      <c r="M29" s="14" t="str">
        <f t="shared" si="10"/>
        <v>—</v>
      </c>
      <c r="N29" s="15" t="str">
        <f t="shared" si="11"/>
        <v>EQS needed</v>
      </c>
      <c r="O29" s="15" t="str">
        <f t="shared" si="11"/>
        <v>EQS needed</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9"/>
  <sheetViews>
    <sheetView workbookViewId="0"/>
  </sheetViews>
  <sheetFormatPr baseColWidth="10" defaultColWidth="8.83203125" defaultRowHeight="15" x14ac:dyDescent="0.2"/>
  <cols>
    <col min="1" max="1" width="40" customWidth="1"/>
    <col min="2" max="3" width="11" customWidth="1"/>
    <col min="4" max="4" width="6" customWidth="1"/>
    <col min="5" max="6" width="16" customWidth="1"/>
    <col min="7" max="8" width="12" customWidth="1"/>
    <col min="9" max="10" width="9" customWidth="1"/>
  </cols>
  <sheetData>
    <row r="1" spans="1:10" ht="18" customHeight="1" x14ac:dyDescent="0.2">
      <c r="A1" s="1" t="s">
        <v>182</v>
      </c>
    </row>
    <row r="2" spans="1:10" x14ac:dyDescent="0.2">
      <c r="A2" s="2" t="s">
        <v>183</v>
      </c>
    </row>
    <row r="5" spans="1:10" x14ac:dyDescent="0.2">
      <c r="A5" t="s">
        <v>184</v>
      </c>
      <c r="B5" s="20">
        <v>2.0000000000000001E-4</v>
      </c>
    </row>
    <row r="6" spans="1:10" x14ac:dyDescent="0.2">
      <c r="A6" t="s">
        <v>185</v>
      </c>
      <c r="B6" s="20">
        <v>4.0000000000000002E-4</v>
      </c>
    </row>
    <row r="7" spans="1:10" x14ac:dyDescent="0.2">
      <c r="A7" t="s">
        <v>186</v>
      </c>
      <c r="B7" s="20">
        <v>4.0000000000000002E-4</v>
      </c>
    </row>
    <row r="8" spans="1:10" x14ac:dyDescent="0.2">
      <c r="A8" t="s">
        <v>187</v>
      </c>
      <c r="B8" s="21">
        <f>B5/(B5+B7)</f>
        <v>0.33333333333333331</v>
      </c>
    </row>
    <row r="9" spans="1:10" x14ac:dyDescent="0.2">
      <c r="A9" t="s">
        <v>188</v>
      </c>
      <c r="B9" s="21">
        <f>B6/(B6+B7)</f>
        <v>0.5</v>
      </c>
    </row>
    <row r="12" spans="1:10" ht="30" customHeight="1" x14ac:dyDescent="0.2">
      <c r="A12" s="6" t="s">
        <v>26</v>
      </c>
      <c r="B12" s="6" t="s">
        <v>189</v>
      </c>
      <c r="C12" s="6" t="s">
        <v>190</v>
      </c>
      <c r="D12" s="6" t="s">
        <v>29</v>
      </c>
      <c r="E12" s="6" t="s">
        <v>191</v>
      </c>
      <c r="F12" s="6" t="s">
        <v>192</v>
      </c>
      <c r="G12" s="6" t="s">
        <v>193</v>
      </c>
      <c r="H12" s="6" t="s">
        <v>194</v>
      </c>
      <c r="I12" s="6" t="s">
        <v>195</v>
      </c>
      <c r="J12" s="6" t="s">
        <v>196</v>
      </c>
    </row>
    <row r="13" spans="1:10" x14ac:dyDescent="0.2">
      <c r="A13" s="9" t="s">
        <v>42</v>
      </c>
      <c r="B13" s="11">
        <v>127</v>
      </c>
      <c r="C13" s="11">
        <v>557</v>
      </c>
      <c r="D13" s="11">
        <v>0.21</v>
      </c>
      <c r="E13" s="11">
        <v>8.89</v>
      </c>
      <c r="F13" s="11">
        <v>58.484999999999999</v>
      </c>
      <c r="G13" s="13">
        <f t="shared" ref="G13:G19" si="0">B13*$B$8*D13</f>
        <v>8.8899999999999988</v>
      </c>
      <c r="H13" s="13">
        <f t="shared" ref="H13:H19" si="1">C13*$B$9*D13</f>
        <v>58.484999999999999</v>
      </c>
      <c r="I13" s="22" t="str">
        <f t="shared" ref="I13:J19" si="2">IF(ISNUMBER(E13),IF(ROUND(G13,2)=ROUND(E13,2),"✓","✗"),"n/a")</f>
        <v>✓</v>
      </c>
      <c r="J13" s="22" t="str">
        <f t="shared" si="2"/>
        <v>✓</v>
      </c>
    </row>
    <row r="14" spans="1:10" x14ac:dyDescent="0.2">
      <c r="A14" s="9" t="s">
        <v>175</v>
      </c>
      <c r="B14" s="11">
        <v>98000</v>
      </c>
      <c r="C14" s="11">
        <v>318000</v>
      </c>
      <c r="D14" s="11">
        <v>0.08</v>
      </c>
      <c r="E14" s="23"/>
      <c r="F14" s="23"/>
      <c r="G14" s="13">
        <f t="shared" si="0"/>
        <v>2613.333333333333</v>
      </c>
      <c r="H14" s="13">
        <f t="shared" si="1"/>
        <v>12720</v>
      </c>
      <c r="I14" s="22" t="str">
        <f t="shared" si="2"/>
        <v>n/a</v>
      </c>
      <c r="J14" s="22" t="str">
        <f t="shared" si="2"/>
        <v>n/a</v>
      </c>
    </row>
    <row r="15" spans="1:10" x14ac:dyDescent="0.2">
      <c r="A15" s="9" t="s">
        <v>45</v>
      </c>
      <c r="B15" s="11">
        <v>24</v>
      </c>
      <c r="C15" s="11">
        <v>26</v>
      </c>
      <c r="D15" s="11">
        <v>0.16</v>
      </c>
      <c r="E15" s="23"/>
      <c r="F15" s="23"/>
      <c r="G15" s="13">
        <f t="shared" si="0"/>
        <v>1.28</v>
      </c>
      <c r="H15" s="13">
        <f t="shared" si="1"/>
        <v>2.08</v>
      </c>
      <c r="I15" s="22" t="str">
        <f t="shared" si="2"/>
        <v>n/a</v>
      </c>
      <c r="J15" s="22" t="str">
        <f t="shared" si="2"/>
        <v>n/a</v>
      </c>
    </row>
    <row r="16" spans="1:10" x14ac:dyDescent="0.2">
      <c r="A16" s="9" t="s">
        <v>47</v>
      </c>
      <c r="B16" s="11">
        <v>14</v>
      </c>
      <c r="C16" s="11">
        <v>14</v>
      </c>
      <c r="D16" s="11">
        <v>0.32</v>
      </c>
      <c r="E16" s="11">
        <v>1.4933000000000001</v>
      </c>
      <c r="F16" s="11">
        <v>2.2400000000000002</v>
      </c>
      <c r="G16" s="13">
        <f t="shared" si="0"/>
        <v>1.4933333333333332</v>
      </c>
      <c r="H16" s="13">
        <f t="shared" si="1"/>
        <v>2.2400000000000002</v>
      </c>
      <c r="I16" s="22" t="str">
        <f t="shared" si="2"/>
        <v>✓</v>
      </c>
      <c r="J16" s="22" t="str">
        <f t="shared" si="2"/>
        <v>✓</v>
      </c>
    </row>
    <row r="17" spans="1:10" x14ac:dyDescent="0.2">
      <c r="A17" s="9" t="s">
        <v>176</v>
      </c>
      <c r="B17" s="11">
        <v>290</v>
      </c>
      <c r="C17" s="11">
        <v>290</v>
      </c>
      <c r="D17" s="11">
        <v>0.17</v>
      </c>
      <c r="E17" s="11">
        <v>16.433299999999999</v>
      </c>
      <c r="F17" s="11">
        <v>24.65</v>
      </c>
      <c r="G17" s="13">
        <f t="shared" si="0"/>
        <v>16.433333333333334</v>
      </c>
      <c r="H17" s="13">
        <f t="shared" si="1"/>
        <v>24.650000000000002</v>
      </c>
      <c r="I17" s="22" t="str">
        <f t="shared" si="2"/>
        <v>✓</v>
      </c>
      <c r="J17" s="22" t="str">
        <f t="shared" si="2"/>
        <v>✓</v>
      </c>
    </row>
    <row r="18" spans="1:10" x14ac:dyDescent="0.2">
      <c r="A18" s="9" t="s">
        <v>50</v>
      </c>
      <c r="B18" s="11">
        <v>4181</v>
      </c>
      <c r="C18" s="11">
        <v>22500</v>
      </c>
      <c r="D18" s="11">
        <v>0.76</v>
      </c>
      <c r="E18" s="11">
        <v>1059.1867</v>
      </c>
      <c r="F18" s="11">
        <v>8550</v>
      </c>
      <c r="G18" s="13">
        <f t="shared" si="0"/>
        <v>1059.1866666666665</v>
      </c>
      <c r="H18" s="13">
        <f t="shared" si="1"/>
        <v>8550</v>
      </c>
      <c r="I18" s="22" t="str">
        <f t="shared" si="2"/>
        <v>✓</v>
      </c>
      <c r="J18" s="22" t="str">
        <f t="shared" si="2"/>
        <v>✓</v>
      </c>
    </row>
    <row r="19" spans="1:10" x14ac:dyDescent="0.2">
      <c r="A19" s="9" t="s">
        <v>51</v>
      </c>
      <c r="B19" s="11">
        <v>70</v>
      </c>
      <c r="C19" s="11">
        <v>70</v>
      </c>
      <c r="D19" s="11">
        <v>0.33</v>
      </c>
      <c r="E19" s="11">
        <v>7.7</v>
      </c>
      <c r="F19" s="11">
        <v>11.55</v>
      </c>
      <c r="G19" s="13">
        <f t="shared" si="0"/>
        <v>7.7</v>
      </c>
      <c r="H19" s="13">
        <f t="shared" si="1"/>
        <v>11.55</v>
      </c>
      <c r="I19" s="22" t="str">
        <f t="shared" si="2"/>
        <v>✓</v>
      </c>
      <c r="J19" s="22" t="str">
        <f t="shared" si="2"/>
        <v>✓</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2"/>
  <sheetViews>
    <sheetView tabSelected="1" topLeftCell="A9" workbookViewId="0"/>
  </sheetViews>
  <sheetFormatPr baseColWidth="10" defaultColWidth="8.83203125" defaultRowHeight="15" x14ac:dyDescent="0.2"/>
  <cols>
    <col min="1" max="1" width="46" customWidth="1"/>
    <col min="2" max="8" width="13" customWidth="1"/>
  </cols>
  <sheetData>
    <row r="1" spans="1:8" ht="45" customHeight="1" x14ac:dyDescent="0.2">
      <c r="A1" s="24" t="s">
        <v>197</v>
      </c>
    </row>
    <row r="3" spans="1:8" ht="30" customHeight="1" x14ac:dyDescent="0.2">
      <c r="A3" s="25" t="s">
        <v>26</v>
      </c>
      <c r="B3" s="25" t="s">
        <v>198</v>
      </c>
      <c r="C3" s="25" t="s">
        <v>199</v>
      </c>
      <c r="D3" s="25" t="s">
        <v>200</v>
      </c>
      <c r="E3" s="25" t="s">
        <v>29</v>
      </c>
      <c r="F3" s="25" t="s">
        <v>201</v>
      </c>
      <c r="G3" s="25" t="s">
        <v>202</v>
      </c>
      <c r="H3" s="25" t="s">
        <v>203</v>
      </c>
    </row>
    <row r="4" spans="1:8" ht="16" customHeight="1" x14ac:dyDescent="0.2">
      <c r="A4" s="26" t="s">
        <v>42</v>
      </c>
      <c r="B4" s="26">
        <v>127</v>
      </c>
      <c r="C4" s="26">
        <v>557</v>
      </c>
      <c r="D4" s="26" t="s">
        <v>204</v>
      </c>
      <c r="E4" s="26">
        <v>0.21</v>
      </c>
      <c r="F4" s="26">
        <v>1</v>
      </c>
      <c r="G4" s="26" t="s">
        <v>205</v>
      </c>
      <c r="H4" s="26">
        <v>0.2</v>
      </c>
    </row>
    <row r="5" spans="1:8" ht="16" customHeight="1" x14ac:dyDescent="0.2">
      <c r="A5" s="26" t="s">
        <v>175</v>
      </c>
      <c r="B5" s="26">
        <v>98000</v>
      </c>
      <c r="C5" s="26">
        <v>318000</v>
      </c>
      <c r="D5" s="26" t="s">
        <v>204</v>
      </c>
      <c r="E5" s="26">
        <v>0.08</v>
      </c>
      <c r="F5" s="26" t="s">
        <v>206</v>
      </c>
      <c r="G5" s="26" t="s">
        <v>206</v>
      </c>
      <c r="H5" s="26" t="s">
        <v>207</v>
      </c>
    </row>
    <row r="6" spans="1:8" ht="16" customHeight="1" x14ac:dyDescent="0.2">
      <c r="A6" s="26" t="s">
        <v>208</v>
      </c>
      <c r="B6" s="26">
        <v>24</v>
      </c>
      <c r="C6" s="26">
        <v>26</v>
      </c>
      <c r="D6" s="26" t="s">
        <v>204</v>
      </c>
      <c r="E6" s="26">
        <v>0.16</v>
      </c>
      <c r="F6" s="26">
        <v>4.7</v>
      </c>
      <c r="G6" s="26">
        <v>32</v>
      </c>
      <c r="H6" s="26" t="s">
        <v>207</v>
      </c>
    </row>
    <row r="7" spans="1:8" ht="16" customHeight="1" x14ac:dyDescent="0.2">
      <c r="A7" s="26" t="s">
        <v>47</v>
      </c>
      <c r="B7" s="26">
        <v>14</v>
      </c>
      <c r="C7" s="26">
        <v>14</v>
      </c>
      <c r="D7" s="26" t="s">
        <v>204</v>
      </c>
      <c r="E7" s="26">
        <v>0.32</v>
      </c>
      <c r="F7" s="26">
        <v>1</v>
      </c>
      <c r="G7" s="26">
        <v>5</v>
      </c>
      <c r="H7" s="26" t="s">
        <v>207</v>
      </c>
    </row>
    <row r="8" spans="1:8" ht="32" customHeight="1" x14ac:dyDescent="0.2">
      <c r="A8" s="26" t="s">
        <v>176</v>
      </c>
      <c r="B8" s="26">
        <v>290</v>
      </c>
      <c r="C8" s="26">
        <v>290</v>
      </c>
      <c r="D8" s="26" t="s">
        <v>204</v>
      </c>
      <c r="E8" s="26">
        <v>0.17</v>
      </c>
      <c r="F8" s="26" t="s">
        <v>209</v>
      </c>
      <c r="G8" s="26">
        <v>14</v>
      </c>
      <c r="H8" s="26" t="s">
        <v>207</v>
      </c>
    </row>
    <row r="9" spans="1:8" ht="32" customHeight="1" x14ac:dyDescent="0.2">
      <c r="A9" s="26" t="s">
        <v>50</v>
      </c>
      <c r="B9" s="26">
        <v>4181</v>
      </c>
      <c r="C9" s="26">
        <v>22500</v>
      </c>
      <c r="D9" s="26" t="s">
        <v>204</v>
      </c>
      <c r="E9" s="26">
        <v>0.76</v>
      </c>
      <c r="F9" s="26" t="s">
        <v>210</v>
      </c>
      <c r="G9" s="26">
        <v>34</v>
      </c>
      <c r="H9" s="26" t="s">
        <v>207</v>
      </c>
    </row>
    <row r="10" spans="1:8" ht="48" customHeight="1" x14ac:dyDescent="0.2">
      <c r="A10" s="26" t="s">
        <v>51</v>
      </c>
      <c r="B10" s="26">
        <v>70</v>
      </c>
      <c r="C10" s="26">
        <v>70</v>
      </c>
      <c r="D10" s="26" t="s">
        <v>204</v>
      </c>
      <c r="E10" s="26">
        <v>0.33</v>
      </c>
      <c r="F10" s="26" t="s">
        <v>211</v>
      </c>
      <c r="G10" s="26" t="s">
        <v>205</v>
      </c>
      <c r="H10" s="26" t="s">
        <v>207</v>
      </c>
    </row>
    <row r="12" spans="1:8" x14ac:dyDescent="0.2">
      <c r="A12" s="24" t="s">
        <v>212</v>
      </c>
    </row>
    <row r="13" spans="1:8" ht="48" customHeight="1" x14ac:dyDescent="0.2">
      <c r="A13" s="26" t="s">
        <v>213</v>
      </c>
    </row>
    <row r="15" spans="1:8" x14ac:dyDescent="0.2">
      <c r="A15" s="24" t="s">
        <v>214</v>
      </c>
    </row>
    <row r="16" spans="1:8" ht="32" customHeight="1" x14ac:dyDescent="0.2">
      <c r="A16" s="26" t="s">
        <v>215</v>
      </c>
    </row>
    <row r="17" spans="1:1" ht="32" customHeight="1" x14ac:dyDescent="0.2">
      <c r="A17" s="26" t="s">
        <v>216</v>
      </c>
    </row>
    <row r="18" spans="1:1" ht="48" customHeight="1" x14ac:dyDescent="0.2">
      <c r="A18" s="26" t="s">
        <v>217</v>
      </c>
    </row>
    <row r="20" spans="1:1" ht="30" customHeight="1" x14ac:dyDescent="0.2">
      <c r="A20" s="24" t="s">
        <v>218</v>
      </c>
    </row>
    <row r="21" spans="1:1" ht="96" customHeight="1" x14ac:dyDescent="0.2">
      <c r="A21" s="26" t="s">
        <v>219</v>
      </c>
    </row>
    <row r="22" spans="1:1" ht="32" customHeight="1" x14ac:dyDescent="0.2">
      <c r="A22" s="26" t="s">
        <v>220</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5"/>
  <sheetViews>
    <sheetView workbookViewId="0"/>
  </sheetViews>
  <sheetFormatPr baseColWidth="10" defaultColWidth="8.83203125" defaultRowHeight="15" x14ac:dyDescent="0.2"/>
  <cols>
    <col min="1" max="1" width="128" customWidth="1"/>
  </cols>
  <sheetData>
    <row r="1" spans="1:8" ht="19" customHeight="1" x14ac:dyDescent="0.2">
      <c r="A1" s="31" t="s">
        <v>221</v>
      </c>
    </row>
    <row r="2" spans="1:8" ht="86" customHeight="1" x14ac:dyDescent="0.2">
      <c r="A2" s="54" t="s">
        <v>222</v>
      </c>
      <c r="B2" s="55"/>
      <c r="C2" s="55"/>
      <c r="D2" s="55"/>
      <c r="E2" s="55"/>
      <c r="F2" s="55"/>
      <c r="G2" s="55"/>
      <c r="H2" s="55"/>
    </row>
    <row r="3" spans="1:8" ht="44" customHeight="1" x14ac:dyDescent="0.2">
      <c r="A3" s="54" t="s">
        <v>223</v>
      </c>
      <c r="B3" s="55"/>
      <c r="C3" s="55"/>
      <c r="D3" s="55"/>
      <c r="E3" s="55"/>
      <c r="F3" s="55"/>
      <c r="G3" s="55"/>
      <c r="H3" s="55"/>
    </row>
    <row r="4" spans="1:8" ht="44" customHeight="1" x14ac:dyDescent="0.2">
      <c r="A4" s="54" t="s">
        <v>224</v>
      </c>
      <c r="B4" s="55"/>
      <c r="C4" s="55"/>
      <c r="D4" s="55"/>
      <c r="E4" s="55"/>
      <c r="F4" s="55"/>
      <c r="G4" s="55"/>
      <c r="H4" s="55"/>
    </row>
    <row r="5" spans="1:8" ht="44" customHeight="1" x14ac:dyDescent="0.2">
      <c r="A5" s="54" t="s">
        <v>225</v>
      </c>
      <c r="B5" s="55"/>
      <c r="C5" s="55"/>
      <c r="D5" s="55"/>
      <c r="E5" s="55"/>
      <c r="F5" s="55"/>
      <c r="G5" s="55"/>
      <c r="H5" s="55"/>
    </row>
    <row r="6" spans="1:8" ht="16" customHeight="1" x14ac:dyDescent="0.2"/>
    <row r="7" spans="1:8" ht="16" customHeight="1" x14ac:dyDescent="0.2">
      <c r="A7" s="27" t="s">
        <v>226</v>
      </c>
    </row>
    <row r="8" spans="1:8" ht="16" customHeight="1" x14ac:dyDescent="0.2">
      <c r="A8" s="28"/>
    </row>
    <row r="9" spans="1:8" ht="16" customHeight="1" x14ac:dyDescent="0.2">
      <c r="A9" s="29" t="s">
        <v>227</v>
      </c>
    </row>
    <row r="10" spans="1:8" x14ac:dyDescent="0.2">
      <c r="A10" s="28"/>
    </row>
    <row r="11" spans="1:8" x14ac:dyDescent="0.2">
      <c r="A11" s="29" t="s">
        <v>228</v>
      </c>
    </row>
    <row r="12" spans="1:8" ht="32" customHeight="1" x14ac:dyDescent="0.2">
      <c r="A12" s="28" t="s">
        <v>229</v>
      </c>
    </row>
    <row r="13" spans="1:8" ht="16" customHeight="1" x14ac:dyDescent="0.2">
      <c r="A13" s="28" t="s">
        <v>230</v>
      </c>
    </row>
    <row r="14" spans="1:8" ht="32" customHeight="1" x14ac:dyDescent="0.2">
      <c r="A14" s="28" t="s">
        <v>231</v>
      </c>
    </row>
    <row r="15" spans="1:8" ht="32" customHeight="1" x14ac:dyDescent="0.2">
      <c r="A15" s="28" t="s">
        <v>232</v>
      </c>
    </row>
    <row r="16" spans="1:8" ht="32" customHeight="1" x14ac:dyDescent="0.2">
      <c r="A16" s="28"/>
    </row>
    <row r="17" spans="1:1" ht="16" customHeight="1" x14ac:dyDescent="0.2">
      <c r="A17" s="29" t="s">
        <v>233</v>
      </c>
    </row>
    <row r="18" spans="1:1" ht="32" x14ac:dyDescent="0.2">
      <c r="A18" s="28" t="s">
        <v>234</v>
      </c>
    </row>
    <row r="19" spans="1:1" ht="30" customHeight="1" x14ac:dyDescent="0.2">
      <c r="A19" s="28" t="s">
        <v>235</v>
      </c>
    </row>
    <row r="20" spans="1:1" ht="32" x14ac:dyDescent="0.2">
      <c r="A20" s="28" t="s">
        <v>236</v>
      </c>
    </row>
    <row r="21" spans="1:1" ht="32" x14ac:dyDescent="0.2">
      <c r="A21" s="28" t="s">
        <v>237</v>
      </c>
    </row>
    <row r="22" spans="1:1" ht="32" x14ac:dyDescent="0.2">
      <c r="A22" s="28" t="s">
        <v>238</v>
      </c>
    </row>
    <row r="23" spans="1:1" ht="16" x14ac:dyDescent="0.2">
      <c r="A23" s="28" t="s">
        <v>239</v>
      </c>
    </row>
    <row r="24" spans="1:1" x14ac:dyDescent="0.2">
      <c r="A24" s="28"/>
    </row>
    <row r="25" spans="1:1" ht="30" x14ac:dyDescent="0.2">
      <c r="A25" s="30" t="s">
        <v>240</v>
      </c>
    </row>
  </sheetData>
  <mergeCells count="4">
    <mergeCell ref="A4:H4"/>
    <mergeCell ref="A3:H3"/>
    <mergeCell ref="A2:H2"/>
    <mergeCell ref="A5:H5"/>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2B7CA8FB5175F54D9E0CBA42E79C5691" ma:contentTypeVersion="34" ma:contentTypeDescription="Create a new document." ma:contentTypeScope="" ma:versionID="8c385500ec8f062723e27ec5898a7685">
  <xsd:schema xmlns:xsd="http://www.w3.org/2001/XMLSchema" xmlns:xs="http://www.w3.org/2001/XMLSchema" xmlns:p="http://schemas.microsoft.com/office/2006/metadata/properties" xmlns:ns2="662745e8-e224-48e8-a2e3-254862b8c2f5" xmlns:ns3="bf263031-ffd2-4e86-8f4d-1e64fa475fec" xmlns:ns4="e76eb3f9-f7d4-4afe-8d75-1839375753c6" targetNamespace="http://schemas.microsoft.com/office/2006/metadata/properties" ma:root="true" ma:fieldsID="08c6831645a4812244e002766202b202" ns2:_="" ns3:_="" ns4:_="">
    <xsd:import namespace="662745e8-e224-48e8-a2e3-254862b8c2f5"/>
    <xsd:import namespace="bf263031-ffd2-4e86-8f4d-1e64fa475fec"/>
    <xsd:import namespace="e76eb3f9-f7d4-4afe-8d75-1839375753c6"/>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DateTaken"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Location"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314b903-0b07-4e5f-bc01-af818658ec35}" ma:internalName="TaxCatchAll" ma:showField="CatchAllData" ma:web="e76eb3f9-f7d4-4afe-8d75-1839375753c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314b903-0b07-4e5f-bc01-af818658ec35}" ma:internalName="TaxCatchAllLabel" ma:readOnly="true" ma:showField="CatchAllDataLabel" ma:web="e76eb3f9-f7d4-4afe-8d75-1839375753c6">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National Permitting Service Installations Regime" ma:internalName="Team" ma:readOnly="false">
      <xsd:simpleType>
        <xsd:restriction base="dms:Text"/>
      </xsd:simpleType>
    </xsd:element>
    <xsd:element name="Topic" ma:index="20" nillable="true" ma:displayName="Topic" ma:default="Manufacturing WIP"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EA|b77da37e-7166-4741-8c12-4679faab22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EA|d5f78ddb-b1b6-4328-9877-d7e3ed06fdac"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f263031-ffd2-4e86-8f4d-1e64fa475fec" elementFormDefault="qualified">
    <xsd:import namespace="http://schemas.microsoft.com/office/2006/documentManagement/types"/>
    <xsd:import namespace="http://schemas.microsoft.com/office/infopath/2007/PartnerControls"/>
    <xsd:element name="MediaServiceDateTaken" ma:index="25" nillable="true" ma:displayName="MediaServiceDateTaken" ma:hidden="true" ma:indexed="true" ma:internalName="MediaServiceDateTake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Location" ma:index="31" nillable="true" ma:displayName="Location" ma:indexed="true" ma:internalName="MediaServiceLocation" ma:readOnly="true">
      <xsd:simpleType>
        <xsd:restriction base="dms:Text"/>
      </xsd:simpleType>
    </xsd:element>
    <xsd:element name="MediaServiceMetadata" ma:index="32" nillable="true" ma:displayName="MediaServiceMetadata" ma:hidden="true" ma:internalName="MediaServiceMetadata" ma:readOnly="true">
      <xsd:simpleType>
        <xsd:restriction base="dms:Note"/>
      </xsd:simpleType>
    </xsd:element>
    <xsd:element name="MediaServiceFastMetadata" ma:index="33" nillable="true" ma:displayName="MediaServiceFastMetadata" ma:hidden="true" ma:internalName="MediaServiceFastMetadata" ma:readOnly="true">
      <xsd:simpleType>
        <xsd:restriction base="dms:Note"/>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LengthInSeconds" ma:index="3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76eb3f9-f7d4-4afe-8d75-1839375753c6"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Permit File" ma:contentTypeID="0x0101000E9AD557692E154F9D2697C8C6432F76006AA1E3962CF72F4698A24DEEB897244E" ma:contentTypeVersion="41" ma:contentTypeDescription="Create a new document." ma:contentTypeScope="" ma:versionID="ec629862f564551f0c3e454d641f8ffd">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47765e72-4413-4cff-aa40-50e617b95c52" targetNamespace="http://schemas.microsoft.com/office/2006/metadata/properties" ma:root="true" ma:fieldsID="cc58a1b200138ec8af53e26ea27cacd7" ns2:_="" ns3:_="" ns4:_="" ns5:_="" ns6:_="">
    <xsd:import namespace="dbe221e7-66db-4bdb-a92c-aa517c005f15"/>
    <xsd:import namespace="662745e8-e224-48e8-a2e3-254862b8c2f5"/>
    <xsd:import namespace="eebef177-55b5-4448-a5fb-28ea454417ee"/>
    <xsd:import namespace="5ffd8e36-f429-4edc-ab50-c5be84842779"/>
    <xsd:import namespace="47765e72-4413-4cff-aa40-50e617b95c52"/>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DateTaken" minOccurs="0"/>
                <xsd:element ref="ns6:lcf76f155ced4ddcb4097134ff3c332f" minOccurs="0"/>
                <xsd:element ref="ns6:MediaServiceOCR" minOccurs="0"/>
                <xsd:element ref="ns6:MediaServiceGenerationTime" minOccurs="0"/>
                <xsd:element ref="ns6:MediaServiceEventHashCode"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dexed="tru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765e72-4413-4cff-aa40-50e617b95c52"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DateTaken" ma:index="51" nillable="true" ma:displayName="MediaServiceDateTaken" ma:hidden="true" ma:indexed="true" ma:internalName="MediaServiceDateTaken"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MediaServiceLocation" ma:index="57" nillable="true" ma:displayName="Location" ma:indexed="true" ma:internalName="MediaServiceLocation" ma:readOnly="true">
      <xsd:simpleType>
        <xsd:restriction base="dms:Text"/>
      </xsd:simpleType>
    </xsd:element>
    <xsd:element name="MediaLengthInSeconds" ma:index="5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41</Value>
      <Value>49</Value>
      <Value>11</Value>
      <Value>32</Value>
      <Value>14</Value>
    </TaxCatchAll>
    <lcf76f155ced4ddcb4097134ff3c332f xmlns="47765e72-4413-4cff-aa40-50e617b95c52">
      <Terms xmlns="http://schemas.microsoft.com/office/infopath/2007/PartnerControls"/>
    </lcf76f155ced4ddcb4097134ff3c332f>
    <EAReceivedDate xmlns="eebef177-55b5-4448-a5fb-28ea454417ee">2026-06-09T23:00:00+00:00</EAReceivedDate>
    <ga477587807b4e8dbd9d142e03c014fa xmlns="dbe221e7-66db-4bdb-a92c-aa517c005f15">
      <Terms xmlns="http://schemas.microsoft.com/office/infopath/2007/PartnerControls"/>
    </ga477587807b4e8dbd9d142e03c014fa>
    <PermitNumber xmlns="eebef177-55b5-4448-a5fb-28ea454417ee">EPR-EP3322LK</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EPR/EP3322LK</OtherReference>
    <EventLink xmlns="5ffd8e36-f429-4edc-ab50-c5be84842779" xsi:nil="true"/>
    <Customer_x002f_OperatorName xmlns="eebef177-55b5-4448-a5fb-28ea454417ee">Capabilites Beyond Engineering Limited</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DocumentDate xmlns="eebef177-55b5-4448-a5fb-28ea454417ee">2026-06-09T23:00:00+00:00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EPR/EP3322LK</EPRNumber>
    <FacilityAddressPostcode xmlns="eebef177-55b5-4448-a5fb-28ea454417ee">S42 5UZ</FacilityAddressPostcode>
    <ed3cfd1978f244c4af5dc9d642a18018 xmlns="dbe221e7-66db-4bdb-a92c-aa517c005f15">
      <Terms xmlns="http://schemas.microsoft.com/office/infopath/2007/PartnerControls"/>
    </ed3cfd1978f244c4af5dc9d642a18018>
    <ExternalAuthor xmlns="eebef177-55b5-4448-a5fb-28ea454417ee">Operator</ExternalAuthor>
    <SiteName xmlns="eebef177-55b5-4448-a5fb-28ea454417ee">Capabilites Beyond Engineering Limited</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FacilityAddress xmlns="eebef177-55b5-4448-a5fb-28ea454417ee">Enterprise Drive, Chesterfield</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Bespoke</TermName>
          <TermId xmlns="http://schemas.microsoft.com/office/infopath/2007/PartnerControls">743fbb82-64b4-442a-8bac-afa632175399</TermId>
        </TermInfo>
      </Terms>
    </la34db7254a948be973d9738b9f07ba7>
  </documentManagement>
</p:properties>
</file>

<file path=customXml/itemProps1.xml><?xml version="1.0" encoding="utf-8"?>
<ds:datastoreItem xmlns:ds="http://schemas.openxmlformats.org/officeDocument/2006/customXml" ds:itemID="{262CAAF9-5A48-4677-B1A9-7233ADC6FA47}"/>
</file>

<file path=customXml/itemProps2.xml><?xml version="1.0" encoding="utf-8"?>
<ds:datastoreItem xmlns:ds="http://schemas.openxmlformats.org/officeDocument/2006/customXml" ds:itemID="{12A4F2FC-2F0E-44D4-AE2E-2F946AEE7AC9}"/>
</file>

<file path=customXml/itemProps3.xml><?xml version="1.0" encoding="utf-8"?>
<ds:datastoreItem xmlns:ds="http://schemas.openxmlformats.org/officeDocument/2006/customXml" ds:itemID="{346F89B2-EA71-4987-96E0-5B8DFFC3EF3D}"/>
</file>

<file path=customXml/itemProps4.xml><?xml version="1.0" encoding="utf-8"?>
<ds:datastoreItem xmlns:ds="http://schemas.openxmlformats.org/officeDocument/2006/customXml" ds:itemID="{5B925600-14D6-4598-A92E-F82FDFE87448}"/>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Calculator</vt:lpstr>
      <vt:lpstr>Route &amp; evidence</vt:lpstr>
      <vt:lpstr>STW flow data (YWS)</vt:lpstr>
      <vt:lpstr>Assumptions — CLOSED</vt:lpstr>
      <vt:lpstr>Discharge log 2025 (source)</vt:lpstr>
      <vt:lpstr>Superseded basis (V2)</vt:lpstr>
      <vt:lpstr>Verify vs screenshots</vt:lpstr>
      <vt:lpstr>CBE screenshot data</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Nigel Leeson</cp:lastModifiedBy>
  <dcterms:created xsi:type="dcterms:W3CDTF">2026-06-08T18:43:03Z</dcterms:created>
  <dcterms:modified xsi:type="dcterms:W3CDTF">2026-06-10T15:16:00Z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0x0101000E9AD557692E154F9D2697C8C6432F76006AA1E3962CF72F4698A24DEEB897244E</vt:lpwstr>
  </property>
  <property fmtid="{D5CDD505-2E9C-101B-9397-08002B2CF9AE}" pid="3" name="PermitDocumentType">
    <vt:lpwstr/>
  </property>
  <property fmtid="{D5CDD505-2E9C-101B-9397-08002B2CF9AE}" pid="4" name="MediaServiceImageTags">
    <vt:lpwstr/>
  </property>
  <property fmtid="{D5CDD505-2E9C-101B-9397-08002B2CF9AE}" pid="5" name="TypeofPermit">
    <vt:lpwstr>32;#Bespoke|743fbb82-64b4-442a-8bac-afa632175399</vt:lpwstr>
  </property>
  <property fmtid="{D5CDD505-2E9C-101B-9397-08002B2CF9AE}" pid="6" name="DisclosureStatus">
    <vt:lpwstr>41;#Public Register|f1fcf6a6-5d97-4f1d-964e-a2f916eb1f18</vt:lpwstr>
  </property>
  <property fmtid="{D5CDD505-2E9C-101B-9397-08002B2CF9AE}" pid="7" name="EventType1">
    <vt:lpwstr/>
  </property>
  <property fmtid="{D5CDD505-2E9C-101B-9397-08002B2CF9AE}" pid="8" name="ActivityGrouping">
    <vt:lpwstr>14;#Application ＆ Associated Docs|5eadfd3c-6deb-44e1-b7e1-16accd427bec</vt:lpwstr>
  </property>
  <property fmtid="{D5CDD505-2E9C-101B-9397-08002B2CF9AE}" pid="9" name="RegulatedActivityClass">
    <vt:lpwstr>49;#Installations|645f1c9c-65df-490a-9ce3-4a2aa7c5ff7f</vt:lpwstr>
  </property>
  <property fmtid="{D5CDD505-2E9C-101B-9397-08002B2CF9AE}" pid="10" name="Catchment">
    <vt:lpwstr/>
  </property>
  <property fmtid="{D5CDD505-2E9C-101B-9397-08002B2CF9AE}" pid="11" name="MajorProjectID">
    <vt:lpwstr/>
  </property>
  <property fmtid="{D5CDD505-2E9C-101B-9397-08002B2CF9AE}" pid="12" name="StandardRulesID">
    <vt:lpwstr/>
  </property>
  <property fmtid="{D5CDD505-2E9C-101B-9397-08002B2CF9AE}" pid="13" name="CessationStatus">
    <vt:lpwstr/>
  </property>
  <property fmtid="{D5CDD505-2E9C-101B-9397-08002B2CF9AE}" pid="14" name="Regime">
    <vt:lpwstr>11;#EPR|0e5af97d-1a8c-4d8f-a20b-528a11cab1f6</vt:lpwstr>
  </property>
  <property fmtid="{D5CDD505-2E9C-101B-9397-08002B2CF9AE}" pid="15" name="RegulatedActivitySub_x002d_Class">
    <vt:lpwstr/>
  </property>
  <property fmtid="{D5CDD505-2E9C-101B-9397-08002B2CF9AE}" pid="16" name="RegulatedActivitySub-Class">
    <vt:lpwstr/>
  </property>
  <property fmtid="{D5CDD505-2E9C-101B-9397-08002B2CF9AE}" pid="17" name="SysUpdateNoER">
    <vt:lpwstr>No</vt:lpwstr>
  </property>
</Properties>
</file>