
<file path=[Content_Types].xml><?xml version="1.0" encoding="utf-8"?>
<Types xmlns="http://schemas.openxmlformats.org/package/2006/content-types">
  <Default Extension="bin" ContentType="application/vnd.ms-office.vbaProject"/>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omments3.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mc:AlternateContent xmlns:mc="http://schemas.openxmlformats.org/markup-compatibility/2006">
    <mc:Choice Requires="x15">
      <x15ac:absPath xmlns:x15ac="http://schemas.microsoft.com/office/spreadsheetml/2010/11/ac" url="H:\Documents\Current\36546 DM consult\"/>
    </mc:Choice>
  </mc:AlternateContent>
  <workbookProtection workbookPassword="DC5B" lockStructure="1"/>
  <bookViews>
    <workbookView xWindow="0" yWindow="0" windowWidth="25200" windowHeight="11910" tabRatio="733" activeTab="1"/>
  </bookViews>
  <sheets>
    <sheet name="Summary and Calculation" sheetId="15" r:id="rId1"/>
    <sheet name="Complexity_Emissions_Location" sheetId="2" r:id="rId2"/>
    <sheet name="Operator Performance" sheetId="16" r:id="rId3"/>
    <sheet name="References" sheetId="18" r:id="rId4"/>
    <sheet name="XML Data" sheetId="21" state="hidden" r:id="rId5"/>
    <sheet name="ProfileHeader" sheetId="19" state="hidden" r:id="rId6"/>
    <sheet name="ProfileDetail" sheetId="20" state="hidden" r:id="rId7"/>
  </sheets>
  <definedNames>
    <definedName name="App_factor">References!$F$4</definedName>
    <definedName name="Complexity_Attribute">Complexity_Emissions_Location!$C$3</definedName>
    <definedName name="Emissions_Attribute">Complexity_Emissions_Location!$I$3</definedName>
    <definedName name="EMS_Score_Card">References!$K$53:$M$85</definedName>
    <definedName name="Location_Attribute">Complexity_Emissions_Location!$B$14</definedName>
    <definedName name="_xlnm.Print_Area" localSheetId="2">'Operator Performance'!$B$2:$I$81</definedName>
    <definedName name="Subs_factor">References!$F$5</definedName>
  </definedNames>
  <calcPr calcId="152511"/>
</workbook>
</file>

<file path=xl/calcChain.xml><?xml version="1.0" encoding="utf-8"?>
<calcChain xmlns="http://schemas.openxmlformats.org/spreadsheetml/2006/main">
  <c r="M8" i="2" l="1"/>
  <c r="M9" i="2"/>
  <c r="M6" i="2"/>
  <c r="M7" i="2"/>
  <c r="F5" i="2"/>
  <c r="F7" i="2"/>
  <c r="G13" i="15" s="1"/>
  <c r="K3" i="19" s="1"/>
  <c r="F31" i="16"/>
  <c r="F27" i="20" s="1"/>
  <c r="F32" i="16"/>
  <c r="F28" i="20" s="1"/>
  <c r="F29" i="16"/>
  <c r="C85" i="21" s="1"/>
  <c r="F33" i="16"/>
  <c r="F29" i="20" s="1"/>
  <c r="F38" i="16"/>
  <c r="C95" i="21" s="1"/>
  <c r="F7" i="16"/>
  <c r="F11" i="20" s="1"/>
  <c r="F23" i="16"/>
  <c r="C79" i="21" s="1"/>
  <c r="F16" i="2"/>
  <c r="C35" i="21" s="1"/>
  <c r="F18" i="2"/>
  <c r="C37" i="21" s="1"/>
  <c r="F37" i="21" s="1"/>
  <c r="F20" i="2"/>
  <c r="C39" i="21" s="1"/>
  <c r="F22" i="2"/>
  <c r="C41" i="21" s="1"/>
  <c r="O16" i="2"/>
  <c r="C43" i="21" s="1"/>
  <c r="O18" i="2"/>
  <c r="C45" i="21" s="1"/>
  <c r="F45" i="21" s="1"/>
  <c r="O20" i="2"/>
  <c r="C47" i="21" s="1"/>
  <c r="F54" i="16"/>
  <c r="F56" i="16"/>
  <c r="L20" i="15"/>
  <c r="F48" i="16"/>
  <c r="F55" i="16"/>
  <c r="F57" i="16"/>
  <c r="A2" i="20"/>
  <c r="A3" i="19"/>
  <c r="B19" i="20" s="1"/>
  <c r="D2" i="20"/>
  <c r="E2" i="20"/>
  <c r="F2" i="20"/>
  <c r="A3" i="20"/>
  <c r="D3" i="20"/>
  <c r="E3" i="20"/>
  <c r="F3" i="20"/>
  <c r="A4" i="20"/>
  <c r="D4" i="20"/>
  <c r="E4" i="20"/>
  <c r="F4" i="20"/>
  <c r="A5" i="20"/>
  <c r="D5" i="20"/>
  <c r="E5" i="20"/>
  <c r="F5" i="20"/>
  <c r="A6" i="20"/>
  <c r="D6" i="20"/>
  <c r="E6" i="20"/>
  <c r="F6" i="20"/>
  <c r="A7" i="20"/>
  <c r="D7" i="20"/>
  <c r="E7" i="20"/>
  <c r="F7" i="20"/>
  <c r="A8" i="20"/>
  <c r="D8" i="20"/>
  <c r="E8" i="20"/>
  <c r="F8" i="20"/>
  <c r="A9" i="20"/>
  <c r="D9" i="20"/>
  <c r="E9" i="20"/>
  <c r="A10" i="20"/>
  <c r="D10" i="20"/>
  <c r="E10" i="20"/>
  <c r="A11" i="20"/>
  <c r="D11" i="20"/>
  <c r="E11" i="20"/>
  <c r="A12" i="20"/>
  <c r="D12" i="20"/>
  <c r="E12" i="20"/>
  <c r="A13" i="20"/>
  <c r="D13" i="20"/>
  <c r="E13" i="20"/>
  <c r="A14" i="20"/>
  <c r="D14" i="20"/>
  <c r="E14" i="20"/>
  <c r="A15" i="20"/>
  <c r="D15" i="20"/>
  <c r="E15" i="20"/>
  <c r="A16" i="20"/>
  <c r="D16" i="20"/>
  <c r="E16" i="20"/>
  <c r="A17" i="20"/>
  <c r="D17" i="20"/>
  <c r="E17" i="20"/>
  <c r="A18" i="20"/>
  <c r="D18" i="20"/>
  <c r="E18" i="20"/>
  <c r="A19" i="20"/>
  <c r="D19" i="20"/>
  <c r="E19" i="20"/>
  <c r="A20" i="20"/>
  <c r="D20" i="20"/>
  <c r="E20" i="20"/>
  <c r="A21" i="20"/>
  <c r="D21" i="20"/>
  <c r="E21" i="20"/>
  <c r="A22" i="20"/>
  <c r="D22" i="20"/>
  <c r="E22" i="20"/>
  <c r="A23" i="20"/>
  <c r="D23" i="20"/>
  <c r="E23" i="20"/>
  <c r="A24" i="20"/>
  <c r="D24" i="20"/>
  <c r="E24" i="20"/>
  <c r="A25" i="20"/>
  <c r="D25" i="20"/>
  <c r="E25" i="20"/>
  <c r="A26" i="20"/>
  <c r="D26" i="20"/>
  <c r="E26" i="20"/>
  <c r="A27" i="20"/>
  <c r="D27" i="20"/>
  <c r="E27" i="20"/>
  <c r="A28" i="20"/>
  <c r="D28" i="20"/>
  <c r="E28" i="20"/>
  <c r="A29" i="20"/>
  <c r="D29" i="20"/>
  <c r="E29" i="20"/>
  <c r="A30" i="20"/>
  <c r="D30" i="20"/>
  <c r="E30" i="20"/>
  <c r="A31" i="20"/>
  <c r="D31" i="20"/>
  <c r="E31" i="20"/>
  <c r="F31" i="20"/>
  <c r="A32" i="20"/>
  <c r="D32" i="20"/>
  <c r="E32" i="20"/>
  <c r="F32" i="20"/>
  <c r="A33" i="20"/>
  <c r="D33" i="20"/>
  <c r="E33" i="20"/>
  <c r="F33" i="20"/>
  <c r="A34" i="20"/>
  <c r="D34" i="20"/>
  <c r="E34" i="20"/>
  <c r="A35" i="20"/>
  <c r="D35" i="20"/>
  <c r="E35" i="20"/>
  <c r="A36" i="20"/>
  <c r="D36" i="20"/>
  <c r="E36" i="20"/>
  <c r="A37" i="20"/>
  <c r="D37" i="20"/>
  <c r="E37" i="20"/>
  <c r="A38" i="20"/>
  <c r="D38" i="20"/>
  <c r="E38" i="20"/>
  <c r="A39" i="20"/>
  <c r="D39" i="20"/>
  <c r="E39" i="20"/>
  <c r="A40" i="20"/>
  <c r="D40" i="20"/>
  <c r="E40" i="20"/>
  <c r="F40" i="20"/>
  <c r="C3" i="19"/>
  <c r="D3" i="19"/>
  <c r="E3" i="19"/>
  <c r="F3" i="19"/>
  <c r="B6" i="21"/>
  <c r="D6" i="21"/>
  <c r="B7" i="21"/>
  <c r="D7" i="21"/>
  <c r="B8" i="21"/>
  <c r="D8" i="21"/>
  <c r="B9" i="21"/>
  <c r="D9" i="21"/>
  <c r="B10" i="21"/>
  <c r="D10" i="21"/>
  <c r="B11" i="21"/>
  <c r="D11" i="21"/>
  <c r="B12" i="21"/>
  <c r="D12" i="21"/>
  <c r="B13" i="21"/>
  <c r="D13" i="21"/>
  <c r="B14" i="21"/>
  <c r="D14" i="21"/>
  <c r="B15" i="21"/>
  <c r="D15" i="21"/>
  <c r="B16" i="21"/>
  <c r="C16" i="21"/>
  <c r="D16" i="21"/>
  <c r="B17" i="21"/>
  <c r="C17" i="21"/>
  <c r="D17" i="21"/>
  <c r="B20" i="21"/>
  <c r="C20" i="21"/>
  <c r="F20" i="21" s="1"/>
  <c r="D20" i="21"/>
  <c r="B21" i="21"/>
  <c r="C21" i="21"/>
  <c r="D21" i="21"/>
  <c r="B22" i="21"/>
  <c r="C22" i="21"/>
  <c r="D22" i="21"/>
  <c r="B23" i="21"/>
  <c r="C23" i="21"/>
  <c r="D23" i="21"/>
  <c r="B24" i="21"/>
  <c r="D24" i="21"/>
  <c r="B25" i="21"/>
  <c r="D25" i="21"/>
  <c r="B28" i="21"/>
  <c r="C28" i="21"/>
  <c r="F28" i="21" s="1"/>
  <c r="D28" i="21"/>
  <c r="B29" i="21"/>
  <c r="D29" i="21"/>
  <c r="B30" i="21"/>
  <c r="C30" i="21"/>
  <c r="D30" i="21"/>
  <c r="B31" i="21"/>
  <c r="D31" i="21"/>
  <c r="B34" i="21"/>
  <c r="C34" i="21"/>
  <c r="D34" i="21"/>
  <c r="B35" i="21"/>
  <c r="D35" i="21"/>
  <c r="B36" i="21"/>
  <c r="C36" i="21"/>
  <c r="D36" i="21"/>
  <c r="B37" i="21"/>
  <c r="D37" i="21"/>
  <c r="B38" i="21"/>
  <c r="C38" i="21"/>
  <c r="F38" i="21" s="1"/>
  <c r="D38" i="21"/>
  <c r="B39" i="21"/>
  <c r="D39" i="21"/>
  <c r="B40" i="21"/>
  <c r="C40" i="21"/>
  <c r="D40" i="21"/>
  <c r="B41" i="21"/>
  <c r="D41" i="21"/>
  <c r="B42" i="21"/>
  <c r="C42" i="21"/>
  <c r="D42" i="21"/>
  <c r="B43" i="21"/>
  <c r="D43" i="21"/>
  <c r="B44" i="21"/>
  <c r="C44" i="21"/>
  <c r="D44" i="21"/>
  <c r="B45" i="21"/>
  <c r="D45" i="21"/>
  <c r="B46" i="21"/>
  <c r="C46" i="21"/>
  <c r="F46" i="21" s="1"/>
  <c r="D46" i="21"/>
  <c r="B47" i="21"/>
  <c r="D47" i="21"/>
  <c r="B48" i="21"/>
  <c r="D48" i="21"/>
  <c r="B49" i="21"/>
  <c r="D49" i="21"/>
  <c r="B52" i="21"/>
  <c r="C52" i="21"/>
  <c r="D52" i="21"/>
  <c r="B53" i="21"/>
  <c r="D53" i="21"/>
  <c r="B54" i="21"/>
  <c r="C54" i="21"/>
  <c r="D54" i="21"/>
  <c r="B55" i="21"/>
  <c r="D55" i="21"/>
  <c r="B56" i="21"/>
  <c r="F56" i="21" s="1"/>
  <c r="C56" i="21"/>
  <c r="D56" i="21"/>
  <c r="B57" i="21"/>
  <c r="D57" i="21"/>
  <c r="B58" i="21"/>
  <c r="C58" i="21"/>
  <c r="F58" i="21" s="1"/>
  <c r="D58" i="21"/>
  <c r="B59" i="21"/>
  <c r="D59" i="21"/>
  <c r="B60" i="21"/>
  <c r="C60" i="21"/>
  <c r="D60" i="21"/>
  <c r="B61" i="21"/>
  <c r="D61" i="21"/>
  <c r="B62" i="21"/>
  <c r="C62" i="21"/>
  <c r="D62" i="21"/>
  <c r="B63" i="21"/>
  <c r="D63" i="21"/>
  <c r="B64" i="21"/>
  <c r="C64" i="21"/>
  <c r="F64" i="21" s="1"/>
  <c r="D64" i="21"/>
  <c r="B65" i="21"/>
  <c r="D65" i="21"/>
  <c r="B66" i="21"/>
  <c r="C66" i="21"/>
  <c r="F66" i="21" s="1"/>
  <c r="D66" i="21"/>
  <c r="B67" i="21"/>
  <c r="D67" i="21"/>
  <c r="B68" i="21"/>
  <c r="C68" i="21"/>
  <c r="D68" i="21"/>
  <c r="B69" i="21"/>
  <c r="D69" i="21"/>
  <c r="B70" i="21"/>
  <c r="C70" i="21"/>
  <c r="D70" i="21"/>
  <c r="B71" i="21"/>
  <c r="D71" i="21"/>
  <c r="B72" i="21"/>
  <c r="C72" i="21"/>
  <c r="F72" i="21" s="1"/>
  <c r="D72" i="21"/>
  <c r="B73" i="21"/>
  <c r="D73" i="21"/>
  <c r="B74" i="21"/>
  <c r="C74" i="21"/>
  <c r="D74" i="21"/>
  <c r="B75" i="21"/>
  <c r="D75" i="21"/>
  <c r="B76" i="21"/>
  <c r="C76" i="21"/>
  <c r="D76" i="21"/>
  <c r="B77" i="21"/>
  <c r="D77" i="21"/>
  <c r="B78" i="21"/>
  <c r="C78" i="21"/>
  <c r="D78" i="21"/>
  <c r="B79" i="21"/>
  <c r="D79" i="21"/>
  <c r="B80" i="21"/>
  <c r="C80" i="21"/>
  <c r="F80" i="21" s="1"/>
  <c r="D80" i="21"/>
  <c r="B81" i="21"/>
  <c r="D81" i="21"/>
  <c r="B82" i="21"/>
  <c r="C82" i="21"/>
  <c r="D82" i="21"/>
  <c r="B83" i="21"/>
  <c r="D83" i="21"/>
  <c r="B84" i="21"/>
  <c r="C84" i="21"/>
  <c r="D84" i="21"/>
  <c r="B85" i="21"/>
  <c r="D85" i="21"/>
  <c r="B86" i="21"/>
  <c r="C86" i="21"/>
  <c r="D86" i="21"/>
  <c r="B87" i="21"/>
  <c r="D87" i="21"/>
  <c r="B88" i="21"/>
  <c r="C88" i="21"/>
  <c r="F88" i="21" s="1"/>
  <c r="D88" i="21"/>
  <c r="B89" i="21"/>
  <c r="D89" i="21"/>
  <c r="B90" i="21"/>
  <c r="C90" i="21"/>
  <c r="D90" i="21"/>
  <c r="B91" i="21"/>
  <c r="D91" i="21"/>
  <c r="B92" i="21"/>
  <c r="C92" i="21"/>
  <c r="D92" i="21"/>
  <c r="B93" i="21"/>
  <c r="D93" i="21"/>
  <c r="B94" i="21"/>
  <c r="C94" i="21"/>
  <c r="D94" i="21"/>
  <c r="B95" i="21"/>
  <c r="D95" i="21"/>
  <c r="B96" i="21"/>
  <c r="C96" i="21"/>
  <c r="F96" i="21" s="1"/>
  <c r="D96" i="21"/>
  <c r="B97" i="21"/>
  <c r="C97" i="21"/>
  <c r="D97" i="21"/>
  <c r="B98" i="21"/>
  <c r="C98" i="21"/>
  <c r="D98" i="21"/>
  <c r="B99" i="21"/>
  <c r="C99" i="21"/>
  <c r="D99" i="21"/>
  <c r="B100" i="21"/>
  <c r="C100" i="21"/>
  <c r="F100" i="21" s="1"/>
  <c r="D100" i="21"/>
  <c r="B101" i="21"/>
  <c r="C101" i="21"/>
  <c r="D101" i="21"/>
  <c r="B102" i="21"/>
  <c r="C102" i="21"/>
  <c r="D102" i="21"/>
  <c r="B103" i="21"/>
  <c r="D103" i="21"/>
  <c r="B104" i="21"/>
  <c r="C104" i="21"/>
  <c r="D104" i="21"/>
  <c r="B105" i="21"/>
  <c r="D105" i="21"/>
  <c r="B106" i="21"/>
  <c r="C106" i="21"/>
  <c r="F106" i="21" s="1"/>
  <c r="D106" i="21"/>
  <c r="B107" i="21"/>
  <c r="D107" i="21"/>
  <c r="B108" i="21"/>
  <c r="F108" i="21" s="1"/>
  <c r="C108" i="21"/>
  <c r="D108" i="21"/>
  <c r="B109" i="21"/>
  <c r="C109" i="21"/>
  <c r="F109" i="21" s="1"/>
  <c r="D109" i="21"/>
  <c r="B110" i="21"/>
  <c r="C110" i="21"/>
  <c r="D110" i="21"/>
  <c r="B111" i="21"/>
  <c r="D111" i="21"/>
  <c r="B112" i="21"/>
  <c r="C112" i="21"/>
  <c r="F112" i="21" s="1"/>
  <c r="D112" i="21"/>
  <c r="B113" i="21"/>
  <c r="C113" i="21"/>
  <c r="D113" i="21"/>
  <c r="B114" i="21"/>
  <c r="C114" i="21"/>
  <c r="D114" i="21"/>
  <c r="B115" i="21"/>
  <c r="C115" i="21"/>
  <c r="D115" i="21"/>
  <c r="B116" i="21"/>
  <c r="C116" i="21"/>
  <c r="F116" i="21" s="1"/>
  <c r="D116" i="21"/>
  <c r="B117" i="21"/>
  <c r="C117" i="21"/>
  <c r="D117" i="21"/>
  <c r="B120" i="21"/>
  <c r="D120" i="21"/>
  <c r="F120" i="21" s="1"/>
  <c r="B121" i="21"/>
  <c r="F121" i="21" s="1"/>
  <c r="D121" i="21"/>
  <c r="B122" i="21"/>
  <c r="F122" i="21"/>
  <c r="D122" i="21"/>
  <c r="B123" i="21"/>
  <c r="D123" i="21"/>
  <c r="F123" i="21"/>
  <c r="B124" i="21"/>
  <c r="D124" i="21"/>
  <c r="F124" i="21"/>
  <c r="B125" i="21"/>
  <c r="F125" i="21" s="1"/>
  <c r="D125" i="21"/>
  <c r="K1" i="15"/>
  <c r="F92" i="21"/>
  <c r="F58" i="16" l="1"/>
  <c r="H58" i="16" s="1"/>
  <c r="I70" i="16" s="1"/>
  <c r="F22" i="20"/>
  <c r="F52" i="21"/>
  <c r="M10" i="2"/>
  <c r="O10" i="2" s="1"/>
  <c r="F85" i="21"/>
  <c r="F117" i="21"/>
  <c r="F113" i="21"/>
  <c r="F110" i="21"/>
  <c r="F104" i="21"/>
  <c r="F101" i="21"/>
  <c r="F97" i="21"/>
  <c r="F94" i="21"/>
  <c r="F86" i="21"/>
  <c r="F78" i="21"/>
  <c r="F44" i="21"/>
  <c r="F36" i="21"/>
  <c r="F21" i="21"/>
  <c r="F43" i="21"/>
  <c r="F35" i="21"/>
  <c r="F114" i="21"/>
  <c r="F102" i="21"/>
  <c r="F98" i="21"/>
  <c r="F84" i="21"/>
  <c r="F76" i="21"/>
  <c r="F70" i="21"/>
  <c r="F62" i="21"/>
  <c r="F54" i="21"/>
  <c r="F42" i="21"/>
  <c r="F34" i="21"/>
  <c r="F22" i="21"/>
  <c r="F16" i="21"/>
  <c r="F41" i="21"/>
  <c r="F79" i="21"/>
  <c r="F95" i="21"/>
  <c r="F115" i="21"/>
  <c r="F99" i="21"/>
  <c r="F90" i="21"/>
  <c r="F82" i="21"/>
  <c r="F74" i="21"/>
  <c r="F68" i="21"/>
  <c r="F60" i="21"/>
  <c r="F40" i="21"/>
  <c r="F30" i="21"/>
  <c r="F23" i="21"/>
  <c r="F17" i="21"/>
  <c r="F47" i="21"/>
  <c r="F39" i="21"/>
  <c r="C93" i="21"/>
  <c r="F93" i="21" s="1"/>
  <c r="F25" i="20"/>
  <c r="C91" i="21"/>
  <c r="F91" i="21" s="1"/>
  <c r="C89" i="21"/>
  <c r="F89" i="21" s="1"/>
  <c r="B3" i="20"/>
  <c r="B32" i="20"/>
  <c r="C31" i="21"/>
  <c r="F31" i="21" s="1"/>
  <c r="B36" i="20"/>
  <c r="F13" i="15"/>
  <c r="J3" i="19" s="1"/>
  <c r="B4" i="20"/>
  <c r="C29" i="21"/>
  <c r="F29" i="21" s="1"/>
  <c r="B26" i="20"/>
  <c r="B18" i="20"/>
  <c r="C57" i="21"/>
  <c r="F57" i="21" s="1"/>
  <c r="B8" i="20"/>
  <c r="B12" i="20"/>
  <c r="B38" i="20"/>
  <c r="B35" i="20"/>
  <c r="B10" i="20"/>
  <c r="B11" i="20"/>
  <c r="B30" i="20"/>
  <c r="B39" i="20"/>
  <c r="B15" i="20"/>
  <c r="B24" i="20"/>
  <c r="B40" i="20"/>
  <c r="B28" i="20"/>
  <c r="B14" i="20"/>
  <c r="B27" i="20"/>
  <c r="B25" i="20"/>
  <c r="B17" i="20"/>
  <c r="B31" i="20"/>
  <c r="B29" i="20"/>
  <c r="B2" i="20"/>
  <c r="B23" i="20"/>
  <c r="B16" i="20"/>
  <c r="B22" i="20"/>
  <c r="F30" i="20"/>
  <c r="B20" i="20"/>
  <c r="B5" i="20"/>
  <c r="K22" i="2"/>
  <c r="C7" i="21"/>
  <c r="F7" i="21" s="1"/>
  <c r="F39" i="16"/>
  <c r="A2" i="16"/>
  <c r="E2" i="16" s="1"/>
  <c r="F47" i="16" s="1"/>
  <c r="C107" i="21" s="1"/>
  <c r="F107" i="21" s="1"/>
  <c r="B9" i="20"/>
  <c r="B33" i="20"/>
  <c r="B34" i="20"/>
  <c r="B7" i="20"/>
  <c r="B13" i="20"/>
  <c r="B37" i="20"/>
  <c r="B6" i="20"/>
  <c r="B21" i="20"/>
  <c r="H3" i="19" l="1"/>
  <c r="F39" i="20"/>
  <c r="F45" i="16"/>
  <c r="F37" i="20" s="1"/>
  <c r="F46" i="16"/>
  <c r="F38" i="20" s="1"/>
  <c r="F43" i="16"/>
  <c r="C105" i="21" s="1"/>
  <c r="F105" i="21" s="1"/>
  <c r="F44" i="16"/>
  <c r="F36" i="20" s="1"/>
  <c r="F30" i="16"/>
  <c r="C87" i="21" s="1"/>
  <c r="F87" i="21" s="1"/>
  <c r="F42" i="16"/>
  <c r="F27" i="16"/>
  <c r="C81" i="21" s="1"/>
  <c r="F81" i="21" s="1"/>
  <c r="F28" i="16"/>
  <c r="F21" i="16"/>
  <c r="F22" i="16"/>
  <c r="F19" i="16"/>
  <c r="F20" i="16"/>
  <c r="F17" i="16"/>
  <c r="F16" i="20" s="1"/>
  <c r="F18" i="16"/>
  <c r="F10" i="16"/>
  <c r="F14" i="20" s="1"/>
  <c r="F14" i="16"/>
  <c r="F8" i="16"/>
  <c r="F9" i="16"/>
  <c r="F5" i="16"/>
  <c r="F9" i="20" s="1"/>
  <c r="F6" i="16"/>
  <c r="C24" i="21"/>
  <c r="F24" i="21" s="1"/>
  <c r="C25" i="21"/>
  <c r="F25" i="21" s="1"/>
  <c r="F14" i="15"/>
  <c r="H13" i="15"/>
  <c r="C8" i="21" s="1"/>
  <c r="F8" i="21" s="1"/>
  <c r="C6" i="21"/>
  <c r="F6" i="21" s="1"/>
  <c r="G3" i="19"/>
  <c r="C48" i="21"/>
  <c r="F48" i="21" s="1"/>
  <c r="F49" i="16" l="1"/>
  <c r="H49" i="16" s="1"/>
  <c r="I69" i="16" s="1"/>
  <c r="F35" i="20"/>
  <c r="F34" i="20"/>
  <c r="C103" i="21"/>
  <c r="F103" i="21" s="1"/>
  <c r="F26" i="20"/>
  <c r="F23" i="20"/>
  <c r="F24" i="20"/>
  <c r="C83" i="21"/>
  <c r="F83" i="21" s="1"/>
  <c r="F34" i="16"/>
  <c r="H34" i="16" s="1"/>
  <c r="I68" i="16" s="1"/>
  <c r="C77" i="21"/>
  <c r="F77" i="21" s="1"/>
  <c r="F21" i="20"/>
  <c r="C75" i="21"/>
  <c r="F75" i="21" s="1"/>
  <c r="F20" i="20"/>
  <c r="C73" i="21"/>
  <c r="F73" i="21" s="1"/>
  <c r="F19" i="20"/>
  <c r="F18" i="20"/>
  <c r="C71" i="21"/>
  <c r="F71" i="21" s="1"/>
  <c r="C67" i="21"/>
  <c r="F67" i="21" s="1"/>
  <c r="F17" i="20"/>
  <c r="C69" i="21"/>
  <c r="F69" i="21" s="1"/>
  <c r="C63" i="21"/>
  <c r="F63" i="21" s="1"/>
  <c r="F15" i="20"/>
  <c r="C65" i="21"/>
  <c r="F65" i="21" s="1"/>
  <c r="F24" i="16"/>
  <c r="H24" i="16" s="1"/>
  <c r="I67" i="16" s="1"/>
  <c r="F13" i="20"/>
  <c r="C61" i="21"/>
  <c r="F61" i="21" s="1"/>
  <c r="C59" i="21"/>
  <c r="F59" i="21" s="1"/>
  <c r="F12" i="20"/>
  <c r="F10" i="20"/>
  <c r="C55" i="21"/>
  <c r="F55" i="21" s="1"/>
  <c r="F11" i="16"/>
  <c r="H11" i="16" s="1"/>
  <c r="I66" i="16" s="1"/>
  <c r="C53" i="21"/>
  <c r="F53" i="21" s="1"/>
  <c r="M3" i="19"/>
  <c r="C9" i="21"/>
  <c r="F9" i="21" s="1"/>
  <c r="H14" i="15"/>
  <c r="C10" i="21" s="1"/>
  <c r="F10" i="21" s="1"/>
  <c r="C111" i="21" l="1"/>
  <c r="F111" i="21" s="1"/>
  <c r="H60" i="16"/>
  <c r="H62" i="16" s="1"/>
  <c r="F16" i="15" s="1"/>
  <c r="I71" i="16" l="1"/>
  <c r="I3" i="19"/>
  <c r="N3" i="19"/>
  <c r="C13" i="21"/>
  <c r="F13" i="21" s="1"/>
  <c r="H16" i="15"/>
  <c r="C14" i="21" l="1"/>
  <c r="F14" i="21" s="1"/>
  <c r="Q23" i="2"/>
  <c r="O22" i="2" s="1"/>
  <c r="C49" i="21" l="1"/>
  <c r="F49" i="21" s="1"/>
  <c r="F15" i="15"/>
  <c r="L3" i="19" l="1"/>
  <c r="H15" i="15"/>
  <c r="C11" i="21"/>
  <c r="F11" i="21" s="1"/>
  <c r="C12" i="21" l="1"/>
  <c r="F12" i="21" s="1"/>
  <c r="H17" i="15"/>
  <c r="H18" i="15" s="1"/>
  <c r="J11" i="15" s="1"/>
  <c r="C17" i="15" l="1"/>
  <c r="L14" i="15"/>
  <c r="L16" i="15"/>
  <c r="C15" i="21"/>
  <c r="F15" i="21" s="1"/>
  <c r="L13" i="15"/>
  <c r="L15" i="15"/>
  <c r="P3" i="19"/>
</calcChain>
</file>

<file path=xl/comments1.xml><?xml version="1.0" encoding="utf-8"?>
<comments xmlns="http://schemas.openxmlformats.org/spreadsheetml/2006/main">
  <authors>
    <author>Neil Gillan</author>
  </authors>
  <commentList>
    <comment ref="E7" authorId="0" shapeId="0">
      <text>
        <r>
          <rPr>
            <b/>
            <sz val="8"/>
            <color indexed="81"/>
            <rFont val="Tahoma"/>
            <family val="2"/>
          </rPr>
          <t>Insert your Permit No.  here. If this profile is in support of an application for a new permit, you can leave this box blank.</t>
        </r>
      </text>
    </comment>
    <comment ref="I7" authorId="0" shapeId="0">
      <text>
        <r>
          <rPr>
            <b/>
            <sz val="8"/>
            <color indexed="81"/>
            <rFont val="Tahoma"/>
            <family val="2"/>
          </rPr>
          <t>Enter the name of the site to which this profile relates.</t>
        </r>
      </text>
    </comment>
    <comment ref="E9" authorId="0" shapeId="0">
      <text>
        <r>
          <rPr>
            <b/>
            <sz val="8"/>
            <color indexed="81"/>
            <rFont val="Tahoma"/>
            <family val="2"/>
          </rPr>
          <t>Enter the date this profile was completed/submitted</t>
        </r>
      </text>
    </comment>
    <comment ref="I9" authorId="0" shapeId="0">
      <text>
        <r>
          <rPr>
            <b/>
            <sz val="8"/>
            <color indexed="81"/>
            <rFont val="Tahoma"/>
            <family val="2"/>
          </rPr>
          <t>Enter the operator (permit holder's) name here.</t>
        </r>
      </text>
    </comment>
    <comment ref="C20" authorId="0" shapeId="0">
      <text>
        <r>
          <rPr>
            <b/>
            <sz val="8"/>
            <color indexed="81"/>
            <rFont val="Tahoma"/>
            <family val="2"/>
          </rPr>
          <t>Enter your Compliance Rating Band in this Cell.  This will be a letter in the range A - E and will represent your rating at the end of last Calendar Year.  If you are unsure of your Compliance Rating please discuss with EA staff.</t>
        </r>
      </text>
    </comment>
  </commentList>
</comments>
</file>

<file path=xl/comments2.xml><?xml version="1.0" encoding="utf-8"?>
<comments xmlns="http://schemas.openxmlformats.org/spreadsheetml/2006/main">
  <authors>
    <author>Neil Gillan</author>
  </authors>
  <commentList>
    <comment ref="I3" authorId="0" shapeId="0">
      <text>
        <r>
          <rPr>
            <b/>
            <sz val="8"/>
            <color indexed="81"/>
            <rFont val="Tahoma"/>
            <family val="2"/>
          </rPr>
          <t xml:space="preserve">Enter your permitted waste inputs into the relevant boxes below. </t>
        </r>
      </text>
    </comment>
    <comment ref="C5" authorId="0" shapeId="0">
      <text>
        <r>
          <rPr>
            <b/>
            <sz val="8"/>
            <color indexed="81"/>
            <rFont val="Tahoma"/>
            <family val="2"/>
          </rPr>
          <t>Select your site type from the drop down box.  Please refer to the OPRA methodology for fuller descriptions. Note: Certain landfill site types have been retained for legacy reasons.  Many of these site types are now 'Installations' as opposed to 'Waste Operations'</t>
        </r>
      </text>
    </comment>
  </commentList>
</comments>
</file>

<file path=xl/comments3.xml><?xml version="1.0" encoding="utf-8"?>
<comments xmlns="http://schemas.openxmlformats.org/spreadsheetml/2006/main">
  <authors>
    <author>Neil Gillan</author>
  </authors>
  <commentList>
    <comment ref="E7" authorId="0" shapeId="0">
      <text>
        <r>
          <rPr>
            <b/>
            <sz val="8"/>
            <color indexed="81"/>
            <rFont val="Tahoma"/>
            <family val="2"/>
          </rPr>
          <t>Leave this cell blank if a question does not appear to the left</t>
        </r>
      </text>
    </comment>
    <comment ref="E30" authorId="0" shapeId="0">
      <text>
        <r>
          <rPr>
            <b/>
            <sz val="8"/>
            <color indexed="81"/>
            <rFont val="Tahoma"/>
            <family val="2"/>
          </rPr>
          <t>Leave this cell blank if a question does not appear to the left</t>
        </r>
      </text>
    </comment>
    <comment ref="E31" authorId="0" shapeId="0">
      <text>
        <r>
          <rPr>
            <b/>
            <sz val="8"/>
            <color indexed="81"/>
            <rFont val="Tahoma"/>
            <family val="2"/>
          </rPr>
          <t>Leave this cell blank if a question does not appear to the left</t>
        </r>
      </text>
    </comment>
    <comment ref="E32" authorId="0" shapeId="0">
      <text>
        <r>
          <rPr>
            <b/>
            <sz val="8"/>
            <color indexed="81"/>
            <rFont val="Tahoma"/>
            <family val="2"/>
          </rPr>
          <t>Leave this cell blank if a question does not appear to the left</t>
        </r>
      </text>
    </comment>
    <comment ref="E33" authorId="0" shapeId="0">
      <text>
        <r>
          <rPr>
            <b/>
            <sz val="8"/>
            <color indexed="81"/>
            <rFont val="Tahoma"/>
            <family val="2"/>
          </rPr>
          <t>Leave this cell blank if a question does not appear to the left</t>
        </r>
      </text>
    </comment>
    <comment ref="E47" authorId="0" shapeId="0">
      <text>
        <r>
          <rPr>
            <b/>
            <sz val="8"/>
            <color indexed="81"/>
            <rFont val="Tahoma"/>
            <family val="2"/>
          </rPr>
          <t>Leave this cell blank if a question does not appear to the left</t>
        </r>
      </text>
    </comment>
  </commentList>
</comments>
</file>

<file path=xl/sharedStrings.xml><?xml version="1.0" encoding="utf-8"?>
<sst xmlns="http://schemas.openxmlformats.org/spreadsheetml/2006/main" count="484" uniqueCount="376">
  <si>
    <t>Operations &amp; Maintenance</t>
  </si>
  <si>
    <t>NA</t>
  </si>
  <si>
    <t>Low</t>
  </si>
  <si>
    <t>High</t>
  </si>
  <si>
    <t>Complexity Band (Activity) Risk Level:</t>
  </si>
  <si>
    <t>Medium</t>
  </si>
  <si>
    <t>Ops &amp; Maintenance</t>
  </si>
  <si>
    <t>Comp &amp; Training</t>
  </si>
  <si>
    <t>Version:</t>
  </si>
  <si>
    <t>Release Date:</t>
  </si>
  <si>
    <t>Site Name:</t>
  </si>
  <si>
    <t>Operator:</t>
  </si>
  <si>
    <t>Emissions:</t>
  </si>
  <si>
    <t>Location:</t>
  </si>
  <si>
    <t>Operator Performance:</t>
  </si>
  <si>
    <t>Complexity(s):</t>
  </si>
  <si>
    <t>Bands</t>
  </si>
  <si>
    <t>Points</t>
  </si>
  <si>
    <t>Total:</t>
  </si>
  <si>
    <t>Attribute</t>
  </si>
  <si>
    <t>Site Type:</t>
  </si>
  <si>
    <t>Complexity</t>
  </si>
  <si>
    <t>Complexity Attribute</t>
  </si>
  <si>
    <t>Waste Type</t>
  </si>
  <si>
    <t>Inert</t>
  </si>
  <si>
    <t>Non Hazardous (Non Bio)</t>
  </si>
  <si>
    <t>Non Hazardous (Bio)</t>
  </si>
  <si>
    <t>Hazardous</t>
  </si>
  <si>
    <t>Emission Index</t>
  </si>
  <si>
    <t>Annual Tonnage</t>
  </si>
  <si>
    <t>Emission Threshold</t>
  </si>
  <si>
    <t>Emissions Attribute (Waste Input)</t>
  </si>
  <si>
    <t>Proximity to Human Occupation:</t>
  </si>
  <si>
    <t>Groundwater/Aquifers:</t>
  </si>
  <si>
    <t>Sensitivity of surface water:</t>
  </si>
  <si>
    <t>Flood Plain:</t>
  </si>
  <si>
    <t>Direct run-offs:</t>
  </si>
  <si>
    <t>Location Attribute</t>
  </si>
  <si>
    <t>A01</t>
  </si>
  <si>
    <t>A02</t>
  </si>
  <si>
    <t>A03</t>
  </si>
  <si>
    <t>A04</t>
  </si>
  <si>
    <t>A05</t>
  </si>
  <si>
    <t>A06</t>
  </si>
  <si>
    <t>A07</t>
  </si>
  <si>
    <t>A08</t>
  </si>
  <si>
    <t>A10</t>
  </si>
  <si>
    <t>A11</t>
  </si>
  <si>
    <t>A12</t>
  </si>
  <si>
    <t>A14</t>
  </si>
  <si>
    <t>A15</t>
  </si>
  <si>
    <t>A17</t>
  </si>
  <si>
    <t>A18</t>
  </si>
  <si>
    <t>A19</t>
  </si>
  <si>
    <t>A20</t>
  </si>
  <si>
    <t>A21</t>
  </si>
  <si>
    <t>A22</t>
  </si>
  <si>
    <t>A23</t>
  </si>
  <si>
    <t>A24</t>
  </si>
  <si>
    <t>A25</t>
  </si>
  <si>
    <t>EEE</t>
  </si>
  <si>
    <t>EE</t>
  </si>
  <si>
    <t>E</t>
  </si>
  <si>
    <t>Band</t>
  </si>
  <si>
    <t>A</t>
  </si>
  <si>
    <t>B</t>
  </si>
  <si>
    <t>C</t>
  </si>
  <si>
    <t>D</t>
  </si>
  <si>
    <t>Location</t>
  </si>
  <si>
    <t>Emissions</t>
  </si>
  <si>
    <t>Compliance Rating</t>
  </si>
  <si>
    <t>&lt;50m</t>
  </si>
  <si>
    <t>50m-250m</t>
  </si>
  <si>
    <t>250m -1km</t>
  </si>
  <si>
    <t>&gt;1km</t>
  </si>
  <si>
    <t>Habitats</t>
  </si>
  <si>
    <t>CRoW</t>
  </si>
  <si>
    <t>No</t>
  </si>
  <si>
    <t>Yes - Within GPZ</t>
  </si>
  <si>
    <t>Yes - Outside GPZ</t>
  </si>
  <si>
    <t>Grade 5</t>
  </si>
  <si>
    <t>Grade 3 or 4</t>
  </si>
  <si>
    <t>Grade 1 or 2</t>
  </si>
  <si>
    <t>None</t>
  </si>
  <si>
    <t>Yes - With interceptors</t>
  </si>
  <si>
    <t>Yes - No interceptors</t>
  </si>
  <si>
    <t>Yes - and emits declared pollutant</t>
  </si>
  <si>
    <t>Within 2km and emits declared pollutant</t>
  </si>
  <si>
    <t>Yes - but does not emit declared pollutant</t>
  </si>
  <si>
    <t>Yes</t>
  </si>
  <si>
    <t>Qu No</t>
  </si>
  <si>
    <t>QID</t>
  </si>
  <si>
    <t>Score</t>
  </si>
  <si>
    <t>Answer</t>
  </si>
  <si>
    <t>AnsID</t>
  </si>
  <si>
    <t>Question</t>
  </si>
  <si>
    <t>Total Points:</t>
  </si>
  <si>
    <t>Band:</t>
  </si>
  <si>
    <t>Complexity Band:</t>
  </si>
  <si>
    <t>Assessment under wildlife, countryside or habitats legislation:</t>
  </si>
  <si>
    <t>Air Quality Management Zone:</t>
  </si>
  <si>
    <t xml:space="preserve">   …</t>
  </si>
  <si>
    <t>Fees and Charges</t>
  </si>
  <si>
    <t>Application Fee</t>
  </si>
  <si>
    <t>Charge Multipliers</t>
  </si>
  <si>
    <t>App</t>
  </si>
  <si>
    <t>Subs</t>
  </si>
  <si>
    <t>2nd Site Type:</t>
  </si>
  <si>
    <t>2nd Band:</t>
  </si>
  <si>
    <t>Complexity Bands</t>
  </si>
  <si>
    <t>Complexity Bands are based on a lookup table (see References tab)</t>
  </si>
  <si>
    <t>Emergency planning Total</t>
  </si>
  <si>
    <t xml:space="preserve">Has your company adopted an environmental policy and programme which :    </t>
  </si>
  <si>
    <t>BAND=</t>
  </si>
  <si>
    <t>Are training systems in place for all relevant staff that cover the following factors:</t>
  </si>
  <si>
    <t>Do you assess the potential environmental risks posed by the work of contractors and provide instructions to contractors about protecting the environment while working on site?</t>
  </si>
  <si>
    <t>Sub Total</t>
  </si>
  <si>
    <t>Is there a defined procedure for identifying, reviewing and prioritising items of plant for which a preventative maintenance regime is appropriate?</t>
  </si>
  <si>
    <t>   includes a commitment to continual improvement and prevention of pollution?</t>
  </si>
  <si>
    <t>   identifies, sets, monitors and reviews environmental objectives, independently of the permit?</t>
  </si>
  <si>
    <t>    reporting procedures to inform supervisors or managers of deviations from  permit conditions;</t>
  </si>
  <si>
    <t xml:space="preserve">Emergency planning - 20% </t>
  </si>
  <si>
    <t xml:space="preserve">Organisation - 40% </t>
  </si>
  <si>
    <t xml:space="preserve">Has a training needs assessment  been carried out which: </t>
  </si>
  <si>
    <t>Operations and Maintenance Total</t>
  </si>
  <si>
    <t>    prevention of accidental emissions and action to be taken when accidental emissions occur?</t>
  </si>
  <si>
    <t xml:space="preserve">Competence and  Training - 20% </t>
  </si>
  <si>
    <t xml:space="preserve">    likely potential environmental impacts which may be caused by plant under their control. This should cover both normal and abnormal circumstances; </t>
  </si>
  <si>
    <t xml:space="preserve">Has the plan identified areas where improvement is needed? </t>
  </si>
  <si>
    <t>   includes a commitment to comply with relevant legislation, and with other requirements that the organisation subscribes to?</t>
  </si>
  <si>
    <t>Are there documented procedures for monitoring emissions or impacts?</t>
  </si>
  <si>
    <t xml:space="preserve">Where improvement has been identified, does the plan include an implementation programme with acceptable timescales to the Agency? If not, points will be deducted. </t>
  </si>
  <si>
    <t>Max = 12</t>
  </si>
  <si>
    <t>Weight = 20%</t>
  </si>
  <si>
    <t>Weighted Score</t>
  </si>
  <si>
    <t>Max = 17</t>
  </si>
  <si>
    <t>Weight = 40%</t>
  </si>
  <si>
    <t>Organisational Total:</t>
  </si>
  <si>
    <t>Overall Operator Performance Score:</t>
  </si>
  <si>
    <t>Operator Performance Summary</t>
  </si>
  <si>
    <t xml:space="preserve">Enforcement History (0 to -40% weighting)
</t>
  </si>
  <si>
    <t>Emergency Planning</t>
  </si>
  <si>
    <t>Organisation</t>
  </si>
  <si>
    <t>Enforcement History</t>
  </si>
  <si>
    <t>Overall Weighted Score</t>
  </si>
  <si>
    <t>ProfileID</t>
  </si>
  <si>
    <t>MajVersionNo</t>
  </si>
  <si>
    <t>CompletionDate</t>
  </si>
  <si>
    <t>WML</t>
  </si>
  <si>
    <t>Complexity1</t>
  </si>
  <si>
    <t>Complexity2</t>
  </si>
  <si>
    <t>LocationScore</t>
  </si>
  <si>
    <t>EmissionIndex</t>
  </si>
  <si>
    <t>OPScore</t>
  </si>
  <si>
    <t>CompBand1</t>
  </si>
  <si>
    <t>CompBand2</t>
  </si>
  <si>
    <t>LocationBand</t>
  </si>
  <si>
    <t>EmissionsBand</t>
  </si>
  <si>
    <t>OPPerfBand</t>
  </si>
  <si>
    <t>CompRating</t>
  </si>
  <si>
    <t>EPOPRAScore</t>
  </si>
  <si>
    <t>Status</t>
  </si>
  <si>
    <t>Profile Header</t>
  </si>
  <si>
    <t>ID</t>
  </si>
  <si>
    <t>AnsText</t>
  </si>
  <si>
    <t>AnsScore</t>
  </si>
  <si>
    <t>RiskAnswerID</t>
  </si>
  <si>
    <t>Reference Sheet</t>
  </si>
  <si>
    <t>A04-Closed</t>
  </si>
  <si>
    <t>A05-Closed</t>
  </si>
  <si>
    <t>A06-Closed</t>
  </si>
  <si>
    <t>A07-Closed</t>
  </si>
  <si>
    <t>A08-Closed</t>
  </si>
  <si>
    <t>A01-Closed</t>
  </si>
  <si>
    <t>A02-Closed</t>
  </si>
  <si>
    <t>A03-Closed</t>
  </si>
  <si>
    <t>A04-Dredgings</t>
  </si>
  <si>
    <t>&lt;?xml version="1.0" encoding="utf-8"?&gt;</t>
  </si>
  <si>
    <t>docOpProcs_question1_answer</t>
  </si>
  <si>
    <t>docOpProcs_question1_score</t>
  </si>
  <si>
    <t>docOpProcs_question2_answer</t>
  </si>
  <si>
    <t>docOpProcs_question2_score</t>
  </si>
  <si>
    <t>docOpProcs_question3_answer</t>
  </si>
  <si>
    <t>docOpProcs_question3_score</t>
  </si>
  <si>
    <t>docOpProcs_question4_answer</t>
  </si>
  <si>
    <t>docOpProcs_question4_score</t>
  </si>
  <si>
    <t>docOpProcs_question5_answer</t>
  </si>
  <si>
    <t>docOpProcs_question5_score</t>
  </si>
  <si>
    <t>docOpProcs_question7_answer</t>
  </si>
  <si>
    <t>docOpProcs_question7_score</t>
  </si>
  <si>
    <t>trainingAssessment_question1_answer</t>
  </si>
  <si>
    <t>trainingAssessment_question1_score</t>
  </si>
  <si>
    <t>trainingAssessment_question2a_answer</t>
  </si>
  <si>
    <t>trainingAssessment_question2a_score</t>
  </si>
  <si>
    <t>trainingAssessment_question2b_answer</t>
  </si>
  <si>
    <t>trainingAssessment_question2b_score</t>
  </si>
  <si>
    <t>trainingAssessment_question2c_answer</t>
  </si>
  <si>
    <t>trainingAssessment_question2c_score</t>
  </si>
  <si>
    <t>trainingAssessment_question2d_answer</t>
  </si>
  <si>
    <t>trainingAssessment_question2d_score</t>
  </si>
  <si>
    <t>trainingAssessment_question2eanswer</t>
  </si>
  <si>
    <t>trainingAssessment_question2escore</t>
  </si>
  <si>
    <t>trainingAssessment_question5_answer</t>
  </si>
  <si>
    <t>trainingAssessment_question5_score</t>
  </si>
  <si>
    <t>trainingAssessment_question7_answer</t>
  </si>
  <si>
    <t>trainingAssessment_question7_score</t>
  </si>
  <si>
    <t>accidentPlan_question1_answer</t>
  </si>
  <si>
    <t>accidentPlan_question1_score</t>
  </si>
  <si>
    <t>accidentPlan_question2_answer</t>
  </si>
  <si>
    <t>accidentPlan_question2_score</t>
  </si>
  <si>
    <t>accidentPlan_question3_answer</t>
  </si>
  <si>
    <t>accidentPlan_question3_score</t>
  </si>
  <si>
    <t>accidentPlan_question4_answer</t>
  </si>
  <si>
    <t>accidentPlan_question4_score</t>
  </si>
  <si>
    <t>accidentPlan_question5_answer</t>
  </si>
  <si>
    <t>accidentPlan_question5_score</t>
  </si>
  <si>
    <t>accidentPlan_question6_answer</t>
  </si>
  <si>
    <t>accidentPlan_question6_score</t>
  </si>
  <si>
    <t>accidentPlan_question8_answer</t>
  </si>
  <si>
    <t>accidentPlan_question8_score</t>
  </si>
  <si>
    <t>&lt;/EPOPRA&gt;</t>
  </si>
  <si>
    <r>
      <t>&lt;CorticonRequest xmlns="</t>
    </r>
    <r>
      <rPr>
        <b/>
        <sz val="10"/>
        <rFont val="Verdana"/>
        <family val="2"/>
      </rPr>
      <t>urn:Corticon</t>
    </r>
    <r>
      <rPr>
        <sz val="10"/>
        <rFont val="Verdana"/>
        <family val="2"/>
      </rPr>
      <t>" xmlns:xsi="</t>
    </r>
    <r>
      <rPr>
        <b/>
        <sz val="10"/>
        <rFont val="Verdana"/>
        <family val="2"/>
      </rPr>
      <t>http://www.w3.org/2001/XMLSchema-instance</t>
    </r>
    <r>
      <rPr>
        <sz val="10"/>
        <rFont val="Verdana"/>
        <family val="2"/>
      </rPr>
      <t>" decisionServiceName="</t>
    </r>
    <r>
      <rPr>
        <b/>
        <sz val="10"/>
        <rFont val="Verdana"/>
        <family val="2"/>
      </rPr>
      <t>InsertServiceNameHere</t>
    </r>
    <r>
      <rPr>
        <sz val="10"/>
        <rFont val="Verdana"/>
        <family val="2"/>
      </rPr>
      <t>"&gt;</t>
    </r>
  </si>
  <si>
    <t>&lt;WorkDocuments&gt;</t>
  </si>
  <si>
    <r>
      <t>&lt;EPOPRA id="</t>
    </r>
    <r>
      <rPr>
        <b/>
        <sz val="10"/>
        <rFont val="Verdana"/>
        <family val="2"/>
      </rPr>
      <t>EPOPRA_id_1</t>
    </r>
    <r>
      <rPr>
        <sz val="10"/>
        <rFont val="Verdana"/>
        <family val="2"/>
      </rPr>
      <t>"&gt;</t>
    </r>
  </si>
  <si>
    <t>&lt;summary&gt;</t>
  </si>
  <si>
    <t>complexity_1_Band</t>
  </si>
  <si>
    <t>complexity_2_Band</t>
  </si>
  <si>
    <t>complexity_Score</t>
  </si>
  <si>
    <t>complexity_Band_1</t>
  </si>
  <si>
    <t>complexity_Band_2</t>
  </si>
  <si>
    <t>emissions_Band</t>
  </si>
  <si>
    <t>emissions_Score</t>
  </si>
  <si>
    <t>totalOPRAScore</t>
  </si>
  <si>
    <t>wasteInput_Inert_Answer</t>
  </si>
  <si>
    <t>wasteInput_NonHazNonBio_Answer</t>
  </si>
  <si>
    <t>wasteInput_Haz_Answer</t>
  </si>
  <si>
    <t>wasteInput_NonHazBio_Answer</t>
  </si>
  <si>
    <t>wasteInput_total</t>
  </si>
  <si>
    <t>wasteInput_Band</t>
  </si>
  <si>
    <t>activity_AType_1</t>
  </si>
  <si>
    <t>activity_AType_2</t>
  </si>
  <si>
    <t>company_Name</t>
  </si>
  <si>
    <t>case_Number</t>
  </si>
  <si>
    <t>oP_Perf_Band</t>
  </si>
  <si>
    <t>oP_Perf_Score</t>
  </si>
  <si>
    <t>location_Band</t>
  </si>
  <si>
    <t>location_Score</t>
  </si>
  <si>
    <t>loc_Human_Answer</t>
  </si>
  <si>
    <t>loc_Human_Score</t>
  </si>
  <si>
    <t>loc_Habitats_Answer</t>
  </si>
  <si>
    <t>loc_Habitats_Score</t>
  </si>
  <si>
    <t>loc_AquGPZ_Answer</t>
  </si>
  <si>
    <t>loc_Aqu_Score</t>
  </si>
  <si>
    <t>loc_SW_Answer</t>
  </si>
  <si>
    <t>loc_SW_Score</t>
  </si>
  <si>
    <t>loc_RunOff_Answer</t>
  </si>
  <si>
    <t>loc_RunOff_Score</t>
  </si>
  <si>
    <t>loc_AQMZ_Answer</t>
  </si>
  <si>
    <t>loc_AQMZ_Score</t>
  </si>
  <si>
    <t>loc_FloodPlain_Answer</t>
  </si>
  <si>
    <t>loc_FloodPlain_Score</t>
  </si>
  <si>
    <t>loc_RawScore</t>
  </si>
  <si>
    <t>loc_Band</t>
  </si>
  <si>
    <t>organisation_question1part1_answer</t>
  </si>
  <si>
    <t>organisation_question1part1_score</t>
  </si>
  <si>
    <t>organisation_question1part2_answer</t>
  </si>
  <si>
    <t>organisation_question1part2_score</t>
  </si>
  <si>
    <t>organisation_question1part3_answer</t>
  </si>
  <si>
    <t>organisation_question1part3_score</t>
  </si>
  <si>
    <t>organisation_question1part4_answer</t>
  </si>
  <si>
    <t>organisation_question1part4_score</t>
  </si>
  <si>
    <t>organisation_question2_answer</t>
  </si>
  <si>
    <t>organisation_question2_score</t>
  </si>
  <si>
    <t>organisation_question3_answer</t>
  </si>
  <si>
    <t>organisation_question3_score</t>
  </si>
  <si>
    <t>organisation_question4_answer</t>
  </si>
  <si>
    <t>organisation_question4_score</t>
  </si>
  <si>
    <t>organisation_question5_answer</t>
  </si>
  <si>
    <t>organisation_question5_score</t>
  </si>
  <si>
    <t>enfNotice_answer</t>
  </si>
  <si>
    <t>enfNotice_score</t>
  </si>
  <si>
    <t>caution_answer</t>
  </si>
  <si>
    <t>caution_score</t>
  </si>
  <si>
    <t>prohibit_answer</t>
  </si>
  <si>
    <t>prohibit_score</t>
  </si>
  <si>
    <t>prosecution_answer</t>
  </si>
  <si>
    <t>prosecution_score</t>
  </si>
  <si>
    <t>cat1Events</t>
  </si>
  <si>
    <t>cat2Events</t>
  </si>
  <si>
    <t>cat3Events</t>
  </si>
  <si>
    <t>cat4Events</t>
  </si>
  <si>
    <t>complianceIndex</t>
  </si>
  <si>
    <t>complianceBand</t>
  </si>
  <si>
    <t>&lt;/compliance&gt;</t>
  </si>
  <si>
    <t>&lt;/WorkDocuments&gt;</t>
  </si>
  <si>
    <t>&lt;/CorticonRequest&gt;</t>
  </si>
  <si>
    <t>&lt;compliance&gt;</t>
  </si>
  <si>
    <t>&lt;/operatorPerformance&gt;</t>
  </si>
  <si>
    <t>&lt;operatorPerformance&gt;</t>
  </si>
  <si>
    <t>&lt;/location&gt;</t>
  </si>
  <si>
    <t>&lt;location&gt;</t>
  </si>
  <si>
    <t>&lt;/complexity&gt;</t>
  </si>
  <si>
    <t>&lt;complexity&gt;</t>
  </si>
  <si>
    <t>&lt;/emissions&gt;</t>
  </si>
  <si>
    <t>&lt;emissions&gt;</t>
  </si>
  <si>
    <t>&lt;/summary&gt;</t>
  </si>
  <si>
    <t>EMS</t>
  </si>
  <si>
    <t>EMAS</t>
  </si>
  <si>
    <t>ISO14001</t>
  </si>
  <si>
    <t>Other Accredited</t>
  </si>
  <si>
    <t>ISO 9001</t>
  </si>
  <si>
    <r>
      <t xml:space="preserve">Internal/External Environment Management Systems:
Answer either Question 1 </t>
    </r>
    <r>
      <rPr>
        <b/>
        <u/>
        <sz val="10"/>
        <color indexed="8"/>
        <rFont val="Arial"/>
        <family val="2"/>
      </rPr>
      <t>or</t>
    </r>
    <r>
      <rPr>
        <b/>
        <sz val="10"/>
        <color indexed="8"/>
        <rFont val="Arial"/>
        <family val="2"/>
      </rPr>
      <t xml:space="preserve"> Question 2 
NB: If  your externally audited system is ISO9001 but you also have an internal </t>
    </r>
    <r>
      <rPr>
        <b/>
        <u/>
        <sz val="10"/>
        <color indexed="8"/>
        <rFont val="Arial"/>
        <family val="2"/>
      </rPr>
      <t>environmental management system</t>
    </r>
    <r>
      <rPr>
        <b/>
        <sz val="10"/>
        <color indexed="8"/>
        <rFont val="Arial"/>
        <family val="2"/>
      </rPr>
      <t>, you may be able to obtain a better score by providing answers to question 2</t>
    </r>
  </si>
  <si>
    <t xml:space="preserve">A09 </t>
  </si>
  <si>
    <t>Permit No:</t>
  </si>
  <si>
    <t>Do you have documented operating procedures for operations that may have an adverse impact on the environment?</t>
  </si>
  <si>
    <t xml:space="preserve">Do you have a preventative maintenance programme for items of plant whose failure could lead to impact on the environment? </t>
  </si>
  <si>
    <t>Does the preventative maintenance programme include regular checks and formal inspections of infrastructure items such as tanks, pipework, retaining walls, bunds and ducts?</t>
  </si>
  <si>
    <t xml:space="preserve">Are the reports, results and recommendations arising from your own audits made available to senior management on a regular basis? </t>
  </si>
  <si>
    <t>   Identifies all posts for which specific environmental awareness training is required; and                                                                         Identifies the scope and level to which such training is to be given?</t>
  </si>
  <si>
    <t xml:space="preserve">    the regulatory requirements associated with the Permit as they affect their roles and responsibilities; </t>
  </si>
  <si>
    <t xml:space="preserve">Do you have written procedures for handling, investigating, communicating and reporting actual or potential non compliance with operating procedures or emission limits?  </t>
  </si>
  <si>
    <t>Do you have written procedures for handling, investigating, communicating and reporting environmental complaints?</t>
  </si>
  <si>
    <t>Do you have written procedures for investigating incidents, (and near-misses) including identifying suitable corrective action and following up implementation of that action?</t>
  </si>
  <si>
    <t xml:space="preserve">Do you keep records of investigations into non compliance, complaints and incidents? Do they cover follow up actions? Do audit reports go to senior managers?  </t>
  </si>
  <si>
    <r>
      <t>If you do not operate an externally audited environmental management system but have an internal one, assess</t>
    </r>
    <r>
      <rPr>
        <sz val="10"/>
        <color indexed="8"/>
        <rFont val="Arial"/>
        <family val="2"/>
      </rPr>
      <t xml:space="preserve"> </t>
    </r>
    <r>
      <rPr>
        <b/>
        <sz val="10"/>
        <color indexed="8"/>
        <rFont val="Arial"/>
        <family val="2"/>
      </rPr>
      <t>your system against the criteria below:</t>
    </r>
  </si>
  <si>
    <t>Max = -40
Weight = 40%
Weighted Score</t>
  </si>
  <si>
    <t>Band E= less than 2  D= 2 to 3.99, C= 4 to 5.99, B= 6 to 7.99 , A= 8 to 11</t>
  </si>
  <si>
    <t>Full Surr</t>
  </si>
  <si>
    <t>Part Surr</t>
  </si>
  <si>
    <t>Full Surrender</t>
  </si>
  <si>
    <t>Part Surrender</t>
  </si>
  <si>
    <t>Subsistence</t>
  </si>
  <si>
    <t>See Charge Tables</t>
  </si>
  <si>
    <t>Date:</t>
  </si>
  <si>
    <t>    procedures to be used by supervisors or managers for the reporting of deviations from permit conditions to the Environment Agency</t>
  </si>
  <si>
    <t>If there are industry standards for training in this sector (e.g. WAMITAB) do you apply them? (If no industry standards please leave blank)</t>
  </si>
  <si>
    <t>Competence Training Total</t>
  </si>
  <si>
    <t>Do you have a certified Environmental Management System, subject to external 
audit, which covers the activities allowed by this permit? If so which one?</t>
  </si>
  <si>
    <t>Do you have an environmental policy and programme which is subject to audit by your company?</t>
  </si>
  <si>
    <t>Are there annual reports on environmental performance, objectives and targets, future planned improvements and/or do you participate in local community liaison meetings?</t>
  </si>
  <si>
    <t>Does your company produce a public environmental statement?  You may score in this box for ISO 14001 and industry systems but not for EMAS as this is a requirement for EMAS.</t>
  </si>
  <si>
    <t>Within the past 5 years have you failed to meet an improvement condition set by the Agency in a Permit or Variation by the due date, without prior agreement? (minus 2 for each failure). ADD NUMBER OF FAILURES NOT Y OR N</t>
  </si>
  <si>
    <t>Competence &amp; Training</t>
  </si>
  <si>
    <t>Emission Bands are based on total index: &lt;10=A, &lt;100=B, &lt;1000=C, &lt;10000=D, &gt;=10000=E</t>
  </si>
  <si>
    <t>Please enter the number of times relevant enforcement actions have been pursued in connection with your site.  Note: the timescales over which action remains relevant depends on the type of enforcement action and is contained in the questions below</t>
  </si>
  <si>
    <t>DD</t>
  </si>
  <si>
    <t>Converting Bands to Opra Score</t>
  </si>
  <si>
    <t>Op Perf</t>
  </si>
  <si>
    <t>Opra Spreadsheet</t>
  </si>
  <si>
    <t>for Waste Facilities</t>
  </si>
  <si>
    <r>
      <t xml:space="preserve">More than one Complexity (Site Type) is required only in circumstances where the permit in question covers a landfill activity </t>
    </r>
    <r>
      <rPr>
        <b/>
        <sz val="9"/>
        <rFont val="Arial"/>
        <family val="2"/>
      </rPr>
      <t>and</t>
    </r>
    <r>
      <rPr>
        <sz val="9"/>
        <rFont val="Arial"/>
        <family val="2"/>
      </rPr>
      <t xml:space="preserve"> a treating/keeping activity.  In all other circumstances only one site type should be entered.  Where more than one site type applies, the one carrying the highest relevant complexity band is used.</t>
    </r>
  </si>
  <si>
    <t>A26</t>
  </si>
  <si>
    <t>A27</t>
  </si>
  <si>
    <t>A19a</t>
  </si>
  <si>
    <t>F</t>
  </si>
  <si>
    <t>Nor Var</t>
  </si>
  <si>
    <t>Normal Variation</t>
  </si>
  <si>
    <t>Subsistence Multiplier</t>
  </si>
  <si>
    <t>L05</t>
  </si>
  <si>
    <t>L05-Closed</t>
  </si>
  <si>
    <t>Location Bands are based on total points: 0-4=A, 5-8=B, 9-12=C, 13-18=D, &gt;18=E</t>
  </si>
  <si>
    <t>A29</t>
  </si>
  <si>
    <t>n/a</t>
  </si>
  <si>
    <t>A13 (haz)</t>
  </si>
  <si>
    <t>A13 (non-haz)</t>
  </si>
  <si>
    <t>A16 (non-haz)</t>
  </si>
  <si>
    <t>A16a (haz)</t>
  </si>
  <si>
    <r>
      <t>Is there an</t>
    </r>
    <r>
      <rPr>
        <b/>
        <sz val="10"/>
        <rFont val="Arial"/>
        <family val="2"/>
      </rPr>
      <t xml:space="preserve"> </t>
    </r>
    <r>
      <rPr>
        <sz val="10"/>
        <rFont val="Arial"/>
        <family val="2"/>
      </rPr>
      <t>accident plan</t>
    </r>
    <r>
      <rPr>
        <b/>
        <sz val="10"/>
        <rFont val="Arial"/>
        <family val="2"/>
      </rPr>
      <t xml:space="preserve"> </t>
    </r>
    <r>
      <rPr>
        <sz val="10"/>
        <rFont val="Arial"/>
        <family val="2"/>
      </rPr>
      <t>that complies with guidance covering the following aspects of foreseeable scenarios: likelihood, consequences,actions to prevent, action to take in the event it occurs?</t>
    </r>
  </si>
  <si>
    <t xml:space="preserve">Number of Enforcement, Improvement, Works, Compliance or Restoration Notices issued in the past year by the Environment Agency under any legislation, by the Health and Safety Executive relevant to the COMAH Regulations or by local authorities under Part I of the Environmental Protection Act 1990 or relevant notice or Abatement Notices issued by local authorities or magistrates courts under Part III of the Environmental Protection Act 1990 (in all cases, other than any overturned on appeal by the Operator) </t>
  </si>
  <si>
    <t>Number of Formal Cautions, Enforcement Undertakings or Fixed Monetary Penalties issued by the Environment Agency in respect of offences under relevant legislation in the last 3 years.</t>
  </si>
  <si>
    <t xml:space="preserve">Number of Prohibition, Stop, Suspension or Revocation Notices issued by the Environment Agency under any legislation, by the HSE relevant to the COMAH Regulations or by local authorities under Part I of the Environmental Protection Act 1990, (other than any overturned on appeal by the Operator) in the last 3 years </t>
  </si>
  <si>
    <t>Number of Convictions on prosecutions brought by the Environment Agency under any legislation, by the HSE relevant to the COMAH regulations or by local authorities (in respect of offences under Parts I or III of the Environmental Protection Act 1990) in last 5 years (or 10 years where a term of imprisonment was imposed on the Operator) (other than any overturned on appeal).  Or number of any Variable Monetary Penalties issued.</t>
  </si>
  <si>
    <t>2014/15</t>
  </si>
  <si>
    <t>Wennington Quarry</t>
  </si>
  <si>
    <t>Ingrebourne Valley Limited</t>
  </si>
  <si>
    <t>EPR/FB3507SP/A001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</si>
</sst>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0.0"/>
    <numFmt numFmtId="165" formatCode="&quot;£&quot;#,##0"/>
    <numFmt numFmtId="166" formatCode="[$-809]dd\ mmmm\ yyyy;@"/>
  </numFmts>
  <fonts count="38" x14ac:knownFonts="1">
    <font>
      <sz val="10"/>
      <name val="Arial"/>
    </font>
    <font>
      <sz val="10"/>
      <name val="Arial"/>
      <family val="2"/>
    </font>
    <font>
      <b/>
      <sz val="10"/>
      <name val="Arial"/>
      <family val="2"/>
    </font>
    <font>
      <sz val="8"/>
      <color indexed="9"/>
      <name val="Arial"/>
      <family val="2"/>
    </font>
    <font>
      <b/>
      <sz val="14"/>
      <name val="Arial"/>
      <family val="2"/>
    </font>
    <font>
      <b/>
      <u/>
      <sz val="10"/>
      <name val="Arial"/>
      <family val="2"/>
    </font>
    <font>
      <sz val="10"/>
      <color indexed="9"/>
      <name val="Arial"/>
      <family val="2"/>
    </font>
    <font>
      <u/>
      <sz val="10"/>
      <color indexed="12"/>
      <name val="Arial"/>
      <family val="2"/>
    </font>
    <font>
      <b/>
      <u/>
      <sz val="10"/>
      <color indexed="12"/>
      <name val="Arial"/>
      <family val="2"/>
    </font>
    <font>
      <b/>
      <sz val="10"/>
      <color indexed="9"/>
      <name val="Arial"/>
      <family val="2"/>
    </font>
    <font>
      <b/>
      <sz val="9"/>
      <name val="Arial"/>
      <family val="2"/>
    </font>
    <font>
      <sz val="10"/>
      <color indexed="8"/>
      <name val="Arial"/>
      <family val="2"/>
    </font>
    <font>
      <sz val="10"/>
      <color indexed="8"/>
      <name val="Arial"/>
      <family val="2"/>
    </font>
    <font>
      <sz val="10"/>
      <name val="Arial"/>
      <family val="2"/>
    </font>
    <font>
      <sz val="10"/>
      <color indexed="8"/>
      <name val="MS Sans Serif"/>
      <family val="2"/>
    </font>
    <font>
      <b/>
      <i/>
      <u/>
      <sz val="10"/>
      <name val="Arial"/>
      <family val="2"/>
    </font>
    <font>
      <b/>
      <sz val="10"/>
      <color indexed="43"/>
      <name val="Arial"/>
      <family val="2"/>
    </font>
    <font>
      <sz val="8"/>
      <name val="Arial"/>
      <family val="2"/>
    </font>
    <font>
      <sz val="12"/>
      <name val="Times New Roman"/>
      <family val="1"/>
    </font>
    <font>
      <sz val="10"/>
      <name val="Times New Roman"/>
      <family val="1"/>
    </font>
    <font>
      <b/>
      <sz val="10"/>
      <color indexed="10"/>
      <name val="Arial"/>
      <family val="2"/>
    </font>
    <font>
      <b/>
      <sz val="10"/>
      <color indexed="8"/>
      <name val="Arial"/>
      <family val="2"/>
    </font>
    <font>
      <b/>
      <sz val="10"/>
      <name val="Times New Roman"/>
      <family val="1"/>
    </font>
    <font>
      <sz val="10"/>
      <color indexed="62"/>
      <name val="Arial"/>
      <family val="2"/>
    </font>
    <font>
      <b/>
      <sz val="10"/>
      <color indexed="62"/>
      <name val="Arial"/>
      <family val="2"/>
    </font>
    <font>
      <sz val="8"/>
      <color indexed="10"/>
      <name val="Arial"/>
      <family val="2"/>
    </font>
    <font>
      <sz val="8"/>
      <name val="Arial"/>
      <family val="2"/>
    </font>
    <font>
      <sz val="10"/>
      <name val="Verdana"/>
      <family val="2"/>
    </font>
    <font>
      <b/>
      <sz val="10"/>
      <name val="Verdana"/>
      <family val="2"/>
    </font>
    <font>
      <sz val="4"/>
      <name val="Arial"/>
      <family val="2"/>
    </font>
    <font>
      <sz val="10"/>
      <color indexed="9"/>
      <name val="Arial"/>
      <family val="2"/>
    </font>
    <font>
      <b/>
      <u/>
      <sz val="10"/>
      <color indexed="8"/>
      <name val="Arial"/>
      <family val="2"/>
    </font>
    <font>
      <b/>
      <sz val="8"/>
      <color indexed="81"/>
      <name val="Tahoma"/>
      <family val="2"/>
    </font>
    <font>
      <b/>
      <sz val="12"/>
      <name val="Arial"/>
      <family val="2"/>
    </font>
    <font>
      <sz val="9"/>
      <name val="Arial"/>
      <family val="2"/>
    </font>
    <font>
      <i/>
      <sz val="8"/>
      <name val="Arial"/>
      <family val="2"/>
    </font>
    <font>
      <sz val="10"/>
      <color indexed="43"/>
      <name val="Arial"/>
      <family val="2"/>
    </font>
    <font>
      <b/>
      <sz val="10"/>
      <color indexed="12"/>
      <name val="Arial"/>
      <family val="2"/>
    </font>
  </fonts>
  <fills count="9">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8"/>
        <bgColor indexed="8"/>
      </patternFill>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22"/>
        <bgColor indexed="8"/>
      </patternFill>
    </fill>
  </fills>
  <borders count="7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top/>
      <bottom style="hair">
        <color indexed="64"/>
      </bottom>
      <diagonal/>
    </border>
    <border>
      <left style="hair">
        <color indexed="64"/>
      </left>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0" fontId="18" fillId="0" borderId="0"/>
    <xf numFmtId="0" fontId="14" fillId="0" borderId="0"/>
    <xf numFmtId="0" fontId="12" fillId="0" borderId="0"/>
    <xf numFmtId="9" fontId="1" fillId="0" borderId="0" applyFont="0" applyFill="0" applyBorder="0" applyAlignment="0" applyProtection="0"/>
  </cellStyleXfs>
  <cellXfs count="352">
    <xf numFmtId="0" fontId="0" fillId="0" borderId="0" xfId="0"/>
    <xf numFmtId="0" fontId="0" fillId="2" borderId="0" xfId="0" applyFill="1"/>
    <xf numFmtId="164" fontId="0" fillId="2" borderId="2" xfId="0" applyNumberFormat="1" applyFill="1" applyBorder="1" applyAlignment="1">
      <alignment horizontal="center"/>
    </xf>
    <xf numFmtId="15" fontId="0" fillId="2" borderId="2" xfId="0" applyNumberFormat="1"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4" fillId="2" borderId="6" xfId="0" applyFont="1"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15" fontId="0" fillId="2" borderId="7" xfId="0" applyNumberFormat="1" applyFill="1" applyBorder="1"/>
    <xf numFmtId="0" fontId="3" fillId="3" borderId="2" xfId="0" applyFont="1" applyFill="1" applyBorder="1"/>
    <xf numFmtId="0" fontId="0" fillId="2" borderId="0" xfId="0" applyFill="1" applyBorder="1" applyAlignment="1">
      <alignment horizontal="center"/>
    </xf>
    <xf numFmtId="0" fontId="0" fillId="2" borderId="2" xfId="0" applyFill="1" applyBorder="1" applyAlignment="1">
      <alignment horizontal="center"/>
    </xf>
    <xf numFmtId="0" fontId="2" fillId="2" borderId="2" xfId="0" applyFont="1" applyFill="1" applyBorder="1" applyAlignment="1">
      <alignment horizontal="center"/>
    </xf>
    <xf numFmtId="0" fontId="0" fillId="2" borderId="11" xfId="0" applyFill="1" applyBorder="1"/>
    <xf numFmtId="0" fontId="2" fillId="2" borderId="0" xfId="0" applyFont="1" applyFill="1" applyBorder="1" applyAlignment="1">
      <alignment horizontal="right"/>
    </xf>
    <xf numFmtId="0" fontId="0" fillId="2" borderId="0" xfId="0" applyFill="1" applyBorder="1" applyAlignment="1">
      <alignment horizontal="right" vertical="center"/>
    </xf>
    <xf numFmtId="0" fontId="0" fillId="2" borderId="0" xfId="0" applyFill="1" applyBorder="1" applyAlignment="1">
      <alignment vertical="center"/>
    </xf>
    <xf numFmtId="0" fontId="5" fillId="2" borderId="12" xfId="0" applyFont="1" applyFill="1" applyBorder="1"/>
    <xf numFmtId="0" fontId="0" fillId="2" borderId="13" xfId="0" applyFill="1" applyBorder="1"/>
    <xf numFmtId="0" fontId="0" fillId="2" borderId="12" xfId="0" applyFill="1" applyBorder="1" applyAlignment="1">
      <alignment horizontal="right" vertical="center"/>
    </xf>
    <xf numFmtId="0" fontId="0" fillId="2" borderId="14" xfId="0" applyFill="1" applyBorder="1"/>
    <xf numFmtId="0" fontId="0" fillId="2" borderId="15" xfId="0" applyFill="1" applyBorder="1"/>
    <xf numFmtId="0" fontId="0" fillId="2" borderId="16" xfId="0" applyFill="1" applyBorder="1"/>
    <xf numFmtId="0" fontId="0" fillId="2" borderId="12" xfId="0" applyFill="1" applyBorder="1"/>
    <xf numFmtId="0" fontId="6" fillId="3" borderId="17" xfId="0" applyFont="1" applyFill="1" applyBorder="1"/>
    <xf numFmtId="0" fontId="6" fillId="3" borderId="18" xfId="0" applyFont="1" applyFill="1" applyBorder="1"/>
    <xf numFmtId="0" fontId="9" fillId="3" borderId="19" xfId="0" applyFont="1" applyFill="1" applyBorder="1" applyAlignment="1">
      <alignment vertical="center"/>
    </xf>
    <xf numFmtId="0" fontId="6" fillId="3" borderId="17" xfId="0" applyFont="1" applyFill="1" applyBorder="1" applyAlignment="1">
      <alignment vertical="center"/>
    </xf>
    <xf numFmtId="0" fontId="6" fillId="3" borderId="18" xfId="0" applyFont="1" applyFill="1" applyBorder="1" applyAlignment="1">
      <alignment vertical="center"/>
    </xf>
    <xf numFmtId="0" fontId="10" fillId="2" borderId="0" xfId="0" applyFont="1" applyFill="1" applyBorder="1" applyAlignment="1">
      <alignment horizontal="center" wrapText="1"/>
    </xf>
    <xf numFmtId="0" fontId="10" fillId="2" borderId="12" xfId="0" applyFont="1" applyFill="1" applyBorder="1" applyAlignment="1">
      <alignment horizontal="right" vertical="center"/>
    </xf>
    <xf numFmtId="0" fontId="10" fillId="2" borderId="0" xfId="0" applyFont="1" applyFill="1" applyBorder="1" applyAlignment="1">
      <alignment horizontal="right" vertical="center"/>
    </xf>
    <xf numFmtId="49" fontId="0" fillId="0" borderId="0" xfId="0" applyNumberFormat="1"/>
    <xf numFmtId="0" fontId="6" fillId="4" borderId="2" xfId="0" applyFont="1" applyFill="1" applyBorder="1" applyAlignment="1">
      <alignment horizontal="center" wrapText="1"/>
    </xf>
    <xf numFmtId="0" fontId="12" fillId="0" borderId="2" xfId="0" applyFont="1" applyFill="1" applyBorder="1" applyAlignment="1">
      <alignment horizontal="center" wrapText="1"/>
    </xf>
    <xf numFmtId="0" fontId="0" fillId="2" borderId="20" xfId="0" applyFill="1" applyBorder="1" applyAlignment="1">
      <alignment horizontal="center"/>
    </xf>
    <xf numFmtId="0" fontId="12" fillId="5" borderId="21" xfId="4" applyFont="1" applyFill="1" applyBorder="1" applyAlignment="1">
      <alignment horizontal="center"/>
    </xf>
    <xf numFmtId="0" fontId="12" fillId="0" borderId="1" xfId="4" applyFont="1" applyFill="1" applyBorder="1" applyAlignment="1">
      <alignment horizontal="left" wrapText="1"/>
    </xf>
    <xf numFmtId="0" fontId="12" fillId="0" borderId="1" xfId="4" applyFont="1" applyFill="1" applyBorder="1" applyAlignment="1">
      <alignment horizontal="right" wrapText="1"/>
    </xf>
    <xf numFmtId="0" fontId="0" fillId="2" borderId="0" xfId="0" applyFill="1" applyBorder="1" applyAlignment="1">
      <alignment horizontal="center" vertical="center"/>
    </xf>
    <xf numFmtId="0" fontId="6" fillId="2" borderId="0" xfId="0" applyFont="1" applyFill="1" applyBorder="1" applyAlignment="1">
      <alignment vertical="center"/>
    </xf>
    <xf numFmtId="0" fontId="0" fillId="2" borderId="13" xfId="0" applyFill="1" applyBorder="1" applyAlignment="1">
      <alignment horizontal="center" vertical="center"/>
    </xf>
    <xf numFmtId="0" fontId="0" fillId="2" borderId="13" xfId="0" applyFill="1" applyBorder="1" applyAlignment="1">
      <alignment vertical="center"/>
    </xf>
    <xf numFmtId="0" fontId="0" fillId="3" borderId="0" xfId="0" applyFill="1"/>
    <xf numFmtId="0" fontId="2" fillId="2" borderId="0" xfId="0" applyFont="1" applyFill="1" applyBorder="1"/>
    <xf numFmtId="0" fontId="10" fillId="2" borderId="0" xfId="0" applyFont="1" applyFill="1" applyBorder="1"/>
    <xf numFmtId="0" fontId="0" fillId="3" borderId="7" xfId="0" applyFill="1" applyBorder="1"/>
    <xf numFmtId="0" fontId="9" fillId="3" borderId="22" xfId="0" applyFont="1" applyFill="1" applyBorder="1" applyAlignment="1">
      <alignment vertical="center"/>
    </xf>
    <xf numFmtId="0" fontId="0" fillId="3" borderId="0" xfId="0" applyFill="1" applyBorder="1"/>
    <xf numFmtId="0" fontId="0" fillId="2" borderId="0" xfId="0" applyFill="1" applyBorder="1" applyAlignment="1">
      <alignment horizontal="left" vertical="center"/>
    </xf>
    <xf numFmtId="0" fontId="0" fillId="2" borderId="0" xfId="0" applyFill="1" applyBorder="1" applyAlignment="1">
      <alignment horizontal="left" vertical="center" wrapText="1"/>
    </xf>
    <xf numFmtId="0" fontId="15" fillId="2" borderId="0" xfId="0" applyFont="1" applyFill="1" applyBorder="1" applyAlignment="1">
      <alignment vertical="center"/>
    </xf>
    <xf numFmtId="0" fontId="15" fillId="2" borderId="0" xfId="0" applyFont="1" applyFill="1" applyBorder="1" applyAlignment="1">
      <alignment horizontal="left" vertical="center"/>
    </xf>
    <xf numFmtId="0" fontId="15" fillId="2" borderId="0" xfId="0" applyFont="1" applyFill="1" applyBorder="1" applyAlignment="1">
      <alignment horizontal="right" vertical="center"/>
    </xf>
    <xf numFmtId="0" fontId="5" fillId="2" borderId="0" xfId="0" applyFont="1" applyFill="1" applyBorder="1" applyAlignment="1">
      <alignment vertical="center"/>
    </xf>
    <xf numFmtId="0" fontId="15" fillId="2" borderId="0" xfId="0" applyFont="1" applyFill="1" applyAlignment="1">
      <alignment vertical="center"/>
    </xf>
    <xf numFmtId="0" fontId="11" fillId="2" borderId="0" xfId="0" applyFont="1" applyFill="1" applyBorder="1" applyAlignment="1">
      <alignment horizontal="center" vertical="center"/>
    </xf>
    <xf numFmtId="0" fontId="0" fillId="2" borderId="17" xfId="0" applyFill="1" applyBorder="1"/>
    <xf numFmtId="0" fontId="0" fillId="3" borderId="23" xfId="0" applyFill="1" applyBorder="1"/>
    <xf numFmtId="0" fontId="0" fillId="2" borderId="6" xfId="0" applyFill="1" applyBorder="1" applyAlignment="1">
      <alignment horizontal="left"/>
    </xf>
    <xf numFmtId="0" fontId="11" fillId="2" borderId="0" xfId="0" applyFont="1" applyFill="1" applyBorder="1" applyAlignment="1">
      <alignment vertical="center"/>
    </xf>
    <xf numFmtId="0" fontId="0" fillId="2" borderId="0" xfId="0" applyFill="1" applyAlignment="1">
      <alignment vertical="center"/>
    </xf>
    <xf numFmtId="0" fontId="2" fillId="2" borderId="0" xfId="0" applyFont="1" applyFill="1" applyBorder="1" applyAlignment="1">
      <alignment horizontal="right" vertical="center"/>
    </xf>
    <xf numFmtId="0" fontId="2" fillId="2" borderId="0" xfId="0" applyFont="1" applyFill="1" applyBorder="1" applyAlignment="1">
      <alignment horizontal="left" vertical="center"/>
    </xf>
    <xf numFmtId="0" fontId="6" fillId="3" borderId="0" xfId="0" applyFont="1" applyFill="1" applyBorder="1" applyAlignment="1">
      <alignment horizontal="center"/>
    </xf>
    <xf numFmtId="0" fontId="0" fillId="5" borderId="2" xfId="0" applyFill="1" applyBorder="1"/>
    <xf numFmtId="0" fontId="0" fillId="6" borderId="2" xfId="0" applyFill="1" applyBorder="1" applyAlignment="1">
      <alignment horizontal="center"/>
    </xf>
    <xf numFmtId="0" fontId="6" fillId="3" borderId="2" xfId="0" applyFont="1" applyFill="1" applyBorder="1" applyAlignment="1">
      <alignment horizontal="center"/>
    </xf>
    <xf numFmtId="165" fontId="0" fillId="2" borderId="2" xfId="0" applyNumberFormat="1" applyFill="1" applyBorder="1"/>
    <xf numFmtId="0" fontId="6" fillId="3" borderId="0" xfId="0" applyFont="1" applyFill="1"/>
    <xf numFmtId="0" fontId="6" fillId="3" borderId="2" xfId="0" applyFont="1" applyFill="1" applyBorder="1"/>
    <xf numFmtId="165" fontId="0" fillId="0" borderId="2" xfId="0" applyNumberFormat="1" applyBorder="1"/>
    <xf numFmtId="0" fontId="0" fillId="0" borderId="2" xfId="0" applyBorder="1" applyAlignment="1">
      <alignment horizontal="center"/>
    </xf>
    <xf numFmtId="0" fontId="0" fillId="2" borderId="19" xfId="0" applyFill="1" applyBorder="1"/>
    <xf numFmtId="49" fontId="0" fillId="2" borderId="12" xfId="0" applyNumberFormat="1" applyFill="1" applyBorder="1"/>
    <xf numFmtId="0" fontId="12" fillId="7" borderId="12" xfId="0" applyFont="1" applyFill="1" applyBorder="1" applyAlignment="1">
      <alignment horizontal="left" wrapText="1"/>
    </xf>
    <xf numFmtId="0" fontId="17" fillId="2" borderId="14" xfId="0" applyFont="1" applyFill="1" applyBorder="1"/>
    <xf numFmtId="0" fontId="17" fillId="2" borderId="9" xfId="0" applyFont="1" applyFill="1" applyBorder="1"/>
    <xf numFmtId="3" fontId="13" fillId="6" borderId="11" xfId="0" applyNumberFormat="1" applyFont="1" applyFill="1" applyBorder="1" applyProtection="1">
      <protection locked="0"/>
    </xf>
    <xf numFmtId="0" fontId="0" fillId="2" borderId="0" xfId="0" applyFill="1" applyBorder="1" applyAlignment="1" applyProtection="1">
      <alignment vertical="center"/>
      <protection locked="0"/>
    </xf>
    <xf numFmtId="0" fontId="0" fillId="2" borderId="0" xfId="0" applyFill="1" applyBorder="1" applyAlignment="1" applyProtection="1">
      <alignment horizontal="left" vertical="center" wrapText="1"/>
      <protection locked="0"/>
    </xf>
    <xf numFmtId="0" fontId="0" fillId="2" borderId="0" xfId="0" applyFill="1" applyBorder="1" applyAlignment="1" applyProtection="1">
      <alignment horizontal="center" vertical="center"/>
      <protection locked="0"/>
    </xf>
    <xf numFmtId="0" fontId="2" fillId="0" borderId="24" xfId="3" applyFont="1" applyBorder="1" applyAlignment="1" applyProtection="1">
      <alignment horizontal="center" vertical="top"/>
      <protection locked="0" hidden="1"/>
    </xf>
    <xf numFmtId="0" fontId="2" fillId="0" borderId="25" xfId="3" applyFont="1" applyBorder="1" applyAlignment="1" applyProtection="1">
      <alignment horizontal="center" vertical="top"/>
      <protection locked="0" hidden="1"/>
    </xf>
    <xf numFmtId="0" fontId="0" fillId="0" borderId="0" xfId="0" applyAlignment="1"/>
    <xf numFmtId="0" fontId="6" fillId="0" borderId="0" xfId="0" applyFont="1"/>
    <xf numFmtId="0" fontId="19" fillId="2" borderId="6" xfId="3" applyFont="1" applyFill="1" applyBorder="1" applyProtection="1">
      <protection hidden="1"/>
    </xf>
    <xf numFmtId="0" fontId="13" fillId="2" borderId="26" xfId="3" applyFont="1" applyFill="1" applyBorder="1" applyAlignment="1" applyProtection="1">
      <alignment vertical="top" wrapText="1"/>
      <protection hidden="1"/>
    </xf>
    <xf numFmtId="0" fontId="13" fillId="2" borderId="24" xfId="3" applyFont="1" applyFill="1" applyBorder="1" applyAlignment="1" applyProtection="1">
      <alignment vertical="top" wrapText="1"/>
      <protection hidden="1"/>
    </xf>
    <xf numFmtId="0" fontId="2" fillId="2" borderId="27" xfId="3" applyFont="1" applyFill="1" applyBorder="1" applyAlignment="1" applyProtection="1">
      <alignment vertical="top"/>
      <protection hidden="1"/>
    </xf>
    <xf numFmtId="0" fontId="2" fillId="2" borderId="27" xfId="3" applyFont="1" applyFill="1" applyBorder="1" applyAlignment="1" applyProtection="1">
      <alignment horizontal="center" vertical="top"/>
      <protection hidden="1"/>
    </xf>
    <xf numFmtId="0" fontId="13" fillId="2" borderId="28" xfId="3" applyFont="1" applyFill="1" applyBorder="1" applyAlignment="1" applyProtection="1">
      <alignment vertical="top"/>
      <protection hidden="1"/>
    </xf>
    <xf numFmtId="0" fontId="6" fillId="2" borderId="28" xfId="3" applyFont="1" applyFill="1" applyBorder="1" applyAlignment="1" applyProtection="1">
      <alignment horizontal="center" vertical="top"/>
      <protection hidden="1"/>
    </xf>
    <xf numFmtId="2" fontId="9" fillId="2" borderId="28" xfId="3" applyNumberFormat="1" applyFont="1" applyFill="1" applyBorder="1" applyAlignment="1" applyProtection="1">
      <alignment vertical="top" wrapText="1"/>
      <protection hidden="1"/>
    </xf>
    <xf numFmtId="0" fontId="2" fillId="2" borderId="28" xfId="3" applyFont="1" applyFill="1" applyBorder="1" applyAlignment="1" applyProtection="1">
      <alignment horizontal="center" vertical="top" wrapText="1"/>
      <protection hidden="1"/>
    </xf>
    <xf numFmtId="0" fontId="13" fillId="2" borderId="29" xfId="3" applyFont="1" applyFill="1" applyBorder="1" applyAlignment="1" applyProtection="1">
      <alignment vertical="top" wrapText="1"/>
      <protection hidden="1"/>
    </xf>
    <xf numFmtId="0" fontId="13" fillId="2" borderId="30" xfId="3" applyFont="1" applyFill="1" applyBorder="1" applyAlignment="1" applyProtection="1">
      <alignment horizontal="left" vertical="top" wrapText="1" indent="2"/>
      <protection hidden="1"/>
    </xf>
    <xf numFmtId="0" fontId="13" fillId="2" borderId="24" xfId="3" applyFont="1" applyFill="1" applyBorder="1" applyAlignment="1" applyProtection="1">
      <alignment horizontal="left" vertical="top" wrapText="1" indent="2"/>
      <protection hidden="1"/>
    </xf>
    <xf numFmtId="0" fontId="2" fillId="2" borderId="27" xfId="3" applyFont="1" applyFill="1" applyBorder="1" applyAlignment="1" applyProtection="1">
      <alignment vertical="top" wrapText="1"/>
      <protection hidden="1"/>
    </xf>
    <xf numFmtId="0" fontId="2" fillId="2" borderId="28" xfId="3" applyFont="1" applyFill="1" applyBorder="1" applyAlignment="1" applyProtection="1">
      <alignment vertical="top" wrapText="1"/>
      <protection hidden="1"/>
    </xf>
    <xf numFmtId="0" fontId="2" fillId="2" borderId="31" xfId="3" applyFont="1" applyFill="1" applyBorder="1" applyAlignment="1" applyProtection="1">
      <alignment horizontal="center" vertical="top"/>
      <protection hidden="1"/>
    </xf>
    <xf numFmtId="2" fontId="2" fillId="2" borderId="28" xfId="3" applyNumberFormat="1" applyFont="1" applyFill="1" applyBorder="1" applyAlignment="1" applyProtection="1">
      <alignment vertical="top" wrapText="1"/>
      <protection hidden="1"/>
    </xf>
    <xf numFmtId="0" fontId="2" fillId="2" borderId="27" xfId="3" applyFont="1" applyFill="1" applyBorder="1" applyAlignment="1" applyProtection="1">
      <alignment horizontal="center" vertical="top" wrapText="1"/>
      <protection hidden="1"/>
    </xf>
    <xf numFmtId="0" fontId="0" fillId="2" borderId="28" xfId="0" applyFill="1" applyBorder="1"/>
    <xf numFmtId="0" fontId="23" fillId="2" borderId="28" xfId="0" applyFont="1" applyFill="1" applyBorder="1" applyAlignment="1">
      <alignment horizontal="right"/>
    </xf>
    <xf numFmtId="0" fontId="24" fillId="2" borderId="28" xfId="0" applyFont="1" applyFill="1" applyBorder="1" applyAlignment="1">
      <alignment horizontal="center"/>
    </xf>
    <xf numFmtId="0" fontId="13" fillId="2" borderId="32" xfId="3" applyFont="1" applyFill="1" applyBorder="1" applyAlignment="1" applyProtection="1">
      <alignment horizontal="left" vertical="top" wrapText="1" indent="2"/>
      <protection hidden="1"/>
    </xf>
    <xf numFmtId="0" fontId="13" fillId="2" borderId="33" xfId="3" applyFont="1" applyFill="1" applyBorder="1" applyAlignment="1" applyProtection="1">
      <alignment vertical="top" wrapText="1"/>
      <protection hidden="1"/>
    </xf>
    <xf numFmtId="0" fontId="2" fillId="0" borderId="26" xfId="3" applyFont="1" applyBorder="1" applyAlignment="1" applyProtection="1">
      <alignment horizontal="center" vertical="center"/>
      <protection locked="0" hidden="1"/>
    </xf>
    <xf numFmtId="0" fontId="2" fillId="0" borderId="24" xfId="3" applyFont="1" applyBorder="1" applyAlignment="1" applyProtection="1">
      <alignment horizontal="center" vertical="center"/>
      <protection locked="0" hidden="1"/>
    </xf>
    <xf numFmtId="0" fontId="2" fillId="2" borderId="31" xfId="3" applyFont="1" applyFill="1" applyBorder="1" applyAlignment="1" applyProtection="1">
      <alignment horizontal="center" vertical="center"/>
      <protection hidden="1"/>
    </xf>
    <xf numFmtId="0" fontId="2" fillId="0" borderId="33" xfId="3" applyFont="1" applyBorder="1" applyAlignment="1" applyProtection="1">
      <alignment horizontal="center" vertical="center"/>
      <protection locked="0" hidden="1"/>
    </xf>
    <xf numFmtId="0" fontId="21" fillId="2" borderId="31" xfId="3" applyFont="1" applyFill="1" applyBorder="1" applyAlignment="1" applyProtection="1">
      <alignment horizontal="right" vertical="top" wrapText="1"/>
      <protection hidden="1"/>
    </xf>
    <xf numFmtId="0" fontId="11" fillId="2" borderId="24" xfId="3" applyFont="1" applyFill="1" applyBorder="1" applyAlignment="1" applyProtection="1">
      <alignment horizontal="left" vertical="top" wrapText="1" indent="3"/>
      <protection hidden="1"/>
    </xf>
    <xf numFmtId="0" fontId="11" fillId="2" borderId="31" xfId="3" applyFont="1" applyFill="1" applyBorder="1" applyAlignment="1" applyProtection="1">
      <alignment horizontal="left" vertical="top" wrapText="1" indent="3"/>
      <protection hidden="1"/>
    </xf>
    <xf numFmtId="0" fontId="13" fillId="2" borderId="34" xfId="3" applyFont="1" applyFill="1" applyBorder="1" applyAlignment="1" applyProtection="1">
      <alignment horizontal="left" vertical="top" wrapText="1" indent="2"/>
      <protection hidden="1"/>
    </xf>
    <xf numFmtId="0" fontId="13" fillId="2" borderId="25" xfId="3" applyFont="1" applyFill="1" applyBorder="1" applyAlignment="1" applyProtection="1">
      <alignment vertical="top" wrapText="1"/>
      <protection hidden="1"/>
    </xf>
    <xf numFmtId="0" fontId="2" fillId="2" borderId="35" xfId="3" applyFont="1" applyFill="1" applyBorder="1" applyAlignment="1" applyProtection="1">
      <alignment horizontal="center" vertical="top" wrapText="1"/>
      <protection hidden="1"/>
    </xf>
    <xf numFmtId="0" fontId="2" fillId="2" borderId="17" xfId="3" applyFont="1" applyFill="1" applyBorder="1" applyAlignment="1" applyProtection="1">
      <alignment horizontal="center" vertical="top" wrapText="1"/>
      <protection hidden="1"/>
    </xf>
    <xf numFmtId="0" fontId="2" fillId="2" borderId="0" xfId="3" applyFont="1" applyFill="1" applyBorder="1" applyAlignment="1" applyProtection="1">
      <alignment horizontal="right" vertical="top" wrapText="1"/>
      <protection hidden="1"/>
    </xf>
    <xf numFmtId="0" fontId="2" fillId="2" borderId="0" xfId="3" applyFont="1" applyFill="1" applyBorder="1" applyAlignment="1" applyProtection="1">
      <alignment horizontal="center" vertical="top" wrapText="1"/>
      <protection hidden="1"/>
    </xf>
    <xf numFmtId="2" fontId="2" fillId="2" borderId="0" xfId="3" applyNumberFormat="1" applyFont="1" applyFill="1" applyBorder="1" applyAlignment="1" applyProtection="1">
      <alignment vertical="top" wrapText="1"/>
      <protection hidden="1"/>
    </xf>
    <xf numFmtId="0" fontId="19" fillId="2" borderId="8" xfId="3" applyFont="1" applyFill="1" applyBorder="1" applyProtection="1">
      <protection hidden="1"/>
    </xf>
    <xf numFmtId="0" fontId="2" fillId="2" borderId="36" xfId="3" applyFont="1" applyFill="1" applyBorder="1" applyAlignment="1" applyProtection="1">
      <alignment horizontal="left" vertical="top" wrapText="1"/>
      <protection hidden="1"/>
    </xf>
    <xf numFmtId="0" fontId="13" fillId="2" borderId="30" xfId="3" applyFont="1" applyFill="1" applyBorder="1" applyAlignment="1" applyProtection="1">
      <alignment horizontal="left" vertical="top" wrapText="1"/>
      <protection hidden="1"/>
    </xf>
    <xf numFmtId="0" fontId="13" fillId="2" borderId="31" xfId="3" applyFont="1" applyFill="1" applyBorder="1" applyAlignment="1" applyProtection="1">
      <alignment horizontal="left" vertical="top" wrapText="1"/>
      <protection hidden="1"/>
    </xf>
    <xf numFmtId="15" fontId="13" fillId="2" borderId="37" xfId="3" applyNumberFormat="1" applyFont="1" applyFill="1" applyBorder="1" applyAlignment="1" applyProtection="1">
      <alignment horizontal="center" vertical="top" wrapText="1"/>
      <protection locked="0"/>
    </xf>
    <xf numFmtId="0" fontId="2" fillId="6" borderId="30" xfId="3" applyFont="1" applyFill="1" applyBorder="1" applyAlignment="1" applyProtection="1">
      <alignment horizontal="center" vertical="top"/>
      <protection locked="0" hidden="1"/>
    </xf>
    <xf numFmtId="0" fontId="2" fillId="6" borderId="31" xfId="3" applyFont="1" applyFill="1" applyBorder="1" applyAlignment="1" applyProtection="1">
      <alignment horizontal="center" vertical="top"/>
      <protection locked="0" hidden="1"/>
    </xf>
    <xf numFmtId="15" fontId="13" fillId="2" borderId="37" xfId="3" applyNumberFormat="1" applyFont="1" applyFill="1" applyBorder="1" applyAlignment="1" applyProtection="1">
      <alignment horizontal="center" vertical="top" wrapText="1"/>
    </xf>
    <xf numFmtId="0" fontId="13" fillId="2" borderId="27" xfId="3" applyFont="1" applyFill="1" applyBorder="1" applyAlignment="1" applyProtection="1">
      <alignment horizontal="left" vertical="top" wrapText="1"/>
      <protection hidden="1"/>
    </xf>
    <xf numFmtId="1" fontId="13" fillId="2" borderId="31" xfId="3" applyNumberFormat="1" applyFont="1" applyFill="1" applyBorder="1" applyAlignment="1" applyProtection="1">
      <alignment horizontal="center" vertical="top" wrapText="1"/>
      <protection hidden="1"/>
    </xf>
    <xf numFmtId="1" fontId="13" fillId="2" borderId="27" xfId="3" applyNumberFormat="1" applyFont="1" applyFill="1" applyBorder="1" applyAlignment="1" applyProtection="1">
      <alignment horizontal="center" vertical="top" wrapText="1"/>
      <protection hidden="1"/>
    </xf>
    <xf numFmtId="0" fontId="13" fillId="2" borderId="0" xfId="3" applyFont="1" applyFill="1" applyBorder="1" applyAlignment="1" applyProtection="1">
      <alignment vertical="top"/>
      <protection hidden="1"/>
    </xf>
    <xf numFmtId="0" fontId="13" fillId="2" borderId="15" xfId="3" applyFont="1" applyFill="1" applyBorder="1" applyAlignment="1" applyProtection="1">
      <alignment vertical="top"/>
      <protection hidden="1"/>
    </xf>
    <xf numFmtId="0" fontId="13" fillId="2" borderId="28" xfId="3" applyFont="1" applyFill="1" applyBorder="1" applyAlignment="1" applyProtection="1">
      <alignment horizontal="left" vertical="top" wrapText="1"/>
      <protection hidden="1"/>
    </xf>
    <xf numFmtId="0" fontId="13" fillId="2" borderId="38" xfId="3" applyFont="1" applyFill="1" applyBorder="1" applyAlignment="1" applyProtection="1">
      <alignment horizontal="left" vertical="top"/>
      <protection hidden="1"/>
    </xf>
    <xf numFmtId="0" fontId="0" fillId="0" borderId="0" xfId="0" applyFill="1" applyBorder="1"/>
    <xf numFmtId="0" fontId="0" fillId="2" borderId="38" xfId="0" applyFill="1" applyBorder="1"/>
    <xf numFmtId="0" fontId="0" fillId="2" borderId="38" xfId="0" applyFill="1" applyBorder="1" applyAlignment="1">
      <alignment vertical="center"/>
    </xf>
    <xf numFmtId="1" fontId="13" fillId="2" borderId="26" xfId="3" applyNumberFormat="1" applyFont="1" applyFill="1" applyBorder="1" applyAlignment="1" applyProtection="1">
      <alignment horizontal="center" vertical="center" wrapText="1"/>
      <protection hidden="1"/>
    </xf>
    <xf numFmtId="1" fontId="2" fillId="2" borderId="27" xfId="3" applyNumberFormat="1" applyFont="1" applyFill="1" applyBorder="1" applyAlignment="1" applyProtection="1">
      <alignment horizontal="center" vertical="top"/>
      <protection hidden="1"/>
    </xf>
    <xf numFmtId="1" fontId="13" fillId="2" borderId="24" xfId="3" applyNumberFormat="1" applyFont="1" applyFill="1" applyBorder="1" applyAlignment="1" applyProtection="1">
      <alignment horizontal="center" vertical="center" wrapText="1"/>
      <protection hidden="1"/>
    </xf>
    <xf numFmtId="1" fontId="2" fillId="2" borderId="27" xfId="3" applyNumberFormat="1" applyFont="1" applyFill="1" applyBorder="1" applyAlignment="1" applyProtection="1">
      <alignment horizontal="center" vertical="top" wrapText="1"/>
      <protection hidden="1"/>
    </xf>
    <xf numFmtId="0" fontId="0" fillId="2" borderId="28" xfId="0" applyFill="1" applyBorder="1" applyAlignment="1"/>
    <xf numFmtId="0" fontId="13" fillId="2" borderId="4" xfId="0" applyFont="1" applyFill="1" applyBorder="1" applyAlignment="1">
      <alignment horizontal="right"/>
    </xf>
    <xf numFmtId="0" fontId="24" fillId="2" borderId="4" xfId="0" applyFont="1" applyFill="1" applyBorder="1" applyAlignment="1">
      <alignment horizontal="center"/>
    </xf>
    <xf numFmtId="0" fontId="0" fillId="2" borderId="4" xfId="0" applyFill="1" applyBorder="1" applyAlignment="1"/>
    <xf numFmtId="0" fontId="0" fillId="2" borderId="39" xfId="0" applyFill="1" applyBorder="1"/>
    <xf numFmtId="0" fontId="0" fillId="2" borderId="40" xfId="0" applyFill="1" applyBorder="1"/>
    <xf numFmtId="0" fontId="0" fillId="2" borderId="23" xfId="0" applyFill="1" applyBorder="1"/>
    <xf numFmtId="0" fontId="10" fillId="2" borderId="23" xfId="0" applyFont="1" applyFill="1" applyBorder="1" applyAlignment="1">
      <alignment vertical="center"/>
    </xf>
    <xf numFmtId="164" fontId="2" fillId="2" borderId="35" xfId="0" applyNumberFormat="1" applyFont="1" applyFill="1" applyBorder="1" applyAlignment="1">
      <alignment horizontal="center" vertical="center"/>
    </xf>
    <xf numFmtId="0" fontId="0" fillId="2" borderId="41" xfId="0" applyFill="1" applyBorder="1"/>
    <xf numFmtId="0" fontId="0" fillId="2" borderId="22" xfId="0" applyFill="1" applyBorder="1"/>
    <xf numFmtId="0" fontId="10" fillId="2" borderId="13" xfId="0" applyFont="1" applyFill="1" applyBorder="1" applyAlignment="1">
      <alignment vertical="center"/>
    </xf>
    <xf numFmtId="164" fontId="2" fillId="2" borderId="16" xfId="0" applyNumberFormat="1" applyFont="1" applyFill="1" applyBorder="1" applyAlignment="1">
      <alignment horizontal="center" vertical="center"/>
    </xf>
    <xf numFmtId="0" fontId="2" fillId="2" borderId="18" xfId="3" applyFont="1" applyFill="1" applyBorder="1" applyAlignment="1" applyProtection="1">
      <alignment horizontal="center" vertical="top" wrapText="1"/>
      <protection hidden="1"/>
    </xf>
    <xf numFmtId="0" fontId="2" fillId="2" borderId="13" xfId="3" applyFont="1" applyFill="1" applyBorder="1" applyAlignment="1" applyProtection="1">
      <alignment horizontal="center" vertical="top" wrapText="1"/>
      <protection hidden="1"/>
    </xf>
    <xf numFmtId="15" fontId="13" fillId="2" borderId="42" xfId="3" applyNumberFormat="1" applyFont="1" applyFill="1" applyBorder="1" applyAlignment="1" applyProtection="1">
      <alignment horizontal="center" vertical="top" wrapText="1"/>
      <protection locked="0"/>
    </xf>
    <xf numFmtId="0" fontId="13" fillId="2" borderId="7" xfId="3" applyFont="1" applyFill="1" applyBorder="1" applyAlignment="1" applyProtection="1">
      <alignment vertical="top"/>
      <protection hidden="1"/>
    </xf>
    <xf numFmtId="0" fontId="20" fillId="2" borderId="7" xfId="3" applyFont="1" applyFill="1" applyBorder="1" applyAlignment="1" applyProtection="1">
      <alignment horizontal="center" vertical="top" wrapText="1"/>
      <protection hidden="1"/>
    </xf>
    <xf numFmtId="0" fontId="13" fillId="2" borderId="9" xfId="3" applyFont="1" applyFill="1" applyBorder="1" applyAlignment="1" applyProtection="1">
      <alignment vertical="top"/>
      <protection hidden="1"/>
    </xf>
    <xf numFmtId="0" fontId="13" fillId="2" borderId="9" xfId="3" applyFont="1" applyFill="1" applyBorder="1" applyAlignment="1" applyProtection="1">
      <alignment horizontal="center" vertical="top"/>
      <protection hidden="1"/>
    </xf>
    <xf numFmtId="2" fontId="13" fillId="2" borderId="9" xfId="3" applyNumberFormat="1" applyFont="1" applyFill="1" applyBorder="1" applyAlignment="1" applyProtection="1">
      <alignment vertical="top"/>
      <protection hidden="1"/>
    </xf>
    <xf numFmtId="0" fontId="13" fillId="2" borderId="10" xfId="3" applyFont="1" applyFill="1" applyBorder="1" applyAlignment="1" applyProtection="1">
      <alignment vertical="top"/>
      <protection hidden="1"/>
    </xf>
    <xf numFmtId="1" fontId="13" fillId="2" borderId="43" xfId="3" applyNumberFormat="1" applyFont="1" applyFill="1" applyBorder="1" applyAlignment="1" applyProtection="1">
      <alignment horizontal="center" vertical="center" wrapText="1"/>
      <protection hidden="1"/>
    </xf>
    <xf numFmtId="1" fontId="13" fillId="2" borderId="44" xfId="3" applyNumberFormat="1" applyFont="1" applyFill="1" applyBorder="1" applyAlignment="1" applyProtection="1">
      <alignment horizontal="center" vertical="center" wrapText="1"/>
      <protection hidden="1"/>
    </xf>
    <xf numFmtId="1" fontId="2" fillId="2" borderId="45" xfId="3" applyNumberFormat="1" applyFont="1" applyFill="1" applyBorder="1" applyAlignment="1" applyProtection="1">
      <alignment horizontal="center" vertical="top" wrapText="1"/>
      <protection hidden="1"/>
    </xf>
    <xf numFmtId="1" fontId="2" fillId="2" borderId="46" xfId="3" applyNumberFormat="1" applyFont="1" applyFill="1" applyBorder="1" applyAlignment="1" applyProtection="1">
      <alignment horizontal="center" vertical="top" wrapText="1"/>
      <protection hidden="1"/>
    </xf>
    <xf numFmtId="1" fontId="13" fillId="2" borderId="47" xfId="3" applyNumberFormat="1" applyFont="1" applyFill="1" applyBorder="1" applyAlignment="1" applyProtection="1">
      <alignment horizontal="center" vertical="top" wrapText="1"/>
      <protection hidden="1"/>
    </xf>
    <xf numFmtId="0" fontId="11" fillId="2" borderId="48" xfId="3" applyFont="1" applyFill="1" applyBorder="1" applyAlignment="1" applyProtection="1">
      <alignment horizontal="left" vertical="top" wrapText="1" indent="2"/>
      <protection hidden="1"/>
    </xf>
    <xf numFmtId="0" fontId="11" fillId="2" borderId="36" xfId="3" applyFont="1" applyFill="1" applyBorder="1" applyAlignment="1" applyProtection="1">
      <alignment horizontal="left" vertical="top" wrapText="1" indent="2"/>
      <protection hidden="1"/>
    </xf>
    <xf numFmtId="0" fontId="11" fillId="2" borderId="49" xfId="3" applyFont="1" applyFill="1" applyBorder="1" applyAlignment="1" applyProtection="1">
      <alignment horizontal="left" vertical="top" wrapText="1" indent="2"/>
      <protection hidden="1"/>
    </xf>
    <xf numFmtId="0" fontId="21" fillId="2" borderId="38" xfId="3" applyFont="1" applyFill="1" applyBorder="1" applyAlignment="1" applyProtection="1">
      <alignment horizontal="left" vertical="top" wrapText="1"/>
      <protection hidden="1"/>
    </xf>
    <xf numFmtId="1" fontId="13" fillId="2" borderId="46" xfId="3" applyNumberFormat="1" applyFont="1" applyFill="1" applyBorder="1" applyAlignment="1" applyProtection="1">
      <alignment horizontal="center" vertical="center" wrapText="1"/>
      <protection hidden="1"/>
    </xf>
    <xf numFmtId="1" fontId="13" fillId="2" borderId="47" xfId="3" applyNumberFormat="1" applyFont="1" applyFill="1" applyBorder="1" applyAlignment="1" applyProtection="1">
      <alignment horizontal="center" vertical="center" wrapText="1"/>
      <protection hidden="1"/>
    </xf>
    <xf numFmtId="164" fontId="2" fillId="2" borderId="2" xfId="3" applyNumberFormat="1" applyFont="1" applyFill="1" applyBorder="1" applyAlignment="1" applyProtection="1">
      <alignment horizontal="center" vertical="top" wrapText="1"/>
      <protection hidden="1"/>
    </xf>
    <xf numFmtId="0" fontId="19" fillId="2" borderId="50" xfId="3" applyFont="1" applyFill="1" applyBorder="1" applyProtection="1">
      <protection hidden="1"/>
    </xf>
    <xf numFmtId="0" fontId="2" fillId="2" borderId="38" xfId="3" applyFont="1" applyFill="1" applyBorder="1" applyAlignment="1" applyProtection="1">
      <alignment horizontal="left" vertical="top" wrapText="1"/>
      <protection hidden="1"/>
    </xf>
    <xf numFmtId="9" fontId="2" fillId="2" borderId="0" xfId="3" applyNumberFormat="1" applyFont="1" applyFill="1" applyBorder="1" applyAlignment="1" applyProtection="1">
      <alignment horizontal="right" vertical="top"/>
      <protection hidden="1"/>
    </xf>
    <xf numFmtId="0" fontId="16" fillId="3" borderId="2" xfId="0" applyFont="1" applyFill="1" applyBorder="1" applyAlignment="1">
      <alignment horizontal="center" vertical="center"/>
    </xf>
    <xf numFmtId="0" fontId="2" fillId="2" borderId="2" xfId="3" applyFont="1" applyFill="1" applyBorder="1" applyAlignment="1" applyProtection="1">
      <alignment horizontal="right" vertical="center"/>
      <protection hidden="1"/>
    </xf>
    <xf numFmtId="164" fontId="2" fillId="2" borderId="40" xfId="0" applyNumberFormat="1" applyFont="1" applyFill="1" applyBorder="1" applyAlignment="1">
      <alignment horizontal="center" vertical="center"/>
    </xf>
    <xf numFmtId="9" fontId="13" fillId="2" borderId="17" xfId="3" applyNumberFormat="1" applyFont="1" applyFill="1" applyBorder="1" applyAlignment="1" applyProtection="1">
      <alignment horizontal="right" vertical="top"/>
      <protection hidden="1"/>
    </xf>
    <xf numFmtId="2" fontId="13" fillId="2" borderId="18" xfId="3" applyNumberFormat="1" applyFont="1" applyFill="1" applyBorder="1" applyAlignment="1" applyProtection="1">
      <alignment vertical="top"/>
      <protection hidden="1"/>
    </xf>
    <xf numFmtId="2" fontId="13" fillId="2" borderId="13" xfId="3" applyNumberFormat="1" applyFont="1" applyFill="1" applyBorder="1" applyAlignment="1" applyProtection="1">
      <alignment vertical="top"/>
      <protection hidden="1"/>
    </xf>
    <xf numFmtId="9" fontId="13" fillId="2" borderId="15" xfId="3" applyNumberFormat="1" applyFont="1" applyFill="1" applyBorder="1" applyAlignment="1" applyProtection="1">
      <alignment horizontal="right" vertical="top"/>
      <protection hidden="1"/>
    </xf>
    <xf numFmtId="2" fontId="13" fillId="2" borderId="16" xfId="3" applyNumberFormat="1" applyFont="1" applyFill="1" applyBorder="1" applyAlignment="1" applyProtection="1">
      <alignment vertical="top"/>
      <protection hidden="1"/>
    </xf>
    <xf numFmtId="0" fontId="25" fillId="2" borderId="6" xfId="3" applyFont="1" applyFill="1" applyBorder="1" applyAlignment="1" applyProtection="1">
      <alignment horizontal="center" vertical="center"/>
      <protection hidden="1"/>
    </xf>
    <xf numFmtId="0" fontId="0" fillId="2" borderId="2" xfId="0" applyFill="1" applyBorder="1" applyAlignment="1"/>
    <xf numFmtId="0" fontId="0" fillId="2" borderId="20" xfId="0" applyFill="1" applyBorder="1" applyAlignment="1"/>
    <xf numFmtId="0" fontId="2" fillId="2" borderId="51" xfId="0" applyFont="1" applyFill="1" applyBorder="1"/>
    <xf numFmtId="0" fontId="0" fillId="2" borderId="52" xfId="0" applyFill="1" applyBorder="1" applyAlignment="1"/>
    <xf numFmtId="0" fontId="0" fillId="2" borderId="52" xfId="0" applyFill="1" applyBorder="1"/>
    <xf numFmtId="0" fontId="0" fillId="2" borderId="53" xfId="0" applyFill="1" applyBorder="1"/>
    <xf numFmtId="0" fontId="0" fillId="2" borderId="54" xfId="0" applyFill="1" applyBorder="1"/>
    <xf numFmtId="164" fontId="0" fillId="2" borderId="55" xfId="0" applyNumberFormat="1" applyFill="1" applyBorder="1"/>
    <xf numFmtId="0" fontId="0" fillId="2" borderId="56" xfId="0" applyFill="1" applyBorder="1"/>
    <xf numFmtId="0" fontId="0" fillId="2" borderId="57" xfId="0" applyFill="1" applyBorder="1" applyAlignment="1"/>
    <xf numFmtId="0" fontId="0" fillId="2" borderId="57" xfId="0" applyFill="1" applyBorder="1"/>
    <xf numFmtId="164" fontId="0" fillId="2" borderId="58" xfId="0" applyNumberFormat="1" applyFill="1" applyBorder="1"/>
    <xf numFmtId="164" fontId="0" fillId="0" borderId="0" xfId="0" applyNumberFormat="1"/>
    <xf numFmtId="0" fontId="2" fillId="0" borderId="0" xfId="0" applyNumberFormat="1" applyFont="1"/>
    <xf numFmtId="0" fontId="0" fillId="0" borderId="0" xfId="0" applyNumberFormat="1"/>
    <xf numFmtId="0" fontId="12" fillId="5" borderId="21" xfId="0" applyNumberFormat="1" applyFont="1" applyFill="1" applyBorder="1" applyAlignment="1">
      <alignment horizontal="center"/>
    </xf>
    <xf numFmtId="1" fontId="0" fillId="0" borderId="0" xfId="0" applyNumberFormat="1"/>
    <xf numFmtId="0" fontId="0" fillId="0" borderId="0" xfId="0" applyBorder="1" applyAlignment="1">
      <alignment horizontal="center"/>
    </xf>
    <xf numFmtId="0" fontId="0" fillId="0" borderId="0" xfId="0" applyAlignment="1">
      <alignment horizontal="left" vertical="top" wrapText="1"/>
    </xf>
    <xf numFmtId="0" fontId="12" fillId="0" borderId="1" xfId="0" applyFont="1" applyFill="1" applyBorder="1" applyAlignment="1">
      <alignment wrapText="1"/>
    </xf>
    <xf numFmtId="0" fontId="27" fillId="0" borderId="0" xfId="0" applyFont="1"/>
    <xf numFmtId="1" fontId="12" fillId="0" borderId="1" xfId="0" applyNumberFormat="1" applyFont="1" applyFill="1" applyBorder="1" applyAlignment="1">
      <alignment wrapText="1"/>
    </xf>
    <xf numFmtId="2" fontId="12" fillId="0" borderId="1" xfId="0" applyNumberFormat="1" applyFont="1" applyFill="1" applyBorder="1" applyAlignment="1">
      <alignment wrapText="1"/>
    </xf>
    <xf numFmtId="3" fontId="12" fillId="0" borderId="1" xfId="0" applyNumberFormat="1" applyFont="1" applyFill="1" applyBorder="1" applyAlignment="1">
      <alignment wrapText="1"/>
    </xf>
    <xf numFmtId="0" fontId="30" fillId="0" borderId="0" xfId="0" applyFont="1"/>
    <xf numFmtId="0" fontId="30" fillId="3" borderId="0" xfId="0" applyFont="1" applyFill="1"/>
    <xf numFmtId="0" fontId="30" fillId="3" borderId="40" xfId="0" applyFont="1" applyFill="1" applyBorder="1" applyAlignment="1">
      <alignment horizontal="left"/>
    </xf>
    <xf numFmtId="0" fontId="30" fillId="3" borderId="19" xfId="0" applyFont="1" applyFill="1" applyBorder="1" applyAlignment="1">
      <alignment horizontal="left"/>
    </xf>
    <xf numFmtId="0" fontId="11" fillId="2" borderId="59" xfId="3" applyFont="1" applyFill="1" applyBorder="1" applyAlignment="1" applyProtection="1">
      <alignment horizontal="left" vertical="top" wrapText="1" indent="2"/>
      <protection hidden="1"/>
    </xf>
    <xf numFmtId="1" fontId="13" fillId="2" borderId="49" xfId="3" applyNumberFormat="1" applyFont="1" applyFill="1" applyBorder="1" applyAlignment="1" applyProtection="1">
      <alignment horizontal="center" vertical="center" wrapText="1"/>
      <protection hidden="1"/>
    </xf>
    <xf numFmtId="0" fontId="2" fillId="2" borderId="60" xfId="3" applyFont="1" applyFill="1" applyBorder="1" applyAlignment="1" applyProtection="1">
      <alignment horizontal="center" vertical="center"/>
      <protection locked="0" hidden="1"/>
    </xf>
    <xf numFmtId="0" fontId="0" fillId="0" borderId="40" xfId="0" applyBorder="1" applyAlignment="1">
      <alignment horizontal="center"/>
    </xf>
    <xf numFmtId="0" fontId="0" fillId="0" borderId="23" xfId="0" applyBorder="1" applyAlignment="1">
      <alignment horizontal="center"/>
    </xf>
    <xf numFmtId="0" fontId="0" fillId="0" borderId="35" xfId="0" applyBorder="1" applyAlignment="1">
      <alignment horizontal="center"/>
    </xf>
    <xf numFmtId="1" fontId="0" fillId="2" borderId="11" xfId="0" applyNumberFormat="1" applyFill="1" applyBorder="1"/>
    <xf numFmtId="1" fontId="0" fillId="2" borderId="2" xfId="0" applyNumberFormat="1" applyFill="1" applyBorder="1"/>
    <xf numFmtId="0" fontId="33" fillId="2" borderId="6" xfId="0" applyFont="1" applyFill="1" applyBorder="1"/>
    <xf numFmtId="1" fontId="13" fillId="2" borderId="61" xfId="3" applyNumberFormat="1" applyFont="1" applyFill="1" applyBorder="1" applyAlignment="1" applyProtection="1">
      <alignment horizontal="center" vertical="center" wrapText="1"/>
      <protection hidden="1"/>
    </xf>
    <xf numFmtId="0" fontId="2" fillId="0" borderId="31" xfId="3" applyFont="1" applyBorder="1" applyAlignment="1" applyProtection="1">
      <alignment horizontal="center" vertical="top"/>
      <protection locked="0" hidden="1"/>
    </xf>
    <xf numFmtId="0" fontId="2" fillId="0" borderId="34" xfId="3" applyFont="1" applyBorder="1" applyAlignment="1" applyProtection="1">
      <alignment horizontal="center" vertical="top"/>
      <protection locked="0" hidden="1"/>
    </xf>
    <xf numFmtId="0" fontId="11" fillId="2" borderId="24" xfId="3" applyFont="1" applyFill="1" applyBorder="1" applyAlignment="1" applyProtection="1">
      <alignment horizontal="left" vertical="top" wrapText="1" indent="2"/>
      <protection hidden="1"/>
    </xf>
    <xf numFmtId="0" fontId="0" fillId="2" borderId="46" xfId="0" applyFill="1" applyBorder="1"/>
    <xf numFmtId="0" fontId="0" fillId="2" borderId="62" xfId="0" applyFill="1" applyBorder="1"/>
    <xf numFmtId="0" fontId="10" fillId="2" borderId="62" xfId="0" applyFont="1" applyFill="1" applyBorder="1" applyAlignment="1">
      <alignment wrapText="1"/>
    </xf>
    <xf numFmtId="0" fontId="13" fillId="0" borderId="0" xfId="0" applyFont="1"/>
    <xf numFmtId="165" fontId="0" fillId="0" borderId="2" xfId="0" applyNumberFormat="1" applyBorder="1" applyAlignment="1">
      <alignment horizontal="center"/>
    </xf>
    <xf numFmtId="0" fontId="6" fillId="3" borderId="40" xfId="0" applyFont="1" applyFill="1" applyBorder="1"/>
    <xf numFmtId="165" fontId="13" fillId="0" borderId="2" xfId="1" applyNumberFormat="1" applyFont="1" applyBorder="1"/>
    <xf numFmtId="165" fontId="0" fillId="0" borderId="2" xfId="1" applyNumberFormat="1" applyFont="1" applyBorder="1"/>
    <xf numFmtId="0" fontId="13" fillId="2" borderId="2" xfId="0" applyFont="1" applyFill="1" applyBorder="1"/>
    <xf numFmtId="165" fontId="26" fillId="2" borderId="2" xfId="0" applyNumberFormat="1" applyFont="1" applyFill="1" applyBorder="1" applyAlignment="1">
      <alignment horizontal="center"/>
    </xf>
    <xf numFmtId="0" fontId="35" fillId="2" borderId="0" xfId="0" applyFont="1" applyFill="1" applyBorder="1"/>
    <xf numFmtId="0" fontId="36" fillId="2" borderId="0" xfId="0" applyFont="1" applyFill="1" applyBorder="1"/>
    <xf numFmtId="0" fontId="6" fillId="4" borderId="0" xfId="0" applyFont="1" applyFill="1" applyBorder="1" applyAlignment="1">
      <alignment horizontal="center" wrapText="1"/>
    </xf>
    <xf numFmtId="0" fontId="12" fillId="8" borderId="2" xfId="0" applyFont="1" applyFill="1" applyBorder="1" applyAlignment="1">
      <alignment horizontal="center" wrapText="1"/>
    </xf>
    <xf numFmtId="0" fontId="34" fillId="2" borderId="0" xfId="0" applyFont="1" applyFill="1" applyBorder="1" applyAlignment="1">
      <alignment horizontal="left" vertical="top" wrapText="1"/>
    </xf>
    <xf numFmtId="165" fontId="26" fillId="2" borderId="0" xfId="0" applyNumberFormat="1" applyFont="1" applyFill="1" applyBorder="1" applyAlignment="1">
      <alignment horizontal="center"/>
    </xf>
    <xf numFmtId="0" fontId="29" fillId="2" borderId="0" xfId="0" applyFont="1" applyFill="1" applyBorder="1" applyAlignment="1">
      <alignment horizontal="right"/>
    </xf>
    <xf numFmtId="9" fontId="2" fillId="2" borderId="0" xfId="6" applyFont="1" applyFill="1" applyBorder="1" applyAlignment="1">
      <alignment horizontal="center"/>
    </xf>
    <xf numFmtId="0" fontId="30" fillId="3" borderId="0" xfId="0" applyFont="1" applyFill="1" applyAlignment="1">
      <alignment horizontal="center"/>
    </xf>
    <xf numFmtId="0" fontId="6" fillId="0" borderId="12" xfId="0" applyFont="1" applyFill="1" applyBorder="1"/>
    <xf numFmtId="0" fontId="6" fillId="0" borderId="0" xfId="0" applyFont="1" applyFill="1" applyBorder="1"/>
    <xf numFmtId="0" fontId="0" fillId="0" borderId="12" xfId="0" applyFill="1" applyBorder="1"/>
    <xf numFmtId="165" fontId="0" fillId="0" borderId="0" xfId="1" applyNumberFormat="1" applyFont="1" applyFill="1" applyBorder="1"/>
    <xf numFmtId="0" fontId="6" fillId="3" borderId="0" xfId="0" applyFont="1" applyFill="1" applyAlignment="1">
      <alignment horizontal="center"/>
    </xf>
    <xf numFmtId="0" fontId="16" fillId="3" borderId="0" xfId="0" applyFont="1" applyFill="1" applyBorder="1" applyAlignment="1" applyProtection="1">
      <alignment horizontal="center" vertical="center"/>
      <protection hidden="1"/>
    </xf>
    <xf numFmtId="0" fontId="16" fillId="3" borderId="13" xfId="0" applyFont="1" applyFill="1" applyBorder="1" applyAlignment="1" applyProtection="1">
      <alignment horizontal="center" vertical="center"/>
      <protection hidden="1"/>
    </xf>
    <xf numFmtId="0" fontId="16" fillId="3" borderId="0" xfId="0" applyFont="1" applyFill="1" applyAlignment="1" applyProtection="1">
      <alignment horizontal="center" vertical="center"/>
      <protection hidden="1"/>
    </xf>
    <xf numFmtId="2" fontId="2" fillId="2" borderId="23" xfId="0" applyNumberFormat="1" applyFont="1" applyFill="1" applyBorder="1" applyAlignment="1">
      <alignment horizontal="center" vertical="center"/>
    </xf>
    <xf numFmtId="0" fontId="0" fillId="0" borderId="0" xfId="0" applyAlignment="1">
      <alignment horizontal="right"/>
    </xf>
    <xf numFmtId="0" fontId="0" fillId="2" borderId="4" xfId="0" applyFill="1" applyBorder="1" applyAlignment="1">
      <alignment horizontal="right"/>
    </xf>
    <xf numFmtId="0" fontId="0" fillId="2" borderId="28" xfId="0" applyFill="1" applyBorder="1" applyAlignment="1">
      <alignment horizontal="right"/>
    </xf>
    <xf numFmtId="0" fontId="2" fillId="2" borderId="63" xfId="3" applyFont="1" applyFill="1" applyBorder="1" applyAlignment="1" applyProtection="1">
      <alignment horizontal="right" vertical="top" wrapText="1"/>
      <protection hidden="1"/>
    </xf>
    <xf numFmtId="0" fontId="2" fillId="2" borderId="64" xfId="3" applyFont="1" applyFill="1" applyBorder="1" applyAlignment="1" applyProtection="1">
      <alignment horizontal="right" vertical="top" wrapText="1"/>
      <protection hidden="1"/>
    </xf>
    <xf numFmtId="0" fontId="2" fillId="2" borderId="65" xfId="3" applyFont="1" applyFill="1" applyBorder="1" applyAlignment="1" applyProtection="1">
      <alignment horizontal="right" vertical="top"/>
      <protection hidden="1"/>
    </xf>
    <xf numFmtId="0" fontId="2" fillId="2" borderId="28" xfId="3" applyFont="1" applyFill="1" applyBorder="1" applyAlignment="1" applyProtection="1">
      <alignment horizontal="right" vertical="top"/>
      <protection hidden="1"/>
    </xf>
    <xf numFmtId="0" fontId="2" fillId="2" borderId="66" xfId="3" applyFont="1" applyFill="1" applyBorder="1" applyAlignment="1" applyProtection="1">
      <alignment horizontal="right" vertical="top" wrapText="1"/>
      <protection hidden="1"/>
    </xf>
    <xf numFmtId="0" fontId="2" fillId="2" borderId="67" xfId="3" applyFont="1" applyFill="1" applyBorder="1" applyAlignment="1" applyProtection="1">
      <alignment horizontal="right" vertical="top" wrapText="1"/>
      <protection hidden="1"/>
    </xf>
    <xf numFmtId="0" fontId="16" fillId="2" borderId="68" xfId="3" applyFont="1" applyFill="1" applyBorder="1" applyAlignment="1" applyProtection="1">
      <alignment horizontal="right" vertical="top" wrapText="1"/>
      <protection hidden="1"/>
    </xf>
    <xf numFmtId="0" fontId="16" fillId="2" borderId="64" xfId="3" applyFont="1" applyFill="1" applyBorder="1" applyAlignment="1" applyProtection="1">
      <alignment horizontal="right" vertical="top" wrapText="1"/>
      <protection hidden="1"/>
    </xf>
    <xf numFmtId="0" fontId="16" fillId="2" borderId="63" xfId="3" applyFont="1" applyFill="1" applyBorder="1" applyAlignment="1" applyProtection="1">
      <alignment horizontal="right" vertical="top" wrapText="1"/>
      <protection hidden="1"/>
    </xf>
    <xf numFmtId="0" fontId="2" fillId="2" borderId="65" xfId="3" applyFont="1" applyFill="1" applyBorder="1" applyAlignment="1" applyProtection="1">
      <alignment horizontal="right" vertical="top" wrapText="1"/>
      <protection hidden="1"/>
    </xf>
    <xf numFmtId="0" fontId="2" fillId="2" borderId="28" xfId="3" applyFont="1" applyFill="1" applyBorder="1" applyAlignment="1" applyProtection="1">
      <alignment horizontal="right" vertical="top" wrapText="1"/>
      <protection hidden="1"/>
    </xf>
    <xf numFmtId="0" fontId="2" fillId="2" borderId="69" xfId="3" applyFont="1" applyFill="1" applyBorder="1" applyAlignment="1" applyProtection="1">
      <alignment horizontal="right" vertical="top" wrapText="1"/>
      <protection hidden="1"/>
    </xf>
    <xf numFmtId="0" fontId="2" fillId="2" borderId="70" xfId="3" applyFont="1" applyFill="1" applyBorder="1" applyAlignment="1" applyProtection="1">
      <alignment horizontal="right" vertical="top" wrapText="1"/>
      <protection hidden="1"/>
    </xf>
    <xf numFmtId="1" fontId="2" fillId="2" borderId="71" xfId="3" applyNumberFormat="1" applyFont="1" applyFill="1" applyBorder="1" applyAlignment="1" applyProtection="1">
      <alignment horizontal="right" vertical="top" wrapText="1"/>
      <protection hidden="1"/>
    </xf>
    <xf numFmtId="164" fontId="2" fillId="2" borderId="63" xfId="3" applyNumberFormat="1" applyFont="1" applyFill="1" applyBorder="1" applyAlignment="1" applyProtection="1">
      <alignment horizontal="right" vertical="top" wrapText="1"/>
      <protection hidden="1"/>
    </xf>
    <xf numFmtId="0" fontId="2" fillId="2" borderId="68" xfId="3" applyFont="1" applyFill="1" applyBorder="1" applyAlignment="1" applyProtection="1">
      <alignment horizontal="right" vertical="top" wrapText="1"/>
      <protection hidden="1"/>
    </xf>
    <xf numFmtId="164" fontId="2" fillId="2" borderId="64" xfId="3" applyNumberFormat="1" applyFont="1" applyFill="1" applyBorder="1" applyAlignment="1" applyProtection="1">
      <alignment horizontal="right" vertical="top" wrapText="1"/>
      <protection hidden="1"/>
    </xf>
    <xf numFmtId="164" fontId="2" fillId="2" borderId="67" xfId="3" applyNumberFormat="1" applyFont="1" applyFill="1" applyBorder="1" applyAlignment="1" applyProtection="1">
      <alignment horizontal="right" vertical="top" wrapText="1"/>
      <protection hidden="1"/>
    </xf>
    <xf numFmtId="0" fontId="2" fillId="2" borderId="12" xfId="3" applyFont="1" applyFill="1" applyBorder="1" applyAlignment="1" applyProtection="1">
      <alignment horizontal="right" vertical="top" wrapText="1"/>
      <protection hidden="1"/>
    </xf>
    <xf numFmtId="0" fontId="2" fillId="2" borderId="72" xfId="3" applyFont="1" applyFill="1" applyBorder="1" applyAlignment="1" applyProtection="1">
      <alignment horizontal="right" vertical="top" wrapText="1"/>
      <protection hidden="1"/>
    </xf>
    <xf numFmtId="0" fontId="22" fillId="2" borderId="12" xfId="3" applyFont="1" applyFill="1" applyBorder="1" applyAlignment="1" applyProtection="1">
      <alignment horizontal="right"/>
      <protection hidden="1"/>
    </xf>
    <xf numFmtId="0" fontId="22" fillId="2" borderId="14" xfId="3" applyFont="1" applyFill="1" applyBorder="1" applyAlignment="1" applyProtection="1">
      <alignment horizontal="right"/>
      <protection hidden="1"/>
    </xf>
    <xf numFmtId="0" fontId="22" fillId="2" borderId="20" xfId="3" applyFont="1" applyFill="1" applyBorder="1" applyAlignment="1" applyProtection="1">
      <alignment horizontal="right"/>
      <protection hidden="1"/>
    </xf>
    <xf numFmtId="0" fontId="22" fillId="2" borderId="9" xfId="3" applyFont="1" applyFill="1" applyBorder="1" applyAlignment="1" applyProtection="1">
      <alignment horizontal="right"/>
      <protection hidden="1"/>
    </xf>
    <xf numFmtId="0" fontId="0" fillId="2" borderId="2" xfId="0" applyFill="1" applyBorder="1" applyAlignment="1">
      <alignment horizontal="center"/>
    </xf>
    <xf numFmtId="166" fontId="30" fillId="0" borderId="9" xfId="0" applyNumberFormat="1" applyFont="1" applyBorder="1" applyAlignment="1">
      <alignment horizontal="right"/>
    </xf>
    <xf numFmtId="0" fontId="13" fillId="6" borderId="20" xfId="0" applyFont="1" applyFill="1" applyBorder="1" applyAlignment="1" applyProtection="1">
      <alignment horizontal="left"/>
      <protection locked="0"/>
    </xf>
    <xf numFmtId="0" fontId="0" fillId="6" borderId="38" xfId="0" applyFill="1" applyBorder="1" applyAlignment="1" applyProtection="1">
      <alignment horizontal="left"/>
      <protection locked="0"/>
    </xf>
    <xf numFmtId="14" fontId="0" fillId="6" borderId="20" xfId="0" applyNumberFormat="1" applyFill="1" applyBorder="1" applyAlignment="1" applyProtection="1">
      <alignment horizontal="left"/>
      <protection locked="0"/>
    </xf>
    <xf numFmtId="0" fontId="0" fillId="2" borderId="12" xfId="0" applyFill="1" applyBorder="1" applyAlignment="1">
      <alignment horizontal="right"/>
    </xf>
    <xf numFmtId="0" fontId="0" fillId="2" borderId="13" xfId="0" applyFill="1" applyBorder="1" applyAlignment="1">
      <alignment horizontal="right"/>
    </xf>
    <xf numFmtId="0" fontId="0" fillId="6" borderId="20" xfId="0" quotePrefix="1" applyFill="1" applyBorder="1" applyAlignment="1" applyProtection="1">
      <alignment horizontal="left"/>
      <protection locked="0"/>
    </xf>
    <xf numFmtId="0" fontId="0" fillId="6" borderId="28" xfId="0" applyFill="1" applyBorder="1" applyAlignment="1" applyProtection="1">
      <alignment horizontal="left"/>
      <protection locked="0"/>
    </xf>
    <xf numFmtId="0" fontId="0" fillId="6" borderId="20" xfId="0" applyFill="1" applyBorder="1" applyAlignment="1" applyProtection="1">
      <alignment horizontal="left"/>
      <protection locked="0"/>
    </xf>
    <xf numFmtId="0" fontId="8" fillId="2" borderId="0" xfId="2" applyFont="1" applyFill="1" applyBorder="1" applyAlignment="1" applyProtection="1">
      <alignment horizontal="left"/>
    </xf>
    <xf numFmtId="0" fontId="2" fillId="2" borderId="2" xfId="0" applyFont="1" applyFill="1" applyBorder="1" applyAlignment="1">
      <alignment horizontal="center"/>
    </xf>
    <xf numFmtId="0" fontId="8" fillId="2" borderId="2" xfId="2" applyFont="1" applyFill="1" applyBorder="1" applyAlignment="1" applyProtection="1">
      <alignment horizontal="left"/>
    </xf>
    <xf numFmtId="0" fontId="2" fillId="2" borderId="20" xfId="0" applyFont="1" applyFill="1" applyBorder="1" applyAlignment="1">
      <alignment horizontal="left"/>
    </xf>
    <xf numFmtId="0" fontId="2" fillId="2" borderId="28" xfId="0" applyFont="1" applyFill="1" applyBorder="1" applyAlignment="1">
      <alignment horizontal="left"/>
    </xf>
    <xf numFmtId="0" fontId="2" fillId="2" borderId="38" xfId="0" applyFont="1" applyFill="1" applyBorder="1" applyAlignment="1">
      <alignment horizontal="left"/>
    </xf>
    <xf numFmtId="0" fontId="20" fillId="2" borderId="20" xfId="0" applyFont="1" applyFill="1" applyBorder="1" applyAlignment="1">
      <alignment horizontal="right"/>
    </xf>
    <xf numFmtId="0" fontId="20" fillId="2" borderId="28" xfId="0" applyFont="1" applyFill="1" applyBorder="1" applyAlignment="1">
      <alignment horizontal="right"/>
    </xf>
    <xf numFmtId="0" fontId="20" fillId="2" borderId="38" xfId="0" applyFont="1" applyFill="1" applyBorder="1" applyAlignment="1">
      <alignment horizontal="right"/>
    </xf>
    <xf numFmtId="0" fontId="2" fillId="0" borderId="20" xfId="0" applyFont="1" applyFill="1" applyBorder="1" applyAlignment="1" applyProtection="1">
      <alignment horizontal="center"/>
      <protection locked="0"/>
    </xf>
    <xf numFmtId="0" fontId="2" fillId="0" borderId="38" xfId="0" applyFont="1" applyFill="1" applyBorder="1" applyAlignment="1" applyProtection="1">
      <alignment horizontal="center"/>
      <protection locked="0"/>
    </xf>
    <xf numFmtId="0" fontId="34" fillId="2" borderId="2" xfId="0" applyFont="1" applyFill="1" applyBorder="1" applyAlignment="1">
      <alignment horizontal="left" vertical="top" wrapText="1"/>
    </xf>
    <xf numFmtId="0" fontId="37" fillId="2" borderId="20" xfId="2" applyFont="1" applyFill="1" applyBorder="1" applyAlignment="1" applyProtection="1">
      <alignment horizontal="left"/>
    </xf>
    <xf numFmtId="0" fontId="37" fillId="2" borderId="28" xfId="2" applyFont="1" applyFill="1" applyBorder="1" applyAlignment="1" applyProtection="1">
      <alignment horizontal="left"/>
    </xf>
    <xf numFmtId="0" fontId="37" fillId="2" borderId="38" xfId="2" applyFont="1" applyFill="1" applyBorder="1" applyAlignment="1" applyProtection="1">
      <alignment horizontal="left"/>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horizontal="left" vertical="center" wrapText="1"/>
    </xf>
    <xf numFmtId="0" fontId="34" fillId="2" borderId="17" xfId="0" applyFont="1" applyFill="1" applyBorder="1" applyAlignment="1">
      <alignment horizontal="left" vertical="top" wrapText="1"/>
    </xf>
    <xf numFmtId="0" fontId="34" fillId="2" borderId="0" xfId="0" applyFont="1" applyFill="1" applyBorder="1" applyAlignment="1">
      <alignment horizontal="left" vertical="top" wrapText="1"/>
    </xf>
    <xf numFmtId="0" fontId="2" fillId="2" borderId="20" xfId="0" applyFont="1" applyFill="1" applyBorder="1" applyAlignment="1">
      <alignment horizontal="center"/>
    </xf>
    <xf numFmtId="0" fontId="0" fillId="0" borderId="28" xfId="0" applyBorder="1"/>
    <xf numFmtId="0" fontId="2" fillId="2" borderId="20" xfId="3" applyFont="1" applyFill="1" applyBorder="1" applyAlignment="1" applyProtection="1">
      <alignment horizontal="center" vertical="top" wrapText="1"/>
      <protection hidden="1"/>
    </xf>
    <xf numFmtId="0" fontId="2" fillId="2" borderId="28" xfId="3" applyFont="1" applyFill="1" applyBorder="1" applyAlignment="1" applyProtection="1">
      <alignment horizontal="center" vertical="top" wrapText="1"/>
      <protection hidden="1"/>
    </xf>
    <xf numFmtId="0" fontId="21" fillId="2" borderId="73" xfId="3" applyFont="1" applyFill="1" applyBorder="1" applyAlignment="1" applyProtection="1">
      <alignment horizontal="left" vertical="top" wrapText="1"/>
      <protection hidden="1"/>
    </xf>
    <xf numFmtId="0" fontId="21" fillId="2" borderId="28" xfId="3" applyFont="1" applyFill="1" applyBorder="1" applyAlignment="1" applyProtection="1">
      <alignment horizontal="left" vertical="top" wrapText="1"/>
      <protection hidden="1"/>
    </xf>
    <xf numFmtId="0" fontId="21" fillId="2" borderId="38" xfId="3" applyFont="1" applyFill="1" applyBorder="1" applyAlignment="1" applyProtection="1">
      <alignment horizontal="left" vertical="top" wrapText="1"/>
      <protection hidden="1"/>
    </xf>
    <xf numFmtId="0" fontId="2" fillId="0" borderId="29" xfId="3" applyFont="1" applyBorder="1" applyAlignment="1" applyProtection="1">
      <alignment horizontal="center" vertical="center"/>
      <protection locked="0" hidden="1"/>
    </xf>
    <xf numFmtId="0" fontId="2" fillId="0" borderId="26" xfId="3" applyFont="1" applyBorder="1" applyAlignment="1" applyProtection="1">
      <alignment horizontal="center" vertical="center"/>
      <protection locked="0" hidden="1"/>
    </xf>
    <xf numFmtId="0" fontId="2" fillId="2" borderId="36" xfId="3" applyFont="1" applyFill="1" applyBorder="1" applyAlignment="1" applyProtection="1">
      <alignment horizontal="left" vertical="top" wrapText="1"/>
      <protection hidden="1"/>
    </xf>
    <xf numFmtId="0" fontId="2" fillId="2" borderId="19" xfId="3" applyFont="1" applyFill="1" applyBorder="1" applyAlignment="1" applyProtection="1">
      <alignment horizontal="center" vertical="top" wrapText="1"/>
      <protection hidden="1"/>
    </xf>
    <xf numFmtId="0" fontId="2" fillId="2" borderId="17" xfId="3" applyFont="1" applyFill="1" applyBorder="1" applyAlignment="1" applyProtection="1">
      <alignment horizontal="center" vertical="top" wrapText="1"/>
      <protection hidden="1"/>
    </xf>
    <xf numFmtId="1" fontId="13" fillId="2" borderId="29" xfId="3" applyNumberFormat="1" applyFont="1" applyFill="1" applyBorder="1" applyAlignment="1" applyProtection="1">
      <alignment horizontal="center" vertical="center" wrapText="1"/>
      <protection hidden="1"/>
    </xf>
    <xf numFmtId="1" fontId="0" fillId="0" borderId="26" xfId="0" applyNumberFormat="1" applyBorder="1" applyAlignment="1">
      <alignment horizontal="center" vertical="center" wrapText="1"/>
    </xf>
    <xf numFmtId="0" fontId="6" fillId="3" borderId="19" xfId="0" applyFont="1" applyFill="1" applyBorder="1" applyAlignment="1">
      <alignment horizontal="center"/>
    </xf>
    <xf numFmtId="0" fontId="6" fillId="3" borderId="17" xfId="0" applyFont="1" applyFill="1" applyBorder="1" applyAlignment="1">
      <alignment horizontal="center"/>
    </xf>
    <xf numFmtId="0" fontId="6" fillId="3" borderId="18" xfId="0" applyFont="1" applyFill="1" applyBorder="1" applyAlignment="1">
      <alignment horizontal="center"/>
    </xf>
    <xf numFmtId="0" fontId="12" fillId="2" borderId="12" xfId="0" applyFont="1" applyFill="1" applyBorder="1" applyAlignment="1">
      <alignment horizontal="left"/>
    </xf>
    <xf numFmtId="0" fontId="12" fillId="2" borderId="0" xfId="0" applyFont="1" applyFill="1" applyBorder="1" applyAlignment="1">
      <alignment horizontal="left"/>
    </xf>
    <xf numFmtId="0" fontId="12" fillId="2" borderId="13" xfId="0" applyFont="1" applyFill="1" applyBorder="1" applyAlignment="1">
      <alignment horizontal="left"/>
    </xf>
    <xf numFmtId="0" fontId="12" fillId="7" borderId="12" xfId="5" applyFont="1" applyFill="1" applyBorder="1" applyAlignment="1">
      <alignment horizontal="left" wrapText="1"/>
    </xf>
    <xf numFmtId="0" fontId="12" fillId="7" borderId="13" xfId="5" applyFont="1" applyFill="1" applyBorder="1" applyAlignment="1">
      <alignment horizontal="left" wrapText="1"/>
    </xf>
    <xf numFmtId="0" fontId="12" fillId="7" borderId="14" xfId="5" applyFont="1" applyFill="1" applyBorder="1" applyAlignment="1">
      <alignment horizontal="left" wrapText="1"/>
    </xf>
    <xf numFmtId="0" fontId="12" fillId="7" borderId="16" xfId="5" applyFont="1" applyFill="1" applyBorder="1" applyAlignment="1">
      <alignment horizontal="left" wrapText="1"/>
    </xf>
    <xf numFmtId="0" fontId="12" fillId="2" borderId="14" xfId="0" applyFont="1" applyFill="1" applyBorder="1" applyAlignment="1">
      <alignment horizontal="left"/>
    </xf>
    <xf numFmtId="0" fontId="12" fillId="2" borderId="15" xfId="0" applyFont="1" applyFill="1" applyBorder="1" applyAlignment="1">
      <alignment horizontal="left"/>
    </xf>
    <xf numFmtId="0" fontId="12" fillId="2" borderId="16" xfId="0" applyFont="1" applyFill="1" applyBorder="1" applyAlignment="1">
      <alignment horizontal="left"/>
    </xf>
    <xf numFmtId="0" fontId="12" fillId="7" borderId="19" xfId="5" applyFont="1" applyFill="1" applyBorder="1" applyAlignment="1">
      <alignment horizontal="left" wrapText="1"/>
    </xf>
    <xf numFmtId="0" fontId="12" fillId="7" borderId="18" xfId="5" applyFont="1" applyFill="1" applyBorder="1" applyAlignment="1">
      <alignment horizontal="left" wrapText="1"/>
    </xf>
  </cellXfs>
  <cellStyles count="7">
    <cellStyle name="Currency" xfId="1" builtinId="4"/>
    <cellStyle name="Hyperlink" xfId="2" builtinId="8"/>
    <cellStyle name="Normal" xfId="0" builtinId="0"/>
    <cellStyle name="Normal_Management scoresheet" xfId="3"/>
    <cellStyle name="Normal_References" xfId="4"/>
    <cellStyle name="Normal_References_1" xfId="5"/>
    <cellStyle name="Percent" xfId="6" builtinId="5"/>
  </cellStyles>
  <dxfs count="4">
    <dxf>
      <font>
        <condense val="0"/>
        <extend val="0"/>
        <color indexed="43"/>
      </font>
    </dxf>
    <dxf>
      <font>
        <condense val="0"/>
        <extend val="0"/>
        <color indexed="9"/>
      </font>
    </dxf>
    <dxf>
      <font>
        <condense val="0"/>
        <extend val="0"/>
        <color indexed="9"/>
      </font>
    </dxf>
    <dxf>
      <font>
        <condense val="0"/>
        <extend val="0"/>
        <color indexed="43"/>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en-GB"/>
              <a:t>Operator Performance Summary</a:t>
            </a:r>
          </a:p>
        </c:rich>
      </c:tx>
      <c:layout>
        <c:manualLayout>
          <c:xMode val="edge"/>
          <c:yMode val="edge"/>
          <c:x val="0.32332955748952447"/>
          <c:y val="3.7433251877998029E-2"/>
        </c:manualLayout>
      </c:layout>
      <c:overlay val="0"/>
      <c:spPr>
        <a:noFill/>
        <a:ln w="25400">
          <a:noFill/>
        </a:ln>
      </c:spPr>
    </c:title>
    <c:autoTitleDeleted val="0"/>
    <c:plotArea>
      <c:layout>
        <c:manualLayout>
          <c:layoutTarget val="inner"/>
          <c:xMode val="edge"/>
          <c:yMode val="edge"/>
          <c:x val="0.10231945753367808"/>
          <c:y val="0.19786096256684493"/>
          <c:w val="0.87449029705450265"/>
          <c:h val="0.55614973262032152"/>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'Operator Performance'!$E$66:$E$71</c:f>
              <c:strCache>
                <c:ptCount val="6"/>
                <c:pt idx="0">
                  <c:v>Operations &amp; Maintenance</c:v>
                </c:pt>
                <c:pt idx="1">
                  <c:v>Competence &amp; Training</c:v>
                </c:pt>
                <c:pt idx="2">
                  <c:v>Emergency Planning</c:v>
                </c:pt>
                <c:pt idx="3">
                  <c:v>Organisation</c:v>
                </c:pt>
                <c:pt idx="4">
                  <c:v>Enforcement History</c:v>
                </c:pt>
                <c:pt idx="5">
                  <c:v>Overall Weighted Score</c:v>
                </c:pt>
              </c:strCache>
            </c:strRef>
          </c:cat>
          <c:val>
            <c:numRef>
              <c:f>'Operator Performance'!$F$66:$F$71</c:f>
              <c:numCache>
                <c:formatCode>General</c:formatCode>
                <c:ptCount val="6"/>
              </c:numCache>
            </c:numRef>
          </c:val>
          <c:extLst xmlns:c16r2="http://schemas.microsoft.com/office/drawing/2015/06/chart">
            <c:ext xmlns:c16="http://schemas.microsoft.com/office/drawing/2014/chart" uri="{C3380CC4-5D6E-409C-BE32-E72D297353CC}">
              <c16:uniqueId val="{00000000-53A5-48C9-8766-C8043FE7D571}"/>
            </c:ext>
          </c:extLst>
        </c:ser>
        <c:ser>
          <c:idx val="3"/>
          <c:order val="1"/>
          <c:invertIfNegative val="0"/>
          <c:cat>
            <c:strRef>
              <c:f>'Operator Performance'!$E$66:$E$71</c:f>
              <c:strCache>
                <c:ptCount val="6"/>
                <c:pt idx="0">
                  <c:v>Operations &amp; Maintenance</c:v>
                </c:pt>
                <c:pt idx="1">
                  <c:v>Competence &amp; Training</c:v>
                </c:pt>
                <c:pt idx="2">
                  <c:v>Emergency Planning</c:v>
                </c:pt>
                <c:pt idx="3">
                  <c:v>Organisation</c:v>
                </c:pt>
                <c:pt idx="4">
                  <c:v>Enforcement History</c:v>
                </c:pt>
                <c:pt idx="5">
                  <c:v>Overall Weighted Score</c:v>
                </c:pt>
              </c:strCache>
            </c:strRef>
          </c:cat>
          <c:val>
            <c:numRef>
              <c:f>'Operator Performance'!$G$66:$G$71</c:f>
            </c:numRef>
          </c:val>
          <c:extLst xmlns:c16r2="http://schemas.microsoft.com/office/drawing/2015/06/chart">
            <c:ext xmlns:c16="http://schemas.microsoft.com/office/drawing/2014/chart" uri="{C3380CC4-5D6E-409C-BE32-E72D297353CC}">
              <c16:uniqueId val="{00000001-53A5-48C9-8766-C8043FE7D571}"/>
            </c:ext>
          </c:extLst>
        </c:ser>
        <c:ser>
          <c:idx val="1"/>
          <c:order val="2"/>
          <c:spPr>
            <a:solidFill>
              <a:srgbClr val="993366"/>
            </a:solidFill>
            <a:ln w="12700">
              <a:solidFill>
                <a:srgbClr val="000000"/>
              </a:solidFill>
              <a:prstDash val="solid"/>
            </a:ln>
          </c:spPr>
          <c:invertIfNegative val="0"/>
          <c:cat>
            <c:strRef>
              <c:f>'Operator Performance'!$E$66:$E$71</c:f>
              <c:strCache>
                <c:ptCount val="6"/>
                <c:pt idx="0">
                  <c:v>Operations &amp; Maintenance</c:v>
                </c:pt>
                <c:pt idx="1">
                  <c:v>Competence &amp; Training</c:v>
                </c:pt>
                <c:pt idx="2">
                  <c:v>Emergency Planning</c:v>
                </c:pt>
                <c:pt idx="3">
                  <c:v>Organisation</c:v>
                </c:pt>
                <c:pt idx="4">
                  <c:v>Enforcement History</c:v>
                </c:pt>
                <c:pt idx="5">
                  <c:v>Overall Weighted Score</c:v>
                </c:pt>
              </c:strCache>
            </c:strRef>
          </c:cat>
          <c:val>
            <c:numRef>
              <c:f>'Operator Performance'!$H$66:$H$71</c:f>
              <c:numCache>
                <c:formatCode>General</c:formatCode>
                <c:ptCount val="6"/>
              </c:numCache>
            </c:numRef>
          </c:val>
          <c:extLst xmlns:c16r2="http://schemas.microsoft.com/office/drawing/2015/06/chart">
            <c:ext xmlns:c16="http://schemas.microsoft.com/office/drawing/2014/chart" uri="{C3380CC4-5D6E-409C-BE32-E72D297353CC}">
              <c16:uniqueId val="{00000002-53A5-48C9-8766-C8043FE7D571}"/>
            </c:ext>
          </c:extLst>
        </c:ser>
        <c:ser>
          <c:idx val="2"/>
          <c:order val="3"/>
          <c:spPr>
            <a:gradFill rotWithShape="0">
              <a:gsLst>
                <a:gs pos="0">
                  <a:srgbClr val="0000FF"/>
                </a:gs>
                <a:gs pos="100000">
                  <a:srgbClr val="FFFFFF"/>
                </a:gs>
              </a:gsLst>
              <a:lin ang="5400000" scaled="1"/>
            </a:gradFill>
            <a:ln w="12700">
              <a:solidFill>
                <a:srgbClr val="000000"/>
              </a:solidFill>
              <a:prstDash val="solid"/>
            </a:ln>
            <a:effectLst>
              <a:outerShdw dist="35921" dir="2700000" algn="br">
                <a:srgbClr val="000000"/>
              </a:outerShdw>
            </a:effectLst>
          </c:spPr>
          <c:invertIfNegative val="0"/>
          <c:cat>
            <c:strRef>
              <c:f>'Operator Performance'!$E$66:$E$71</c:f>
              <c:strCache>
                <c:ptCount val="6"/>
                <c:pt idx="0">
                  <c:v>Operations &amp; Maintenance</c:v>
                </c:pt>
                <c:pt idx="1">
                  <c:v>Competence &amp; Training</c:v>
                </c:pt>
                <c:pt idx="2">
                  <c:v>Emergency Planning</c:v>
                </c:pt>
                <c:pt idx="3">
                  <c:v>Organisation</c:v>
                </c:pt>
                <c:pt idx="4">
                  <c:v>Enforcement History</c:v>
                </c:pt>
                <c:pt idx="5">
                  <c:v>Overall Weighted Score</c:v>
                </c:pt>
              </c:strCache>
            </c:strRef>
          </c:cat>
          <c:val>
            <c:numRef>
              <c:f>'Operator Performance'!$I$66:$I$71</c:f>
              <c:numCache>
                <c:formatCode>0.0</c:formatCode>
                <c:ptCount val="6"/>
                <c:pt idx="0">
                  <c:v>2</c:v>
                </c:pt>
                <c:pt idx="1">
                  <c:v>2</c:v>
                </c:pt>
                <c:pt idx="2">
                  <c:v>1.6666666666666667</c:v>
                </c:pt>
                <c:pt idx="3">
                  <c:v>2.6</c:v>
                </c:pt>
                <c:pt idx="4">
                  <c:v>0</c:v>
                </c:pt>
                <c:pt idx="5">
                  <c:v>8.2666666666666675</c:v>
                </c:pt>
              </c:numCache>
            </c:numRef>
          </c:val>
          <c:extLst xmlns:c16r2="http://schemas.microsoft.com/office/drawing/2015/06/chart">
            <c:ext xmlns:c16="http://schemas.microsoft.com/office/drawing/2014/chart" uri="{C3380CC4-5D6E-409C-BE32-E72D297353CC}">
              <c16:uniqueId val="{00000003-53A5-48C9-8766-C8043FE7D571}"/>
            </c:ext>
          </c:extLst>
        </c:ser>
        <c:dLbls>
          <c:showLegendKey val="0"/>
          <c:showVal val="0"/>
          <c:showCatName val="0"/>
          <c:showSerName val="0"/>
          <c:showPercent val="0"/>
          <c:showBubbleSize val="0"/>
        </c:dLbls>
        <c:gapWidth val="30"/>
        <c:overlap val="90"/>
        <c:axId val="335545472"/>
        <c:axId val="335545864"/>
      </c:barChart>
      <c:catAx>
        <c:axId val="335545472"/>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en-GB"/>
                  <a:t>Sub-attribute</a:t>
                </a:r>
              </a:p>
            </c:rich>
          </c:tx>
          <c:layout>
            <c:manualLayout>
              <c:xMode val="edge"/>
              <c:yMode val="edge"/>
              <c:x val="0.47339798314684389"/>
              <c:y val="0.887700606389719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335545864"/>
        <c:crosses val="autoZero"/>
        <c:auto val="1"/>
        <c:lblAlgn val="ctr"/>
        <c:lblOffset val="100"/>
        <c:tickLblSkip val="1"/>
        <c:tickMarkSkip val="1"/>
        <c:noMultiLvlLbl val="0"/>
      </c:catAx>
      <c:valAx>
        <c:axId val="335545864"/>
        <c:scaling>
          <c:orientation val="minMax"/>
        </c:scaling>
        <c:delete val="0"/>
        <c:axPos val="l"/>
        <c:title>
          <c:tx>
            <c:rich>
              <a:bodyPr/>
              <a:lstStyle/>
              <a:p>
                <a:pPr>
                  <a:defRPr sz="825" b="1" i="0" u="none" strike="noStrike" baseline="0">
                    <a:solidFill>
                      <a:srgbClr val="000000"/>
                    </a:solidFill>
                    <a:latin typeface="Arial"/>
                    <a:ea typeface="Arial"/>
                    <a:cs typeface="Arial"/>
                  </a:defRPr>
                </a:pPr>
                <a:r>
                  <a:rPr lang="en-GB"/>
                  <a:t>Score</a:t>
                </a:r>
              </a:p>
            </c:rich>
          </c:tx>
          <c:layout>
            <c:manualLayout>
              <c:xMode val="edge"/>
              <c:yMode val="edge"/>
              <c:x val="2.5920891467513946E-2"/>
              <c:y val="0.417112136844963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335545472"/>
        <c:crosses val="autoZero"/>
        <c:crossBetween val="between"/>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trlProps/ctrlProp1.xml><?xml version="1.0" encoding="utf-8"?>
<formControlPr xmlns="http://schemas.microsoft.com/office/spreadsheetml/2009/9/main" objectType="Drop" dropStyle="combo" dx="20" fmlaLink="D5" fmlaRange="References!$B$3:$B$45" noThreeD="1" sel="42" val="35"/>
</file>

<file path=xl/ctrlProps/ctrlProp10.xml><?xml version="1.0" encoding="utf-8"?>
<formControlPr xmlns="http://schemas.microsoft.com/office/spreadsheetml/2009/9/main" objectType="Drop" dropLines="5" dropStyle="combo" dx="20" fmlaLink="$E$38" fmlaRange="References!$E$17:$F$21" noThreeD="1" sel="1" val="0"/>
</file>

<file path=xl/ctrlProps/ctrlProp2.xml><?xml version="1.0" encoding="utf-8"?>
<formControlPr xmlns="http://schemas.microsoft.com/office/spreadsheetml/2009/9/main" objectType="Drop" dropStyle="combo" dx="20" fmlaLink="D7" fmlaRange="References!$B$3:$B$45" noThreeD="1" sel="27" val="20"/>
</file>

<file path=xl/ctrlProps/ctrlProp3.xml><?xml version="1.0" encoding="utf-8"?>
<formControlPr xmlns="http://schemas.microsoft.com/office/spreadsheetml/2009/9/main" objectType="Drop" dropStyle="combo" dx="20" fmlaLink="$E$16" fmlaRange="References!$D$53:$D$56" noThreeD="1" sel="2" val="0"/>
</file>

<file path=xl/ctrlProps/ctrlProp4.xml><?xml version="1.0" encoding="utf-8"?>
<formControlPr xmlns="http://schemas.microsoft.com/office/spreadsheetml/2009/9/main" objectType="Drop" dropStyle="combo" dx="20" fmlaLink="$E$20" fmlaRange="References!$D$60:$D$62" noThreeD="1" sel="2" val="0"/>
</file>

<file path=xl/ctrlProps/ctrlProp5.xml><?xml version="1.0" encoding="utf-8"?>
<formControlPr xmlns="http://schemas.microsoft.com/office/spreadsheetml/2009/9/main" objectType="Drop" dropStyle="combo" dx="20" fmlaLink="$K$16" fmlaRange="References!$D$67:$D$69" noThreeD="1" sel="3" val="0"/>
</file>

<file path=xl/ctrlProps/ctrlProp6.xml><?xml version="1.0" encoding="utf-8"?>
<formControlPr xmlns="http://schemas.microsoft.com/office/spreadsheetml/2009/9/main" objectType="Drop" dropStyle="combo" dx="20" fmlaLink="$K$20" fmlaRange="References!$D$74:$D$75" noThreeD="1" sel="1" val="0"/>
</file>

<file path=xl/ctrlProps/ctrlProp7.xml><?xml version="1.0" encoding="utf-8"?>
<formControlPr xmlns="http://schemas.microsoft.com/office/spreadsheetml/2009/9/main" objectType="Drop" dropStyle="combo" dx="20" fmlaLink="$E$18" fmlaRange="References!$D$57:$D$59" noThreeD="1" sel="2" val="0"/>
</file>

<file path=xl/ctrlProps/ctrlProp8.xml><?xml version="1.0" encoding="utf-8"?>
<formControlPr xmlns="http://schemas.microsoft.com/office/spreadsheetml/2009/9/main" objectType="Drop" dropStyle="combo" dx="20" fmlaLink="$E$22" fmlaRange="References!$D$63:$D$66" noThreeD="1" sel="3" val="0"/>
</file>

<file path=xl/ctrlProps/ctrlProp9.xml><?xml version="1.0" encoding="utf-8"?>
<formControlPr xmlns="http://schemas.microsoft.com/office/spreadsheetml/2009/9/main" objectType="Drop" dropStyle="combo" dx="20" fmlaLink="$K$18" fmlaRange="References!$D$70:$D$73" noThreeD="1" sel="1" val="0"/>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4</xdr:row>
          <xdr:rowOff>57150</xdr:rowOff>
        </xdr:from>
        <xdr:to>
          <xdr:col>4</xdr:col>
          <xdr:colOff>171450</xdr:colOff>
          <xdr:row>4</xdr:row>
          <xdr:rowOff>314325</xdr:rowOff>
        </xdr:to>
        <xdr:sp macro="" textlink="">
          <xdr:nvSpPr>
            <xdr:cNvPr id="1026" name="Drop Down 2" hidden="1">
              <a:extLst>
                <a:ext uri="{63B3BB69-23CF-44E3-9099-C40C66FF867C}">
                  <a14:compatExt spid="_x0000_s1026"/>
                </a:ext>
                <a:ext uri="{FF2B5EF4-FFF2-40B4-BE49-F238E27FC236}">
                  <a16:creationId xmlns:a16="http://schemas.microsoft.com/office/drawing/2014/main" xmlns=""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47625</xdr:rowOff>
        </xdr:from>
        <xdr:to>
          <xdr:col>4</xdr:col>
          <xdr:colOff>171450</xdr:colOff>
          <xdr:row>6</xdr:row>
          <xdr:rowOff>314325</xdr:rowOff>
        </xdr:to>
        <xdr:sp macro="" textlink="">
          <xdr:nvSpPr>
            <xdr:cNvPr id="1027" name="Drop Down 3" hidden="1">
              <a:extLst>
                <a:ext uri="{63B3BB69-23CF-44E3-9099-C40C66FF867C}">
                  <a14:compatExt spid="_x0000_s1027"/>
                </a:ext>
                <a:ext uri="{FF2B5EF4-FFF2-40B4-BE49-F238E27FC236}">
                  <a16:creationId xmlns:a16="http://schemas.microsoft.com/office/drawing/2014/main" xmlns="" id="{00000000-0008-0000-01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76200</xdr:rowOff>
        </xdr:from>
        <xdr:to>
          <xdr:col>4</xdr:col>
          <xdr:colOff>1466850</xdr:colOff>
          <xdr:row>15</xdr:row>
          <xdr:rowOff>342900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xmlns=""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76200</xdr:rowOff>
        </xdr:from>
        <xdr:to>
          <xdr:col>4</xdr:col>
          <xdr:colOff>1466850</xdr:colOff>
          <xdr:row>19</xdr:row>
          <xdr:rowOff>342900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xmlns="" id="{00000000-0008-0000-01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15</xdr:row>
          <xdr:rowOff>95250</xdr:rowOff>
        </xdr:from>
        <xdr:to>
          <xdr:col>13</xdr:col>
          <xdr:colOff>447675</xdr:colOff>
          <xdr:row>15</xdr:row>
          <xdr:rowOff>361950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xmlns="" id="{00000000-0008-0000-01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19</xdr:row>
          <xdr:rowOff>85725</xdr:rowOff>
        </xdr:from>
        <xdr:to>
          <xdr:col>13</xdr:col>
          <xdr:colOff>428625</xdr:colOff>
          <xdr:row>19</xdr:row>
          <xdr:rowOff>342900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xmlns="" id="{00000000-0008-0000-01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76200</xdr:rowOff>
        </xdr:from>
        <xdr:to>
          <xdr:col>4</xdr:col>
          <xdr:colOff>1466850</xdr:colOff>
          <xdr:row>17</xdr:row>
          <xdr:rowOff>342900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xmlns="" id="{00000000-0008-0000-01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xdr:row>
          <xdr:rowOff>57150</xdr:rowOff>
        </xdr:from>
        <xdr:to>
          <xdr:col>4</xdr:col>
          <xdr:colOff>1466850</xdr:colOff>
          <xdr:row>21</xdr:row>
          <xdr:rowOff>323850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xmlns="" id="{00000000-0008-0000-01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xdr:row>
          <xdr:rowOff>85725</xdr:rowOff>
        </xdr:from>
        <xdr:to>
          <xdr:col>13</xdr:col>
          <xdr:colOff>428625</xdr:colOff>
          <xdr:row>17</xdr:row>
          <xdr:rowOff>342900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xmlns="" id="{00000000-0008-0000-01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266700</xdr:colOff>
      <xdr:row>63</xdr:row>
      <xdr:rowOff>137160</xdr:rowOff>
    </xdr:from>
    <xdr:to>
      <xdr:col>3</xdr:col>
      <xdr:colOff>5113020</xdr:colOff>
      <xdr:row>80</xdr:row>
      <xdr:rowOff>121920</xdr:rowOff>
    </xdr:to>
    <xdr:graphicFrame macro="">
      <xdr:nvGraphicFramePr>
        <xdr:cNvPr id="2109" name="Chart 21">
          <a:extLst>
            <a:ext uri="{FF2B5EF4-FFF2-40B4-BE49-F238E27FC236}">
              <a16:creationId xmlns:a16="http://schemas.microsoft.com/office/drawing/2014/main" xmlns="" id="{00000000-0008-0000-0200-00003D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6238875</xdr:colOff>
          <xdr:row>37</xdr:row>
          <xdr:rowOff>76200</xdr:rowOff>
        </xdr:from>
        <xdr:to>
          <xdr:col>4</xdr:col>
          <xdr:colOff>752475</xdr:colOff>
          <xdr:row>37</xdr:row>
          <xdr:rowOff>342900</xdr:rowOff>
        </xdr:to>
        <xdr:sp macro="" textlink="">
          <xdr:nvSpPr>
            <xdr:cNvPr id="2081" name="Drop Down 33" hidden="1">
              <a:extLst>
                <a:ext uri="{63B3BB69-23CF-44E3-9099-C40C66FF867C}">
                  <a14:compatExt spid="_x0000_s2081"/>
                </a:ext>
                <a:ext uri="{FF2B5EF4-FFF2-40B4-BE49-F238E27FC236}">
                  <a16:creationId xmlns:a16="http://schemas.microsoft.com/office/drawing/2014/main" xmlns="" id="{00000000-0008-0000-0200-00002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0.xml"/><Relationship Id="rId2" Type="http://schemas.openxmlformats.org/officeDocument/2006/relationships/vmlDrawing" Target="../drawings/vmlDrawing3.vml"/><Relationship Id="rId1" Type="http://schemas.openxmlformats.org/officeDocument/2006/relationships/drawing" Target="../drawings/drawing2.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26"/>
  <sheetViews>
    <sheetView showGridLines="0" showRowColHeaders="0" showZeros="0" workbookViewId="0">
      <selection activeCell="E7" sqref="E7:F7"/>
    </sheetView>
  </sheetViews>
  <sheetFormatPr defaultRowHeight="12.75" x14ac:dyDescent="0.2"/>
  <cols>
    <col min="1" max="1" width="2.5703125" customWidth="1"/>
    <col min="2" max="2" width="4.7109375" customWidth="1"/>
    <col min="3" max="3" width="4.42578125" customWidth="1"/>
    <col min="4" max="4" width="7.42578125" customWidth="1"/>
    <col min="5" max="5" width="15.85546875" customWidth="1"/>
    <col min="6" max="7" width="4.5703125" customWidth="1"/>
    <col min="8" max="8" width="7.42578125" customWidth="1"/>
    <col min="9" max="9" width="6.28515625" customWidth="1"/>
    <col min="10" max="10" width="7.5703125" customWidth="1"/>
    <col min="11" max="11" width="10" customWidth="1"/>
    <col min="12" max="12" width="14.5703125" customWidth="1"/>
    <col min="13" max="13" width="2" customWidth="1"/>
  </cols>
  <sheetData>
    <row r="1" spans="1:13" ht="13.5" thickBot="1" x14ac:dyDescent="0.25">
      <c r="K1" s="294">
        <f ca="1">NOW()</f>
        <v>43186.561796296293</v>
      </c>
      <c r="L1" s="294"/>
      <c r="M1" s="294"/>
    </row>
    <row r="2" spans="1:13" x14ac:dyDescent="0.2">
      <c r="A2" s="221" t="s">
        <v>64</v>
      </c>
      <c r="B2" s="5"/>
      <c r="C2" s="6"/>
      <c r="D2" s="6"/>
      <c r="E2" s="6"/>
      <c r="F2" s="6"/>
      <c r="G2" s="6"/>
      <c r="H2" s="6"/>
      <c r="I2" s="6"/>
      <c r="J2" s="6"/>
      <c r="K2" s="6"/>
      <c r="L2" s="6"/>
      <c r="M2" s="7"/>
    </row>
    <row r="3" spans="1:13" ht="15.75" customHeight="1" x14ac:dyDescent="0.25">
      <c r="A3" s="221" t="s">
        <v>65</v>
      </c>
      <c r="B3" s="8" t="s">
        <v>348</v>
      </c>
      <c r="C3" s="9"/>
      <c r="D3" s="9"/>
      <c r="E3" s="9"/>
      <c r="F3" s="9"/>
      <c r="G3" s="9"/>
      <c r="H3" s="9"/>
      <c r="I3" s="16" t="s">
        <v>8</v>
      </c>
      <c r="J3" s="2">
        <v>1.9</v>
      </c>
      <c r="K3" s="16" t="s">
        <v>9</v>
      </c>
      <c r="L3" s="3">
        <v>41730</v>
      </c>
      <c r="M3" s="15"/>
    </row>
    <row r="4" spans="1:13" ht="15.75" x14ac:dyDescent="0.25">
      <c r="A4" s="221" t="s">
        <v>66</v>
      </c>
      <c r="B4" s="233" t="s">
        <v>349</v>
      </c>
      <c r="C4" s="9"/>
      <c r="D4" s="9"/>
      <c r="E4" s="9"/>
      <c r="F4" s="9"/>
      <c r="G4" s="9"/>
      <c r="H4" s="9"/>
      <c r="I4" s="9"/>
      <c r="J4" s="9"/>
      <c r="K4" s="9"/>
      <c r="L4" s="9"/>
      <c r="M4" s="11"/>
    </row>
    <row r="5" spans="1:13" x14ac:dyDescent="0.2">
      <c r="A5" s="221" t="s">
        <v>67</v>
      </c>
      <c r="B5" s="10"/>
      <c r="C5" s="9"/>
      <c r="D5" s="9"/>
      <c r="E5" s="9"/>
      <c r="F5" s="9"/>
      <c r="G5" s="9"/>
      <c r="H5" s="9"/>
      <c r="I5" s="9"/>
      <c r="J5" s="9"/>
      <c r="K5" s="9"/>
      <c r="L5" s="9"/>
      <c r="M5" s="11"/>
    </row>
    <row r="6" spans="1:13" x14ac:dyDescent="0.2">
      <c r="A6" s="221" t="s">
        <v>62</v>
      </c>
      <c r="B6" s="10"/>
      <c r="C6" s="9"/>
      <c r="D6" s="9"/>
      <c r="E6" s="9"/>
      <c r="F6" s="9"/>
      <c r="G6" s="9"/>
      <c r="H6" s="9"/>
      <c r="I6" s="9"/>
      <c r="J6" s="9"/>
      <c r="K6" s="9"/>
      <c r="L6" s="9"/>
      <c r="M6" s="11"/>
    </row>
    <row r="7" spans="1:13" ht="17.25" customHeight="1" x14ac:dyDescent="0.2">
      <c r="A7" s="221" t="s">
        <v>354</v>
      </c>
      <c r="B7" s="10"/>
      <c r="C7" s="9" t="s">
        <v>313</v>
      </c>
      <c r="D7" s="9"/>
      <c r="E7" s="295" t="s">
        <v>375</v>
      </c>
      <c r="F7" s="296"/>
      <c r="G7" s="298" t="s">
        <v>10</v>
      </c>
      <c r="H7" s="299"/>
      <c r="I7" s="302" t="s">
        <v>373</v>
      </c>
      <c r="J7" s="301"/>
      <c r="K7" s="301"/>
      <c r="L7" s="296"/>
      <c r="M7" s="11"/>
    </row>
    <row r="8" spans="1:13" ht="7.5" customHeight="1" x14ac:dyDescent="0.2">
      <c r="B8" s="10"/>
      <c r="C8" s="9"/>
      <c r="D8" s="9"/>
      <c r="E8" s="9"/>
      <c r="F8" s="9"/>
      <c r="G8" s="9"/>
      <c r="H8" s="9"/>
      <c r="I8" s="9"/>
      <c r="J8" s="9"/>
      <c r="K8" s="9"/>
      <c r="L8" s="9"/>
      <c r="M8" s="11"/>
    </row>
    <row r="9" spans="1:13" ht="17.25" customHeight="1" x14ac:dyDescent="0.2">
      <c r="B9" s="10"/>
      <c r="C9" s="9" t="s">
        <v>333</v>
      </c>
      <c r="D9" s="9"/>
      <c r="E9" s="297">
        <v>42970</v>
      </c>
      <c r="F9" s="296"/>
      <c r="G9" s="298" t="s">
        <v>11</v>
      </c>
      <c r="H9" s="299"/>
      <c r="I9" s="300" t="s">
        <v>374</v>
      </c>
      <c r="J9" s="301"/>
      <c r="K9" s="301"/>
      <c r="L9" s="296"/>
      <c r="M9" s="11"/>
    </row>
    <row r="10" spans="1:13" ht="17.25" customHeight="1" x14ac:dyDescent="0.2">
      <c r="B10" s="10"/>
      <c r="C10" s="9"/>
      <c r="D10" s="9"/>
      <c r="E10" s="9"/>
      <c r="F10" s="9"/>
      <c r="G10" s="9"/>
      <c r="H10" s="9"/>
      <c r="I10" s="17"/>
      <c r="J10" s="17"/>
      <c r="K10" s="17"/>
      <c r="L10" s="17"/>
      <c r="M10" s="11"/>
    </row>
    <row r="11" spans="1:13" x14ac:dyDescent="0.2">
      <c r="B11" s="10"/>
      <c r="C11" s="9"/>
      <c r="D11" s="9"/>
      <c r="E11" s="9"/>
      <c r="F11" s="9"/>
      <c r="G11" s="9"/>
      <c r="H11" s="9"/>
      <c r="I11" s="9"/>
      <c r="J11" s="248" t="str">
        <f ca="1">IF(H18=0,"Complete your profile to display charges","")</f>
        <v/>
      </c>
      <c r="K11" s="9"/>
      <c r="L11" s="9"/>
      <c r="M11" s="11"/>
    </row>
    <row r="12" spans="1:13" x14ac:dyDescent="0.2">
      <c r="B12" s="10"/>
      <c r="C12" s="306" t="s">
        <v>19</v>
      </c>
      <c r="D12" s="307"/>
      <c r="E12" s="308"/>
      <c r="F12" s="304" t="s">
        <v>16</v>
      </c>
      <c r="G12" s="304"/>
      <c r="H12" s="19" t="s">
        <v>17</v>
      </c>
      <c r="I12" s="9"/>
      <c r="J12" s="306" t="s">
        <v>102</v>
      </c>
      <c r="K12" s="307"/>
      <c r="L12" s="308"/>
      <c r="M12" s="11"/>
    </row>
    <row r="13" spans="1:13" ht="17.25" customHeight="1" x14ac:dyDescent="0.2">
      <c r="B13" s="10"/>
      <c r="C13" s="305" t="s">
        <v>15</v>
      </c>
      <c r="D13" s="305"/>
      <c r="E13" s="305"/>
      <c r="F13" s="42" t="str">
        <f ca="1">IF(ISNONTEXT(Complexity_Emissions_Location!F5),"",Complexity_Emissions_Location!F5)</f>
        <v>C</v>
      </c>
      <c r="G13" s="18" t="str">
        <f ca="1">Complexity_Emissions_Location!F7</f>
        <v>A</v>
      </c>
      <c r="H13" s="18">
        <f ca="1">(IF(Complexity_Emissions_Location!F5=0,0,HLOOKUP(F13,References!$H$8:$O$13,2,FALSE)))+(IF(Complexity_Emissions_Location!F7=0,0,HLOOKUP(G13,References!$H$8:$O$13,2,FALSE)))</f>
        <v>39</v>
      </c>
      <c r="I13" s="9"/>
      <c r="J13" s="4" t="s">
        <v>103</v>
      </c>
      <c r="K13" s="4"/>
      <c r="L13" s="75">
        <f ca="1">H17*App_factor</f>
        <v>10492</v>
      </c>
      <c r="M13" s="11"/>
    </row>
    <row r="14" spans="1:13" ht="17.25" customHeight="1" x14ac:dyDescent="0.2">
      <c r="B14" s="10"/>
      <c r="C14" s="305" t="s">
        <v>12</v>
      </c>
      <c r="D14" s="305"/>
      <c r="E14" s="305"/>
      <c r="F14" s="293" t="str">
        <f>Complexity_Emissions_Location!O10</f>
        <v>C</v>
      </c>
      <c r="G14" s="293"/>
      <c r="H14" s="18">
        <f>IF(F14="","",HLOOKUP(F14,References!$H$8:$O$13,3,FALSE))</f>
        <v>15</v>
      </c>
      <c r="I14" s="9"/>
      <c r="J14" s="4" t="s">
        <v>356</v>
      </c>
      <c r="K14" s="4"/>
      <c r="L14" s="75">
        <f ca="1">H17*References!H4</f>
        <v>8540</v>
      </c>
      <c r="M14" s="11"/>
    </row>
    <row r="15" spans="1:13" ht="17.25" customHeight="1" x14ac:dyDescent="0.2">
      <c r="B15" s="10"/>
      <c r="C15" s="305" t="s">
        <v>13</v>
      </c>
      <c r="D15" s="305"/>
      <c r="E15" s="305"/>
      <c r="F15" s="293" t="str">
        <f ca="1">Complexity_Emissions_Location!O22</f>
        <v>D</v>
      </c>
      <c r="G15" s="293"/>
      <c r="H15" s="18">
        <f ca="1">IF(F15="","",HLOOKUP(F15,References!$H$8:$O$13,4,FALSE))</f>
        <v>5</v>
      </c>
      <c r="I15" s="9"/>
      <c r="J15" s="4" t="s">
        <v>329</v>
      </c>
      <c r="K15" s="4"/>
      <c r="L15" s="75">
        <f ca="1">H17*References!J4</f>
        <v>7625</v>
      </c>
      <c r="M15" s="11"/>
    </row>
    <row r="16" spans="1:13" ht="17.25" customHeight="1" x14ac:dyDescent="0.2">
      <c r="B16" s="10"/>
      <c r="C16" s="305" t="s">
        <v>14</v>
      </c>
      <c r="D16" s="305"/>
      <c r="E16" s="305"/>
      <c r="F16" s="293" t="str">
        <f ca="1">'Operator Performance'!H62</f>
        <v>A</v>
      </c>
      <c r="G16" s="293"/>
      <c r="H16" s="18">
        <f ca="1">IF(F16="","",HLOOKUP(F16,References!$H$8:$O$13,5,FALSE))</f>
        <v>2</v>
      </c>
      <c r="I16" s="9"/>
      <c r="J16" s="314" t="s">
        <v>330</v>
      </c>
      <c r="K16" s="314"/>
      <c r="L16" s="75">
        <f ca="1">H17*References!L4</f>
        <v>7625</v>
      </c>
      <c r="M16" s="11"/>
    </row>
    <row r="17" spans="2:13" x14ac:dyDescent="0.2">
      <c r="B17" s="10"/>
      <c r="C17" s="309" t="str">
        <f ca="1">IF(H18=0,"Incomplete","")</f>
        <v/>
      </c>
      <c r="D17" s="310"/>
      <c r="E17" s="311"/>
      <c r="F17" s="304" t="s">
        <v>18</v>
      </c>
      <c r="G17" s="304"/>
      <c r="H17" s="19">
        <f ca="1">SUM(H13:H16)</f>
        <v>61</v>
      </c>
      <c r="I17" s="9"/>
      <c r="J17" s="314" t="s">
        <v>331</v>
      </c>
      <c r="K17" s="314"/>
      <c r="L17" s="247" t="s">
        <v>332</v>
      </c>
      <c r="M17" s="11"/>
    </row>
    <row r="18" spans="2:13" x14ac:dyDescent="0.2">
      <c r="B18" s="10"/>
      <c r="C18" s="9"/>
      <c r="D18" s="9"/>
      <c r="E18" s="9"/>
      <c r="F18" s="9"/>
      <c r="G18" s="9"/>
      <c r="H18" s="249">
        <f ca="1">IF(LEN(F13&amp;F14&amp;F15&amp;F16)&lt;4,0,H17)</f>
        <v>61</v>
      </c>
      <c r="I18" s="9"/>
      <c r="J18" s="1"/>
      <c r="K18" s="252"/>
      <c r="L18" s="253"/>
      <c r="M18" s="11"/>
    </row>
    <row r="19" spans="2:13" x14ac:dyDescent="0.2">
      <c r="B19" s="10"/>
      <c r="C19" s="9"/>
      <c r="D19" s="9"/>
      <c r="E19" s="9"/>
      <c r="F19" s="9"/>
      <c r="G19" s="9"/>
      <c r="H19" s="249"/>
      <c r="I19" s="9"/>
      <c r="J19" s="1"/>
      <c r="K19" s="252"/>
      <c r="L19" s="253"/>
      <c r="M19" s="11"/>
    </row>
    <row r="20" spans="2:13" x14ac:dyDescent="0.2">
      <c r="B20" s="10"/>
      <c r="C20" s="315" t="s">
        <v>70</v>
      </c>
      <c r="D20" s="316"/>
      <c r="E20" s="317"/>
      <c r="F20" s="312"/>
      <c r="G20" s="313"/>
      <c r="H20" s="249"/>
      <c r="I20" s="9"/>
      <c r="J20" s="248" t="s">
        <v>357</v>
      </c>
      <c r="K20" s="252"/>
      <c r="L20" s="255">
        <f ca="1">IF(F20="",1,OFFSET(References!H13,,CODE(F20)-65))</f>
        <v>1</v>
      </c>
      <c r="M20" s="11"/>
    </row>
    <row r="21" spans="2:13" x14ac:dyDescent="0.2">
      <c r="B21" s="10"/>
      <c r="C21" s="9"/>
      <c r="D21" s="9"/>
      <c r="E21" s="9"/>
      <c r="F21" s="9"/>
      <c r="G21" s="9"/>
      <c r="H21" s="249"/>
      <c r="I21" s="9"/>
      <c r="J21" s="1"/>
      <c r="K21" s="9"/>
      <c r="L21" s="9"/>
      <c r="M21" s="11"/>
    </row>
    <row r="22" spans="2:13" x14ac:dyDescent="0.2">
      <c r="B22" s="10"/>
      <c r="C22" s="303" t="s">
        <v>167</v>
      </c>
      <c r="D22" s="303"/>
      <c r="E22" s="303"/>
      <c r="F22" s="9"/>
      <c r="G22" s="9"/>
      <c r="H22" s="9"/>
      <c r="I22" s="9"/>
      <c r="J22" s="9"/>
      <c r="K22" s="9"/>
      <c r="L22" s="254"/>
      <c r="M22" s="11"/>
    </row>
    <row r="23" spans="2:13" ht="13.5" thickBot="1" x14ac:dyDescent="0.25">
      <c r="B23" s="12"/>
      <c r="C23" s="13"/>
      <c r="D23" s="13"/>
      <c r="E23" s="13"/>
      <c r="F23" s="13"/>
      <c r="G23" s="13"/>
      <c r="H23" s="13"/>
      <c r="I23" s="13"/>
      <c r="J23" s="13"/>
      <c r="K23" s="13"/>
      <c r="L23" s="13"/>
      <c r="M23" s="14"/>
    </row>
    <row r="26" spans="2:13" x14ac:dyDescent="0.2">
      <c r="E26" s="221"/>
    </row>
  </sheetData>
  <sheetProtection password="DC5B" sheet="1" objects="1" scenarios="1"/>
  <mergeCells count="24">
    <mergeCell ref="C22:E22"/>
    <mergeCell ref="F17:G17"/>
    <mergeCell ref="C16:E16"/>
    <mergeCell ref="J12:L12"/>
    <mergeCell ref="F16:G16"/>
    <mergeCell ref="C17:E17"/>
    <mergeCell ref="C14:E14"/>
    <mergeCell ref="F20:G20"/>
    <mergeCell ref="J16:K16"/>
    <mergeCell ref="C20:E20"/>
    <mergeCell ref="J17:K17"/>
    <mergeCell ref="C12:E12"/>
    <mergeCell ref="C13:E13"/>
    <mergeCell ref="C15:E15"/>
    <mergeCell ref="F12:G12"/>
    <mergeCell ref="F14:G14"/>
    <mergeCell ref="F15:G15"/>
    <mergeCell ref="K1:M1"/>
    <mergeCell ref="E7:F7"/>
    <mergeCell ref="E9:F9"/>
    <mergeCell ref="G7:H7"/>
    <mergeCell ref="G9:H9"/>
    <mergeCell ref="I9:L9"/>
    <mergeCell ref="I7:L7"/>
  </mergeCells>
  <phoneticPr fontId="26" type="noConversion"/>
  <dataValidations count="2">
    <dataValidation type="date" operator="lessThanOrEqual" allowBlank="1" showInputMessage="1" showErrorMessage="1" errorTitle="Invalid Date" error="The date you have entered is in the future, please retry." promptTitle="Profile Date" prompt="Enter a valid date.  This cannot be in the future." sqref="E9:F9">
      <formula1>K1</formula1>
    </dataValidation>
    <dataValidation type="list" allowBlank="1" showInputMessage="1" showErrorMessage="1" sqref="F20:G20">
      <formula1>$A$2:$A$7</formula1>
    </dataValidation>
  </dataValidations>
  <hyperlinks>
    <hyperlink ref="C13:E13" location="Complexity_Attribute" display="Complexity_Attribute"/>
    <hyperlink ref="C14:E14" location="Emissions_Attribute" display="Emissions_Attribute"/>
    <hyperlink ref="C15:E15" location="Location_Attribute" display="Location_Attribute"/>
    <hyperlink ref="C16:E16" location="'Operator Performance'!A1" display="'Operator Performance'!A1"/>
    <hyperlink ref="C22" location="References!A1" display="References!A1"/>
  </hyperlinks>
  <pageMargins left="0.75" right="0.75" top="1" bottom="1" header="0.5" footer="0.5"/>
  <pageSetup paperSize="9" orientation="landscape" verticalDpi="0"/>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Q23"/>
  <sheetViews>
    <sheetView showGridLines="0" showRowColHeaders="0" showZeros="0" tabSelected="1" workbookViewId="0">
      <selection activeCell="T8" sqref="T8"/>
    </sheetView>
  </sheetViews>
  <sheetFormatPr defaultRowHeight="12.75" x14ac:dyDescent="0.2"/>
  <cols>
    <col min="1" max="1" width="1.85546875" customWidth="1"/>
    <col min="2" max="2" width="2.140625" customWidth="1"/>
    <col min="3" max="3" width="15.28515625" customWidth="1"/>
    <col min="4" max="4" width="15.42578125" customWidth="1"/>
    <col min="5" max="5" width="17.5703125" customWidth="1"/>
    <col min="6" max="6" width="7.42578125" customWidth="1"/>
    <col min="7" max="7" width="1.28515625" customWidth="1"/>
    <col min="8" max="8" width="1.5703125" customWidth="1"/>
    <col min="9" max="9" width="2.7109375" customWidth="1"/>
    <col min="10" max="10" width="23.7109375" customWidth="1"/>
    <col min="11" max="11" width="8.5703125" customWidth="1"/>
    <col min="13" max="13" width="10.140625" customWidth="1"/>
    <col min="14" max="14" width="6.28515625" customWidth="1"/>
    <col min="15" max="15" width="6.85546875" customWidth="1"/>
    <col min="16" max="16" width="2.140625" customWidth="1"/>
  </cols>
  <sheetData>
    <row r="1" spans="2:17" ht="7.5" customHeight="1" thickBot="1" x14ac:dyDescent="0.25"/>
    <row r="2" spans="2:17" ht="7.5" customHeight="1" x14ac:dyDescent="0.2">
      <c r="B2" s="5"/>
      <c r="C2" s="6"/>
      <c r="D2" s="6"/>
      <c r="E2" s="6"/>
      <c r="F2" s="6"/>
      <c r="G2" s="6"/>
      <c r="H2" s="6"/>
      <c r="I2" s="6"/>
      <c r="J2" s="6"/>
      <c r="K2" s="6"/>
      <c r="L2" s="6"/>
      <c r="M2" s="6"/>
      <c r="N2" s="6"/>
      <c r="O2" s="6"/>
      <c r="P2" s="7"/>
    </row>
    <row r="3" spans="2:17" ht="15.75" customHeight="1" x14ac:dyDescent="0.2">
      <c r="B3" s="10"/>
      <c r="C3" s="33" t="s">
        <v>22</v>
      </c>
      <c r="D3" s="34"/>
      <c r="E3" s="34"/>
      <c r="F3" s="34"/>
      <c r="G3" s="35"/>
      <c r="H3" s="47"/>
      <c r="I3" s="33" t="s">
        <v>31</v>
      </c>
      <c r="J3" s="50"/>
      <c r="K3" s="31"/>
      <c r="L3" s="31"/>
      <c r="M3" s="31"/>
      <c r="N3" s="32"/>
      <c r="O3" s="65"/>
      <c r="P3" s="11"/>
    </row>
    <row r="4" spans="2:17" x14ac:dyDescent="0.2">
      <c r="B4" s="10"/>
      <c r="C4" s="24"/>
      <c r="D4" s="9"/>
      <c r="E4" s="9"/>
      <c r="F4" s="9"/>
      <c r="G4" s="25"/>
      <c r="H4" s="9"/>
      <c r="I4" s="30"/>
      <c r="J4" s="51"/>
      <c r="K4" s="9"/>
      <c r="L4" s="9"/>
      <c r="M4" s="9"/>
      <c r="N4" s="9"/>
      <c r="O4" s="25"/>
      <c r="P4" s="11"/>
    </row>
    <row r="5" spans="2:17" ht="22.5" customHeight="1" x14ac:dyDescent="0.2">
      <c r="B5" s="10"/>
      <c r="C5" s="37" t="s">
        <v>20</v>
      </c>
      <c r="D5" s="86">
        <v>42</v>
      </c>
      <c r="E5" s="38" t="s">
        <v>98</v>
      </c>
      <c r="F5" s="262" t="str">
        <f ca="1">OFFSET(References!C3,D5-1,0)</f>
        <v>C</v>
      </c>
      <c r="G5" s="48"/>
      <c r="H5" s="9"/>
      <c r="I5" s="30"/>
      <c r="J5" s="52" t="s">
        <v>23</v>
      </c>
      <c r="K5" s="36" t="s">
        <v>29</v>
      </c>
      <c r="L5" s="36" t="s">
        <v>30</v>
      </c>
      <c r="M5" s="36" t="s">
        <v>28</v>
      </c>
      <c r="N5" s="9"/>
      <c r="O5" s="25"/>
      <c r="P5" s="11"/>
    </row>
    <row r="6" spans="2:17" ht="22.5" customHeight="1" x14ac:dyDescent="0.2">
      <c r="B6" s="10"/>
      <c r="C6" s="26"/>
      <c r="D6" s="23"/>
      <c r="E6" s="22"/>
      <c r="F6" s="23"/>
      <c r="G6" s="49"/>
      <c r="H6" s="9"/>
      <c r="I6" s="30"/>
      <c r="J6" s="20" t="s">
        <v>24</v>
      </c>
      <c r="K6" s="85">
        <v>500000</v>
      </c>
      <c r="L6" s="20">
        <v>1000</v>
      </c>
      <c r="M6" s="231">
        <f>INT(K6/L6)</f>
        <v>500</v>
      </c>
      <c r="N6" s="9"/>
      <c r="O6" s="25"/>
      <c r="P6" s="11"/>
    </row>
    <row r="7" spans="2:17" ht="22.5" customHeight="1" x14ac:dyDescent="0.2">
      <c r="B7" s="10"/>
      <c r="C7" s="37" t="s">
        <v>107</v>
      </c>
      <c r="D7" s="86">
        <v>27</v>
      </c>
      <c r="E7" s="38" t="s">
        <v>108</v>
      </c>
      <c r="F7" s="262" t="str">
        <f ca="1">OFFSET(References!C3,D7-1,0)</f>
        <v>A</v>
      </c>
      <c r="G7" s="48"/>
      <c r="H7" s="9"/>
      <c r="I7" s="30"/>
      <c r="J7" s="20" t="s">
        <v>25</v>
      </c>
      <c r="K7" s="85"/>
      <c r="L7" s="20">
        <v>750</v>
      </c>
      <c r="M7" s="231">
        <f>INT(K7/L7)</f>
        <v>0</v>
      </c>
      <c r="N7" s="9"/>
      <c r="O7" s="25"/>
      <c r="P7" s="11"/>
    </row>
    <row r="8" spans="2:17" ht="22.5" customHeight="1" x14ac:dyDescent="0.2">
      <c r="B8" s="10"/>
      <c r="C8" s="83" t="s">
        <v>110</v>
      </c>
      <c r="D8" s="28"/>
      <c r="E8" s="28"/>
      <c r="F8" s="28"/>
      <c r="G8" s="29"/>
      <c r="H8" s="9"/>
      <c r="I8" s="30"/>
      <c r="J8" s="20" t="s">
        <v>26</v>
      </c>
      <c r="K8" s="85"/>
      <c r="L8" s="20">
        <v>500</v>
      </c>
      <c r="M8" s="231">
        <f>INT(K8/L8)</f>
        <v>0</v>
      </c>
      <c r="N8" s="9"/>
      <c r="O8" s="25"/>
      <c r="P8" s="11"/>
      <c r="Q8" s="39"/>
    </row>
    <row r="9" spans="2:17" ht="22.5" customHeight="1" x14ac:dyDescent="0.2">
      <c r="B9" s="10"/>
      <c r="C9" s="321" t="s">
        <v>350</v>
      </c>
      <c r="D9" s="321"/>
      <c r="E9" s="321"/>
      <c r="F9" s="321"/>
      <c r="G9" s="321"/>
      <c r="H9" s="9"/>
      <c r="I9" s="30"/>
      <c r="J9" s="20" t="s">
        <v>27</v>
      </c>
      <c r="K9" s="85"/>
      <c r="L9" s="20">
        <v>250</v>
      </c>
      <c r="M9" s="231">
        <f>INT(K9/L9)</f>
        <v>0</v>
      </c>
      <c r="N9" s="9"/>
      <c r="O9" s="25"/>
      <c r="P9" s="11"/>
      <c r="Q9" s="39"/>
    </row>
    <row r="10" spans="2:17" ht="18.75" customHeight="1" x14ac:dyDescent="0.2">
      <c r="B10" s="10"/>
      <c r="C10" s="322"/>
      <c r="D10" s="322"/>
      <c r="E10" s="322"/>
      <c r="F10" s="322"/>
      <c r="G10" s="322"/>
      <c r="H10" s="9"/>
      <c r="I10" s="30"/>
      <c r="J10" s="9"/>
      <c r="K10" s="9"/>
      <c r="L10" s="21" t="s">
        <v>18</v>
      </c>
      <c r="M10" s="232">
        <f>SUM(M6:M9)</f>
        <v>500</v>
      </c>
      <c r="N10" s="21" t="s">
        <v>97</v>
      </c>
      <c r="O10" s="263" t="str">
        <f>IF(D5=37,"B",IF(D5=41,"A",IF(K6 &amp; K7 &amp; K8 &amp; K9="","",IF(M10&lt;10,"A",IF(M10&lt;100,"B",IF(M10&lt;1000,"C",IF(M10&lt;10000,"D","E")))))))</f>
        <v>C</v>
      </c>
      <c r="P10" s="11"/>
      <c r="Q10" s="39"/>
    </row>
    <row r="11" spans="2:17" x14ac:dyDescent="0.2">
      <c r="B11" s="10"/>
      <c r="C11" s="322"/>
      <c r="D11" s="322"/>
      <c r="E11" s="322"/>
      <c r="F11" s="322"/>
      <c r="G11" s="322"/>
      <c r="H11" s="9"/>
      <c r="I11" s="30"/>
      <c r="J11" s="9"/>
      <c r="K11" s="9"/>
      <c r="L11" s="21"/>
      <c r="M11" s="64"/>
      <c r="N11" s="9"/>
      <c r="O11" s="25"/>
      <c r="P11" s="11"/>
      <c r="Q11" s="39"/>
    </row>
    <row r="12" spans="2:17" x14ac:dyDescent="0.2">
      <c r="B12" s="10"/>
      <c r="C12" s="322"/>
      <c r="D12" s="322"/>
      <c r="E12" s="322"/>
      <c r="F12" s="322"/>
      <c r="G12" s="322"/>
      <c r="H12" s="9"/>
      <c r="I12" s="83" t="s">
        <v>343</v>
      </c>
      <c r="J12" s="28"/>
      <c r="K12" s="28"/>
      <c r="L12" s="28"/>
      <c r="M12" s="28"/>
      <c r="N12" s="28"/>
      <c r="O12" s="29"/>
      <c r="P12" s="11"/>
    </row>
    <row r="13" spans="2:17" ht="6" customHeight="1" x14ac:dyDescent="0.2">
      <c r="B13" s="10"/>
      <c r="C13" s="9"/>
      <c r="D13" s="9"/>
      <c r="E13" s="9"/>
      <c r="F13" s="9"/>
      <c r="G13" s="9"/>
      <c r="H13" s="9"/>
      <c r="I13" s="9"/>
      <c r="J13" s="9"/>
      <c r="K13" s="9"/>
      <c r="L13" s="9"/>
      <c r="M13" s="9"/>
      <c r="N13" s="9"/>
      <c r="O13" s="9"/>
      <c r="P13" s="11"/>
    </row>
    <row r="14" spans="2:17" ht="15.75" customHeight="1" x14ac:dyDescent="0.2">
      <c r="B14" s="54" t="s">
        <v>37</v>
      </c>
      <c r="C14" s="50"/>
      <c r="D14" s="34"/>
      <c r="E14" s="34"/>
      <c r="F14" s="34"/>
      <c r="G14" s="34"/>
      <c r="H14" s="34"/>
      <c r="I14" s="34"/>
      <c r="J14" s="34"/>
      <c r="K14" s="34"/>
      <c r="L14" s="34"/>
      <c r="M14" s="34"/>
      <c r="N14" s="34"/>
      <c r="O14" s="55"/>
      <c r="P14" s="53"/>
    </row>
    <row r="15" spans="2:17" ht="17.25" customHeight="1" x14ac:dyDescent="0.2">
      <c r="B15" s="10"/>
      <c r="C15" s="58" t="s">
        <v>95</v>
      </c>
      <c r="D15" s="58"/>
      <c r="E15" s="59" t="s">
        <v>93</v>
      </c>
      <c r="F15" s="60" t="s">
        <v>17</v>
      </c>
      <c r="G15" s="61"/>
      <c r="H15" s="61"/>
      <c r="I15" s="58" t="s">
        <v>95</v>
      </c>
      <c r="J15" s="58"/>
      <c r="K15" s="58" t="s">
        <v>93</v>
      </c>
      <c r="L15" s="62"/>
      <c r="M15" s="58"/>
      <c r="N15" s="58"/>
      <c r="O15" s="60" t="s">
        <v>17</v>
      </c>
      <c r="P15" s="11"/>
    </row>
    <row r="16" spans="2:17" ht="23.25" customHeight="1" x14ac:dyDescent="0.2">
      <c r="B16" s="10"/>
      <c r="C16" s="319" t="s">
        <v>32</v>
      </c>
      <c r="D16" s="319"/>
      <c r="E16" s="86">
        <v>2</v>
      </c>
      <c r="F16" s="63">
        <f ca="1">OFFSET(References!E53,E16-1,0)</f>
        <v>3</v>
      </c>
      <c r="G16" s="67"/>
      <c r="H16" s="57"/>
      <c r="I16" s="23" t="s">
        <v>36</v>
      </c>
      <c r="J16" s="68"/>
      <c r="K16" s="86">
        <v>3</v>
      </c>
      <c r="L16" s="23"/>
      <c r="M16" s="46"/>
      <c r="N16" s="68"/>
      <c r="O16" s="68">
        <f ca="1">OFFSET(References!E67,K16-1,0)</f>
        <v>0</v>
      </c>
      <c r="P16" s="11"/>
    </row>
    <row r="17" spans="2:17" ht="12" customHeight="1" x14ac:dyDescent="0.2">
      <c r="B17" s="10"/>
      <c r="C17" s="23"/>
      <c r="D17" s="23"/>
      <c r="E17" s="23"/>
      <c r="F17" s="46"/>
      <c r="G17" s="23"/>
      <c r="H17" s="23"/>
      <c r="I17" s="23"/>
      <c r="J17" s="23"/>
      <c r="K17" s="23"/>
      <c r="L17" s="23"/>
      <c r="M17" s="23"/>
      <c r="N17" s="23"/>
      <c r="O17" s="46"/>
      <c r="P17" s="11"/>
    </row>
    <row r="18" spans="2:17" ht="23.25" customHeight="1" x14ac:dyDescent="0.2">
      <c r="B18" s="10"/>
      <c r="C18" s="320" t="s">
        <v>99</v>
      </c>
      <c r="D18" s="320"/>
      <c r="E18" s="87">
        <v>2</v>
      </c>
      <c r="F18" s="46">
        <f ca="1">OFFSET(References!E57,E18-1,0)</f>
        <v>2</v>
      </c>
      <c r="G18" s="46"/>
      <c r="H18" s="23"/>
      <c r="I18" s="56" t="s">
        <v>100</v>
      </c>
      <c r="J18" s="23"/>
      <c r="K18" s="86">
        <v>1</v>
      </c>
      <c r="L18" s="318"/>
      <c r="M18" s="318"/>
      <c r="N18" s="23"/>
      <c r="O18" s="22">
        <f ca="1">OFFSET(References!E70,K18-1,0)</f>
        <v>3</v>
      </c>
      <c r="P18" s="11"/>
    </row>
    <row r="19" spans="2:17" ht="12" customHeight="1" x14ac:dyDescent="0.2">
      <c r="B19" s="10"/>
      <c r="C19" s="68"/>
      <c r="D19" s="68"/>
      <c r="E19" s="68"/>
      <c r="F19" s="68"/>
      <c r="G19" s="23"/>
      <c r="H19" s="23"/>
      <c r="I19" s="68"/>
      <c r="J19" s="68"/>
      <c r="K19" s="68"/>
      <c r="L19" s="68"/>
      <c r="M19" s="68"/>
      <c r="N19" s="68"/>
      <c r="O19" s="68"/>
      <c r="P19" s="11"/>
    </row>
    <row r="20" spans="2:17" ht="23.25" customHeight="1" x14ac:dyDescent="0.2">
      <c r="B20" s="10"/>
      <c r="C20" s="23" t="s">
        <v>33</v>
      </c>
      <c r="D20" s="23"/>
      <c r="E20" s="86">
        <v>2</v>
      </c>
      <c r="F20" s="46">
        <f ca="1">OFFSET(References!E60,E20-1,0)</f>
        <v>1</v>
      </c>
      <c r="G20" s="23"/>
      <c r="H20" s="23"/>
      <c r="I20" s="23" t="s">
        <v>35</v>
      </c>
      <c r="J20" s="23"/>
      <c r="K20" s="86">
        <v>1</v>
      </c>
      <c r="L20" s="46"/>
      <c r="M20" s="68"/>
      <c r="N20" s="68"/>
      <c r="O20" s="68">
        <f ca="1">OFFSET(References!E74,K20-1,0)</f>
        <v>2</v>
      </c>
      <c r="P20" s="11"/>
    </row>
    <row r="21" spans="2:17" ht="12" customHeight="1" x14ac:dyDescent="0.2">
      <c r="B21" s="10"/>
      <c r="C21" s="23"/>
      <c r="D21" s="68"/>
      <c r="E21" s="68"/>
      <c r="F21" s="68"/>
      <c r="G21" s="68"/>
      <c r="H21" s="68"/>
      <c r="I21" s="68"/>
      <c r="J21" s="68"/>
      <c r="K21" s="68"/>
      <c r="L21" s="68"/>
      <c r="M21" s="68"/>
      <c r="N21" s="68"/>
      <c r="O21" s="68"/>
      <c r="P21" s="11"/>
      <c r="Q21" s="221"/>
    </row>
    <row r="22" spans="2:17" ht="22.5" customHeight="1" x14ac:dyDescent="0.2">
      <c r="B22" s="66"/>
      <c r="C22" s="56" t="s">
        <v>34</v>
      </c>
      <c r="D22" s="23"/>
      <c r="E22" s="88">
        <v>3</v>
      </c>
      <c r="F22" s="46">
        <f ca="1">OFFSET(References!E63,E22-1,0)</f>
        <v>3</v>
      </c>
      <c r="G22" s="23"/>
      <c r="H22" s="46"/>
      <c r="I22" s="68"/>
      <c r="J22" s="69" t="s">
        <v>96</v>
      </c>
      <c r="K22" s="46">
        <f ca="1">SUM(F16:F22,O16:O20)</f>
        <v>14</v>
      </c>
      <c r="L22" s="1"/>
      <c r="M22" s="1"/>
      <c r="N22" s="70" t="s">
        <v>97</v>
      </c>
      <c r="O22" s="264" t="str">
        <f ca="1">IF(Q23=0,"",IF(D5=37,"A",IF(K22&lt;=4,"A",IF(K22&lt;=8,"B",IF(K22&lt;=12,"C",IF(K22&lt;=18,"D","E"))))))</f>
        <v>D</v>
      </c>
      <c r="P22" s="11"/>
      <c r="Q22" s="221"/>
    </row>
    <row r="23" spans="2:17" ht="13.5" thickBot="1" x14ac:dyDescent="0.25">
      <c r="B23" s="12"/>
      <c r="C23" s="13"/>
      <c r="D23" s="13"/>
      <c r="E23" s="13"/>
      <c r="F23" s="13"/>
      <c r="G23" s="13"/>
      <c r="H23" s="13"/>
      <c r="I23" s="84" t="s">
        <v>360</v>
      </c>
      <c r="J23" s="13"/>
      <c r="K23" s="13"/>
      <c r="L23" s="13"/>
      <c r="M23" s="13"/>
      <c r="N23" s="13"/>
      <c r="O23" s="13"/>
      <c r="P23" s="14"/>
      <c r="Q23" s="221">
        <f ca="1">VALUE('Summary and Calculation'!H13&amp;'Summary and Calculation'!H14&amp;'Summary and Calculation'!H16)</f>
        <v>39152</v>
      </c>
    </row>
  </sheetData>
  <sheetProtection password="DC5B" sheet="1" objects="1" scenarios="1"/>
  <mergeCells count="4">
    <mergeCell ref="L18:M18"/>
    <mergeCell ref="C16:D16"/>
    <mergeCell ref="C18:D18"/>
    <mergeCell ref="C9:G12"/>
  </mergeCells>
  <phoneticPr fontId="26" type="noConversion"/>
  <dataValidations count="2">
    <dataValidation type="whole" allowBlank="1" showInputMessage="1" showErrorMessage="1" errorTitle="Data Entry Error" error="This is not a valid number_x000a_" promptTitle="Waste Input" prompt="Enter a whole number" sqref="K6:K9">
      <formula1>0</formula1>
      <formula2>10000000</formula2>
    </dataValidation>
    <dataValidation type="whole" allowBlank="1" showInputMessage="1" showErrorMessage="1" sqref="D7">
      <formula1>1</formula1>
      <formula2>IF(D5&gt;15,33,1)</formula2>
    </dataValidation>
  </dataValidations>
  <pageMargins left="0.75" right="0.75" top="1" bottom="1" header="0.5" footer="0.5"/>
  <pageSetup paperSize="9" orientation="landscape" verticalDpi="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026" r:id="rId3" name="Drop Down 2">
              <controlPr defaultSize="0" autoLine="0" autoPict="0">
                <anchor moveWithCells="1">
                  <from>
                    <xdr:col>3</xdr:col>
                    <xdr:colOff>0</xdr:colOff>
                    <xdr:row>4</xdr:row>
                    <xdr:rowOff>57150</xdr:rowOff>
                  </from>
                  <to>
                    <xdr:col>4</xdr:col>
                    <xdr:colOff>171450</xdr:colOff>
                    <xdr:row>4</xdr:row>
                    <xdr:rowOff>314325</xdr:rowOff>
                  </to>
                </anchor>
              </controlPr>
            </control>
          </mc:Choice>
        </mc:AlternateContent>
        <mc:AlternateContent xmlns:mc="http://schemas.openxmlformats.org/markup-compatibility/2006">
          <mc:Choice Requires="x14">
            <control shapeId="1027" r:id="rId4" name="Drop Down 3">
              <controlPr defaultSize="0" autoLine="0" autoPict="0">
                <anchor moveWithCells="1">
                  <from>
                    <xdr:col>3</xdr:col>
                    <xdr:colOff>0</xdr:colOff>
                    <xdr:row>6</xdr:row>
                    <xdr:rowOff>47625</xdr:rowOff>
                  </from>
                  <to>
                    <xdr:col>4</xdr:col>
                    <xdr:colOff>171450</xdr:colOff>
                    <xdr:row>6</xdr:row>
                    <xdr:rowOff>314325</xdr:rowOff>
                  </to>
                </anchor>
              </controlPr>
            </control>
          </mc:Choice>
        </mc:AlternateContent>
        <mc:AlternateContent xmlns:mc="http://schemas.openxmlformats.org/markup-compatibility/2006">
          <mc:Choice Requires="x14">
            <control shapeId="1028" r:id="rId5" name="Drop Down 4">
              <controlPr defaultSize="0" autoLine="0" autoPict="0">
                <anchor moveWithCells="1">
                  <from>
                    <xdr:col>4</xdr:col>
                    <xdr:colOff>38100</xdr:colOff>
                    <xdr:row>15</xdr:row>
                    <xdr:rowOff>76200</xdr:rowOff>
                  </from>
                  <to>
                    <xdr:col>4</xdr:col>
                    <xdr:colOff>1466850</xdr:colOff>
                    <xdr:row>15</xdr:row>
                    <xdr:rowOff>342900</xdr:rowOff>
                  </to>
                </anchor>
              </controlPr>
            </control>
          </mc:Choice>
        </mc:AlternateContent>
        <mc:AlternateContent xmlns:mc="http://schemas.openxmlformats.org/markup-compatibility/2006">
          <mc:Choice Requires="x14">
            <control shapeId="1029" r:id="rId6" name="Drop Down 5">
              <controlPr defaultSize="0" autoLine="0" autoPict="0">
                <anchor moveWithCells="1">
                  <from>
                    <xdr:col>4</xdr:col>
                    <xdr:colOff>38100</xdr:colOff>
                    <xdr:row>19</xdr:row>
                    <xdr:rowOff>76200</xdr:rowOff>
                  </from>
                  <to>
                    <xdr:col>4</xdr:col>
                    <xdr:colOff>1466850</xdr:colOff>
                    <xdr:row>19</xdr:row>
                    <xdr:rowOff>342900</xdr:rowOff>
                  </to>
                </anchor>
              </controlPr>
            </control>
          </mc:Choice>
        </mc:AlternateContent>
        <mc:AlternateContent xmlns:mc="http://schemas.openxmlformats.org/markup-compatibility/2006">
          <mc:Choice Requires="x14">
            <control shapeId="1031" r:id="rId7" name="Drop Down 7">
              <controlPr defaultSize="0" autoLine="0" autoPict="0">
                <anchor moveWithCells="1">
                  <from>
                    <xdr:col>10</xdr:col>
                    <xdr:colOff>47625</xdr:colOff>
                    <xdr:row>15</xdr:row>
                    <xdr:rowOff>95250</xdr:rowOff>
                  </from>
                  <to>
                    <xdr:col>13</xdr:col>
                    <xdr:colOff>447675</xdr:colOff>
                    <xdr:row>15</xdr:row>
                    <xdr:rowOff>361950</xdr:rowOff>
                  </to>
                </anchor>
              </controlPr>
            </control>
          </mc:Choice>
        </mc:AlternateContent>
        <mc:AlternateContent xmlns:mc="http://schemas.openxmlformats.org/markup-compatibility/2006">
          <mc:Choice Requires="x14">
            <control shapeId="1032" r:id="rId8" name="Drop Down 8">
              <controlPr defaultSize="0" autoLine="0" autoPict="0">
                <anchor moveWithCells="1">
                  <from>
                    <xdr:col>10</xdr:col>
                    <xdr:colOff>38100</xdr:colOff>
                    <xdr:row>19</xdr:row>
                    <xdr:rowOff>85725</xdr:rowOff>
                  </from>
                  <to>
                    <xdr:col>13</xdr:col>
                    <xdr:colOff>428625</xdr:colOff>
                    <xdr:row>19</xdr:row>
                    <xdr:rowOff>342900</xdr:rowOff>
                  </to>
                </anchor>
              </controlPr>
            </control>
          </mc:Choice>
        </mc:AlternateContent>
        <mc:AlternateContent xmlns:mc="http://schemas.openxmlformats.org/markup-compatibility/2006">
          <mc:Choice Requires="x14">
            <control shapeId="1033" r:id="rId9" name="Drop Down 9">
              <controlPr defaultSize="0" autoLine="0" autoPict="0">
                <anchor moveWithCells="1">
                  <from>
                    <xdr:col>4</xdr:col>
                    <xdr:colOff>38100</xdr:colOff>
                    <xdr:row>17</xdr:row>
                    <xdr:rowOff>76200</xdr:rowOff>
                  </from>
                  <to>
                    <xdr:col>4</xdr:col>
                    <xdr:colOff>1466850</xdr:colOff>
                    <xdr:row>17</xdr:row>
                    <xdr:rowOff>342900</xdr:rowOff>
                  </to>
                </anchor>
              </controlPr>
            </control>
          </mc:Choice>
        </mc:AlternateContent>
        <mc:AlternateContent xmlns:mc="http://schemas.openxmlformats.org/markup-compatibility/2006">
          <mc:Choice Requires="x14">
            <control shapeId="1034" r:id="rId10" name="Drop Down 10">
              <controlPr defaultSize="0" autoLine="0" autoPict="0">
                <anchor moveWithCells="1">
                  <from>
                    <xdr:col>4</xdr:col>
                    <xdr:colOff>38100</xdr:colOff>
                    <xdr:row>21</xdr:row>
                    <xdr:rowOff>57150</xdr:rowOff>
                  </from>
                  <to>
                    <xdr:col>4</xdr:col>
                    <xdr:colOff>1466850</xdr:colOff>
                    <xdr:row>21</xdr:row>
                    <xdr:rowOff>323850</xdr:rowOff>
                  </to>
                </anchor>
              </controlPr>
            </control>
          </mc:Choice>
        </mc:AlternateContent>
        <mc:AlternateContent xmlns:mc="http://schemas.openxmlformats.org/markup-compatibility/2006">
          <mc:Choice Requires="x14">
            <control shapeId="1035" r:id="rId11" name="Drop Down 11">
              <controlPr defaultSize="0" autoLine="0" autoPict="0">
                <anchor moveWithCells="1">
                  <from>
                    <xdr:col>10</xdr:col>
                    <xdr:colOff>38100</xdr:colOff>
                    <xdr:row>17</xdr:row>
                    <xdr:rowOff>85725</xdr:rowOff>
                  </from>
                  <to>
                    <xdr:col>13</xdr:col>
                    <xdr:colOff>428625</xdr:colOff>
                    <xdr:row>17</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I71"/>
  <sheetViews>
    <sheetView showGridLines="0" zoomScaleNormal="100" zoomScaleSheetLayoutView="100" workbookViewId="0">
      <selection activeCell="H38" sqref="H38"/>
    </sheetView>
  </sheetViews>
  <sheetFormatPr defaultRowHeight="12.75" x14ac:dyDescent="0.2"/>
  <cols>
    <col min="1" max="1" width="4.28515625" bestFit="1" customWidth="1"/>
    <col min="2" max="2" width="3.140625" customWidth="1"/>
    <col min="3" max="3" width="3.28515625" style="266" customWidth="1"/>
    <col min="4" max="4" width="80.42578125" customWidth="1"/>
    <col min="6" max="6" width="5.140625" style="91" customWidth="1"/>
    <col min="7" max="7" width="0.140625" hidden="1" customWidth="1"/>
    <col min="8" max="8" width="15" customWidth="1"/>
    <col min="9" max="9" width="4.140625" bestFit="1" customWidth="1"/>
  </cols>
  <sheetData>
    <row r="1" spans="1:9" ht="9.75" customHeight="1" thickBot="1" x14ac:dyDescent="0.25">
      <c r="I1" s="144"/>
    </row>
    <row r="2" spans="1:9" x14ac:dyDescent="0.2">
      <c r="A2" s="92">
        <f ca="1">(IF(Complexity_Emissions_Location!F5=0,0,HLOOKUP(Complexity_Emissions_Location!F5,References!$H$8:$O$13,2,FALSE)))</f>
        <v>35</v>
      </c>
      <c r="B2" s="5"/>
      <c r="C2" s="267"/>
      <c r="D2" s="152" t="s">
        <v>4</v>
      </c>
      <c r="E2" s="153" t="str">
        <f ca="1">IF(A2&gt;=50,"HIGH",IF(A2&gt;=10,"MEDIUM","LOW"))</f>
        <v>MEDIUM</v>
      </c>
      <c r="F2" s="154"/>
      <c r="G2" s="6"/>
      <c r="H2" s="6"/>
      <c r="I2" s="7"/>
    </row>
    <row r="3" spans="1:9" x14ac:dyDescent="0.2">
      <c r="A3" s="92"/>
      <c r="B3" s="161"/>
      <c r="C3" s="268"/>
      <c r="D3" s="111"/>
      <c r="E3" s="112"/>
      <c r="F3" s="151"/>
      <c r="G3" s="110"/>
      <c r="H3" s="110"/>
      <c r="I3" s="155"/>
    </row>
    <row r="4" spans="1:9" x14ac:dyDescent="0.2">
      <c r="A4" s="92" t="s">
        <v>89</v>
      </c>
      <c r="B4" s="10"/>
      <c r="C4" s="323" t="s">
        <v>0</v>
      </c>
      <c r="D4" s="324"/>
      <c r="E4" s="324"/>
      <c r="F4" s="324"/>
      <c r="G4" s="110"/>
      <c r="H4" s="145"/>
      <c r="I4" s="160"/>
    </row>
    <row r="5" spans="1:9" ht="25.5" x14ac:dyDescent="0.2">
      <c r="A5" s="92" t="s">
        <v>77</v>
      </c>
      <c r="B5" s="93"/>
      <c r="C5" s="269">
        <v>1</v>
      </c>
      <c r="D5" s="94" t="s">
        <v>314</v>
      </c>
      <c r="E5" s="115" t="s">
        <v>89</v>
      </c>
      <c r="F5" s="147">
        <f t="shared" ref="F5:F10" ca="1" si="0">IF(E5="yes",HLOOKUP($E$2,EMS_Score_Card,G5+1,FALSE),0)</f>
        <v>4</v>
      </c>
      <c r="G5" s="9">
        <v>1</v>
      </c>
      <c r="H5" s="156"/>
      <c r="I5" s="160"/>
    </row>
    <row r="6" spans="1:9" ht="25.5" x14ac:dyDescent="0.2">
      <c r="A6" s="92" t="s">
        <v>1</v>
      </c>
      <c r="B6" s="93"/>
      <c r="C6" s="270">
        <v>2</v>
      </c>
      <c r="D6" s="95" t="s">
        <v>117</v>
      </c>
      <c r="E6" s="116" t="s">
        <v>89</v>
      </c>
      <c r="F6" s="147">
        <f t="shared" ca="1" si="0"/>
        <v>2</v>
      </c>
      <c r="G6" s="9">
        <v>2</v>
      </c>
      <c r="H6" s="157"/>
      <c r="I6" s="11"/>
    </row>
    <row r="7" spans="1:9" x14ac:dyDescent="0.2">
      <c r="B7" s="93"/>
      <c r="C7" s="270">
        <v>3</v>
      </c>
      <c r="D7" s="95" t="s">
        <v>130</v>
      </c>
      <c r="E7" s="116"/>
      <c r="F7" s="147">
        <f t="shared" si="0"/>
        <v>0</v>
      </c>
      <c r="G7" s="9">
        <v>3</v>
      </c>
      <c r="H7" s="157"/>
      <c r="I7" s="11"/>
    </row>
    <row r="8" spans="1:9" ht="25.5" x14ac:dyDescent="0.2">
      <c r="B8" s="93"/>
      <c r="C8" s="270">
        <v>4</v>
      </c>
      <c r="D8" s="95" t="s">
        <v>315</v>
      </c>
      <c r="E8" s="116" t="s">
        <v>89</v>
      </c>
      <c r="F8" s="147">
        <f t="shared" ca="1" si="0"/>
        <v>2</v>
      </c>
      <c r="G8" s="9">
        <v>4</v>
      </c>
      <c r="H8" s="158" t="s">
        <v>132</v>
      </c>
      <c r="I8" s="11"/>
    </row>
    <row r="9" spans="1:9" ht="25.5" x14ac:dyDescent="0.2">
      <c r="B9" s="93"/>
      <c r="C9" s="270">
        <v>5</v>
      </c>
      <c r="D9" s="95" t="s">
        <v>316</v>
      </c>
      <c r="E9" s="116" t="s">
        <v>89</v>
      </c>
      <c r="F9" s="147">
        <f t="shared" ca="1" si="0"/>
        <v>2</v>
      </c>
      <c r="G9" s="9">
        <v>5</v>
      </c>
      <c r="H9" s="158" t="s">
        <v>133</v>
      </c>
      <c r="I9" s="11"/>
    </row>
    <row r="10" spans="1:9" ht="25.5" x14ac:dyDescent="0.2">
      <c r="B10" s="93"/>
      <c r="C10" s="270">
        <v>6</v>
      </c>
      <c r="D10" s="95" t="s">
        <v>317</v>
      </c>
      <c r="E10" s="116" t="s">
        <v>89</v>
      </c>
      <c r="F10" s="147">
        <f t="shared" ca="1" si="0"/>
        <v>2</v>
      </c>
      <c r="G10" s="9">
        <v>6</v>
      </c>
      <c r="H10" s="158" t="s">
        <v>134</v>
      </c>
      <c r="I10" s="11"/>
    </row>
    <row r="11" spans="1:9" x14ac:dyDescent="0.2">
      <c r="B11" s="93"/>
      <c r="C11" s="271"/>
      <c r="D11" s="96" t="s">
        <v>124</v>
      </c>
      <c r="E11" s="97"/>
      <c r="F11" s="148">
        <f ca="1">SUM(F5:F10)</f>
        <v>12</v>
      </c>
      <c r="G11" s="9"/>
      <c r="H11" s="159">
        <f ca="1">(F11/12)*2</f>
        <v>2</v>
      </c>
      <c r="I11" s="11"/>
    </row>
    <row r="12" spans="1:9" x14ac:dyDescent="0.2">
      <c r="B12" s="93"/>
      <c r="C12" s="272"/>
      <c r="D12" s="98"/>
      <c r="E12" s="99"/>
      <c r="F12" s="100"/>
      <c r="G12" s="9"/>
      <c r="H12" s="110"/>
      <c r="I12" s="11"/>
    </row>
    <row r="13" spans="1:9" ht="15" customHeight="1" x14ac:dyDescent="0.2">
      <c r="B13" s="93"/>
      <c r="C13" s="325" t="s">
        <v>126</v>
      </c>
      <c r="D13" s="326"/>
      <c r="E13" s="326"/>
      <c r="F13" s="326"/>
      <c r="G13" s="9"/>
      <c r="H13" s="145"/>
      <c r="I13" s="11"/>
    </row>
    <row r="14" spans="1:9" x14ac:dyDescent="0.2">
      <c r="B14" s="93"/>
      <c r="C14" s="273">
        <v>1</v>
      </c>
      <c r="D14" s="102" t="s">
        <v>123</v>
      </c>
      <c r="E14" s="330" t="s">
        <v>89</v>
      </c>
      <c r="F14" s="335">
        <f ca="1">IF(E14="yes",HLOOKUP($E$2,EMS_Score_Card,G14+1,FALSE),0)</f>
        <v>3</v>
      </c>
      <c r="G14" s="9">
        <v>7</v>
      </c>
      <c r="H14" s="157"/>
      <c r="I14" s="11"/>
    </row>
    <row r="15" spans="1:9" ht="38.25" x14ac:dyDescent="0.2">
      <c r="B15" s="93"/>
      <c r="C15" s="274"/>
      <c r="D15" s="103" t="s">
        <v>318</v>
      </c>
      <c r="E15" s="331"/>
      <c r="F15" s="336"/>
      <c r="G15" s="9"/>
      <c r="H15" s="157"/>
      <c r="I15" s="11"/>
    </row>
    <row r="16" spans="1:9" x14ac:dyDescent="0.2">
      <c r="B16" s="93"/>
      <c r="C16" s="269">
        <v>2</v>
      </c>
      <c r="D16" s="95" t="s">
        <v>114</v>
      </c>
      <c r="E16" s="117"/>
      <c r="F16" s="149"/>
      <c r="G16" s="9"/>
      <c r="H16" s="157"/>
      <c r="I16" s="11"/>
    </row>
    <row r="17" spans="2:9" ht="25.5" x14ac:dyDescent="0.2">
      <c r="B17" s="93"/>
      <c r="C17" s="275"/>
      <c r="D17" s="104" t="s">
        <v>319</v>
      </c>
      <c r="E17" s="116" t="s">
        <v>89</v>
      </c>
      <c r="F17" s="149">
        <f t="shared" ref="F17:F22" ca="1" si="1">IF(E17="yes",HLOOKUP($E$2,EMS_Score_Card,G17+1,FALSE),0)</f>
        <v>2</v>
      </c>
      <c r="G17" s="9">
        <v>8</v>
      </c>
      <c r="H17" s="157"/>
      <c r="I17" s="11"/>
    </row>
    <row r="18" spans="2:9" ht="25.5" x14ac:dyDescent="0.2">
      <c r="B18" s="93"/>
      <c r="C18" s="276"/>
      <c r="D18" s="113" t="s">
        <v>127</v>
      </c>
      <c r="E18" s="116" t="s">
        <v>89</v>
      </c>
      <c r="F18" s="149">
        <f t="shared" ca="1" si="1"/>
        <v>2</v>
      </c>
      <c r="G18" s="9">
        <v>9</v>
      </c>
      <c r="H18" s="157"/>
      <c r="I18" s="11"/>
    </row>
    <row r="19" spans="2:9" ht="25.5" x14ac:dyDescent="0.2">
      <c r="B19" s="93"/>
      <c r="C19" s="277"/>
      <c r="D19" s="104" t="s">
        <v>120</v>
      </c>
      <c r="E19" s="116" t="s">
        <v>89</v>
      </c>
      <c r="F19" s="149">
        <f t="shared" ca="1" si="1"/>
        <v>3</v>
      </c>
      <c r="G19" s="9">
        <v>10</v>
      </c>
      <c r="H19" s="157"/>
      <c r="I19" s="11"/>
    </row>
    <row r="20" spans="2:9" ht="25.5" x14ac:dyDescent="0.2">
      <c r="B20" s="93"/>
      <c r="C20" s="276"/>
      <c r="D20" s="104" t="s">
        <v>334</v>
      </c>
      <c r="E20" s="116" t="s">
        <v>89</v>
      </c>
      <c r="F20" s="149">
        <f t="shared" ca="1" si="1"/>
        <v>2</v>
      </c>
      <c r="G20" s="9">
        <v>11</v>
      </c>
      <c r="H20" s="157"/>
      <c r="I20" s="11"/>
    </row>
    <row r="21" spans="2:9" ht="25.5" x14ac:dyDescent="0.2">
      <c r="B21" s="93"/>
      <c r="C21" s="276"/>
      <c r="D21" s="104" t="s">
        <v>125</v>
      </c>
      <c r="E21" s="116" t="s">
        <v>89</v>
      </c>
      <c r="F21" s="149">
        <f t="shared" ca="1" si="1"/>
        <v>2</v>
      </c>
      <c r="G21" s="9">
        <v>12</v>
      </c>
      <c r="H21" s="158" t="s">
        <v>135</v>
      </c>
      <c r="I21" s="11"/>
    </row>
    <row r="22" spans="2:9" ht="25.5" x14ac:dyDescent="0.2">
      <c r="B22" s="93"/>
      <c r="C22" s="270">
        <v>3</v>
      </c>
      <c r="D22" s="95" t="s">
        <v>115</v>
      </c>
      <c r="E22" s="116" t="s">
        <v>89</v>
      </c>
      <c r="F22" s="149">
        <f t="shared" ca="1" si="1"/>
        <v>3</v>
      </c>
      <c r="G22" s="9">
        <v>13</v>
      </c>
      <c r="H22" s="158" t="s">
        <v>133</v>
      </c>
      <c r="I22" s="11"/>
    </row>
    <row r="23" spans="2:9" ht="25.5" x14ac:dyDescent="0.2">
      <c r="B23" s="93"/>
      <c r="C23" s="270">
        <v>4</v>
      </c>
      <c r="D23" s="95" t="s">
        <v>335</v>
      </c>
      <c r="E23" s="116" t="s">
        <v>89</v>
      </c>
      <c r="F23" s="149">
        <f>IF(E23="no",HLOOKUP($E$2,EMS_Score_Card,G23+1,FALSE),0)</f>
        <v>0</v>
      </c>
      <c r="G23" s="9">
        <v>14</v>
      </c>
      <c r="H23" s="158" t="s">
        <v>134</v>
      </c>
      <c r="I23" s="11"/>
    </row>
    <row r="24" spans="2:9" x14ac:dyDescent="0.2">
      <c r="B24" s="93"/>
      <c r="C24" s="278"/>
      <c r="D24" s="105" t="s">
        <v>336</v>
      </c>
      <c r="E24" s="109"/>
      <c r="F24" s="150">
        <f ca="1">SUM(F14:F23)</f>
        <v>17</v>
      </c>
      <c r="G24" s="9"/>
      <c r="H24" s="159">
        <f ca="1">(F24/17)*2</f>
        <v>2</v>
      </c>
      <c r="I24" s="160"/>
    </row>
    <row r="25" spans="2:9" x14ac:dyDescent="0.2">
      <c r="B25" s="93"/>
      <c r="C25" s="279"/>
      <c r="D25" s="106"/>
      <c r="E25" s="101"/>
      <c r="F25" s="108"/>
      <c r="G25" s="9"/>
      <c r="H25" s="110"/>
      <c r="I25" s="11"/>
    </row>
    <row r="26" spans="2:9" x14ac:dyDescent="0.2">
      <c r="B26" s="93"/>
      <c r="C26" s="325" t="s">
        <v>121</v>
      </c>
      <c r="D26" s="326"/>
      <c r="E26" s="326"/>
      <c r="F26" s="326"/>
      <c r="G26" s="9"/>
      <c r="H26" s="145"/>
      <c r="I26" s="11"/>
    </row>
    <row r="27" spans="2:9" ht="38.25" x14ac:dyDescent="0.2">
      <c r="B27" s="93"/>
      <c r="C27" s="280">
        <v>1</v>
      </c>
      <c r="D27" s="114" t="s">
        <v>367</v>
      </c>
      <c r="E27" s="118" t="s">
        <v>89</v>
      </c>
      <c r="F27" s="173">
        <f t="shared" ref="F27:F33" ca="1" si="2">IF(E27="yes",HLOOKUP($E$2,EMS_Score_Card,G27+1,FALSE),0)</f>
        <v>6</v>
      </c>
      <c r="G27" s="9">
        <v>15</v>
      </c>
      <c r="H27" s="25"/>
      <c r="I27" s="11"/>
    </row>
    <row r="28" spans="2:9" x14ac:dyDescent="0.2">
      <c r="B28" s="93"/>
      <c r="C28" s="270">
        <v>2</v>
      </c>
      <c r="D28" s="95" t="s">
        <v>128</v>
      </c>
      <c r="E28" s="116" t="s">
        <v>77</v>
      </c>
      <c r="F28" s="174">
        <f t="shared" si="2"/>
        <v>0</v>
      </c>
      <c r="G28" s="9">
        <v>16</v>
      </c>
      <c r="H28" s="25"/>
      <c r="I28" s="11"/>
    </row>
    <row r="29" spans="2:9" ht="25.5" x14ac:dyDescent="0.2">
      <c r="B29" s="93"/>
      <c r="C29" s="270">
        <v>3</v>
      </c>
      <c r="D29" s="95" t="s">
        <v>131</v>
      </c>
      <c r="E29" s="116" t="s">
        <v>89</v>
      </c>
      <c r="F29" s="174">
        <f>IF(E29="no",HLOOKUP($E$2,EMS_Score_Card,G29+1,FALSE),0)</f>
        <v>0</v>
      </c>
      <c r="G29" s="9">
        <v>17</v>
      </c>
      <c r="H29" s="25"/>
      <c r="I29" s="11"/>
    </row>
    <row r="30" spans="2:9" ht="25.5" x14ac:dyDescent="0.2">
      <c r="B30" s="196"/>
      <c r="C30" s="270">
        <v>4</v>
      </c>
      <c r="D30" s="95" t="s">
        <v>320</v>
      </c>
      <c r="E30" s="116" t="s">
        <v>89</v>
      </c>
      <c r="F30" s="174">
        <f t="shared" ca="1" si="2"/>
        <v>4</v>
      </c>
      <c r="G30" s="9">
        <v>18</v>
      </c>
      <c r="H30" s="25"/>
      <c r="I30" s="11"/>
    </row>
    <row r="31" spans="2:9" ht="25.5" x14ac:dyDescent="0.2">
      <c r="B31" s="93"/>
      <c r="C31" s="270">
        <v>5</v>
      </c>
      <c r="D31" s="95" t="s">
        <v>321</v>
      </c>
      <c r="E31" s="116"/>
      <c r="F31" s="174">
        <f t="shared" si="2"/>
        <v>0</v>
      </c>
      <c r="G31" s="9">
        <v>19</v>
      </c>
      <c r="H31" s="162" t="s">
        <v>132</v>
      </c>
      <c r="I31" s="11"/>
    </row>
    <row r="32" spans="2:9" ht="25.5" x14ac:dyDescent="0.2">
      <c r="B32" s="93"/>
      <c r="C32" s="270">
        <v>6</v>
      </c>
      <c r="D32" s="95" t="s">
        <v>322</v>
      </c>
      <c r="E32" s="116"/>
      <c r="F32" s="174">
        <f t="shared" si="2"/>
        <v>0</v>
      </c>
      <c r="G32" s="9">
        <v>20</v>
      </c>
      <c r="H32" s="162" t="s">
        <v>133</v>
      </c>
      <c r="I32" s="11"/>
    </row>
    <row r="33" spans="2:9" ht="25.5" x14ac:dyDescent="0.2">
      <c r="B33" s="93"/>
      <c r="C33" s="270">
        <v>7</v>
      </c>
      <c r="D33" s="95" t="s">
        <v>323</v>
      </c>
      <c r="E33" s="116"/>
      <c r="F33" s="174">
        <f t="shared" si="2"/>
        <v>0</v>
      </c>
      <c r="G33" s="9">
        <v>21</v>
      </c>
      <c r="H33" s="162" t="s">
        <v>134</v>
      </c>
      <c r="I33" s="11"/>
    </row>
    <row r="34" spans="2:9" x14ac:dyDescent="0.2">
      <c r="B34" s="93"/>
      <c r="C34" s="278"/>
      <c r="D34" s="105" t="s">
        <v>111</v>
      </c>
      <c r="E34" s="109"/>
      <c r="F34" s="175">
        <f ca="1">SUM(F27:F33)</f>
        <v>10</v>
      </c>
      <c r="G34" s="9"/>
      <c r="H34" s="163">
        <f ca="1">(F34/12)*2</f>
        <v>1.6666666666666667</v>
      </c>
      <c r="I34" s="11"/>
    </row>
    <row r="35" spans="2:9" x14ac:dyDescent="0.2">
      <c r="B35" s="93"/>
      <c r="C35" s="279"/>
      <c r="D35" s="106"/>
      <c r="E35" s="101"/>
      <c r="F35" s="108"/>
      <c r="G35" s="9"/>
      <c r="H35" s="110"/>
      <c r="I35" s="11"/>
    </row>
    <row r="36" spans="2:9" x14ac:dyDescent="0.2">
      <c r="B36" s="93"/>
      <c r="C36" s="325" t="s">
        <v>122</v>
      </c>
      <c r="D36" s="326"/>
      <c r="E36" s="326"/>
      <c r="F36" s="326"/>
      <c r="G36" s="9"/>
      <c r="H36" s="145"/>
      <c r="I36" s="11"/>
    </row>
    <row r="37" spans="2:9" ht="52.5" customHeight="1" x14ac:dyDescent="0.2">
      <c r="B37" s="93"/>
      <c r="C37" s="281"/>
      <c r="D37" s="327" t="s">
        <v>311</v>
      </c>
      <c r="E37" s="328"/>
      <c r="F37" s="329"/>
      <c r="G37" s="9"/>
      <c r="H37" s="25"/>
      <c r="I37" s="11"/>
    </row>
    <row r="38" spans="2:9" ht="25.5" x14ac:dyDescent="0.2">
      <c r="B38" s="93"/>
      <c r="C38" s="282">
        <v>1</v>
      </c>
      <c r="D38" s="225" t="s">
        <v>337</v>
      </c>
      <c r="E38" s="227">
        <v>1</v>
      </c>
      <c r="F38" s="226">
        <f ca="1">OFFSET(References!G16,E38,0)</f>
        <v>0</v>
      </c>
      <c r="G38" s="9">
        <v>22</v>
      </c>
      <c r="H38" s="25"/>
      <c r="I38" s="11"/>
    </row>
    <row r="39" spans="2:9" x14ac:dyDescent="0.2">
      <c r="B39" s="93"/>
      <c r="C39" s="278"/>
      <c r="D39" s="119" t="s">
        <v>116</v>
      </c>
      <c r="E39" s="107"/>
      <c r="F39" s="176">
        <f ca="1">MAX(F38:F38)</f>
        <v>0</v>
      </c>
      <c r="G39" s="9"/>
      <c r="H39" s="25"/>
      <c r="I39" s="11"/>
    </row>
    <row r="40" spans="2:9" ht="29.25" customHeight="1" x14ac:dyDescent="0.2">
      <c r="B40" s="93"/>
      <c r="C40" s="281">
        <v>2</v>
      </c>
      <c r="D40" s="327" t="s">
        <v>324</v>
      </c>
      <c r="E40" s="328"/>
      <c r="F40" s="181"/>
      <c r="G40" s="9"/>
      <c r="H40" s="25"/>
      <c r="I40" s="11"/>
    </row>
    <row r="41" spans="2:9" x14ac:dyDescent="0.2">
      <c r="B41" s="93"/>
      <c r="C41" s="283">
        <v>2.1</v>
      </c>
      <c r="D41" s="178" t="s">
        <v>112</v>
      </c>
      <c r="E41" s="179"/>
      <c r="F41" s="180"/>
      <c r="G41" s="9"/>
      <c r="H41" s="25"/>
      <c r="I41" s="11"/>
    </row>
    <row r="42" spans="2:9" x14ac:dyDescent="0.2">
      <c r="B42" s="93"/>
      <c r="C42" s="270"/>
      <c r="D42" s="120" t="s">
        <v>118</v>
      </c>
      <c r="E42" s="89" t="s">
        <v>89</v>
      </c>
      <c r="F42" s="174">
        <f t="shared" ref="F42:F47" ca="1" si="3">IF(E42="yes",HLOOKUP($E$2,EMS_Score_Card,G42+1,FALSE),0)</f>
        <v>3</v>
      </c>
      <c r="G42" s="9">
        <v>26</v>
      </c>
      <c r="H42" s="25"/>
      <c r="I42" s="11"/>
    </row>
    <row r="43" spans="2:9" ht="25.5" customHeight="1" x14ac:dyDescent="0.2">
      <c r="B43" s="93"/>
      <c r="C43" s="270"/>
      <c r="D43" s="120" t="s">
        <v>129</v>
      </c>
      <c r="E43" s="89" t="s">
        <v>89</v>
      </c>
      <c r="F43" s="174">
        <f t="shared" ca="1" si="3"/>
        <v>3</v>
      </c>
      <c r="G43" s="9">
        <v>27</v>
      </c>
      <c r="H43" s="25"/>
      <c r="I43" s="11"/>
    </row>
    <row r="44" spans="2:9" ht="25.5" x14ac:dyDescent="0.2">
      <c r="B44" s="93"/>
      <c r="C44" s="284"/>
      <c r="D44" s="121" t="s">
        <v>119</v>
      </c>
      <c r="E44" s="235" t="s">
        <v>89</v>
      </c>
      <c r="F44" s="174">
        <f t="shared" ca="1" si="3"/>
        <v>3</v>
      </c>
      <c r="G44" s="9">
        <v>28</v>
      </c>
      <c r="H44" s="25"/>
      <c r="I44" s="11"/>
    </row>
    <row r="45" spans="2:9" ht="27" customHeight="1" x14ac:dyDescent="0.2">
      <c r="B45" s="93"/>
      <c r="C45" s="285">
        <v>2.2000000000000002</v>
      </c>
      <c r="D45" s="237" t="s">
        <v>338</v>
      </c>
      <c r="E45" s="89" t="s">
        <v>89</v>
      </c>
      <c r="F45" s="234">
        <f t="shared" ca="1" si="3"/>
        <v>2</v>
      </c>
      <c r="G45" s="9">
        <v>29</v>
      </c>
      <c r="H45" s="25"/>
      <c r="I45" s="11"/>
    </row>
    <row r="46" spans="2:9" ht="25.5" x14ac:dyDescent="0.2">
      <c r="B46" s="93"/>
      <c r="C46" s="286">
        <v>2.2999999999999998</v>
      </c>
      <c r="D46" s="122" t="s">
        <v>339</v>
      </c>
      <c r="E46" s="236" t="s">
        <v>89</v>
      </c>
      <c r="F46" s="182">
        <f t="shared" ca="1" si="3"/>
        <v>1</v>
      </c>
      <c r="G46" s="9">
        <v>30</v>
      </c>
      <c r="H46" s="162" t="s">
        <v>132</v>
      </c>
      <c r="I46" s="11"/>
    </row>
    <row r="47" spans="2:9" ht="25.5" x14ac:dyDescent="0.2">
      <c r="B47" s="93"/>
      <c r="C47" s="270">
        <v>3</v>
      </c>
      <c r="D47" s="95" t="s">
        <v>340</v>
      </c>
      <c r="E47" s="116" t="s">
        <v>89</v>
      </c>
      <c r="F47" s="183">
        <f t="shared" ca="1" si="3"/>
        <v>1</v>
      </c>
      <c r="G47" s="9">
        <v>31</v>
      </c>
      <c r="H47" s="162" t="s">
        <v>136</v>
      </c>
      <c r="I47" s="11"/>
    </row>
    <row r="48" spans="2:9" ht="38.25" x14ac:dyDescent="0.2">
      <c r="B48" s="93"/>
      <c r="C48" s="281">
        <v>4</v>
      </c>
      <c r="D48" s="123" t="s">
        <v>341</v>
      </c>
      <c r="E48" s="90">
        <v>0</v>
      </c>
      <c r="F48" s="177">
        <f>E48*-2</f>
        <v>0</v>
      </c>
      <c r="G48" s="9">
        <v>32</v>
      </c>
      <c r="H48" s="162" t="s">
        <v>134</v>
      </c>
      <c r="I48" s="11"/>
    </row>
    <row r="49" spans="2:9" x14ac:dyDescent="0.2">
      <c r="B49" s="185"/>
      <c r="C49" s="281"/>
      <c r="D49" s="186" t="s">
        <v>137</v>
      </c>
      <c r="E49" s="124"/>
      <c r="F49" s="184">
        <f ca="1">IF(F39=20,F39+F48,IF(F39&gt;=12,F39+SUM(F47:F48),IF(SUM(F42:F46)&gt;F39,SUM(F42:F48),F39+SUM(F47:F48))))</f>
        <v>13</v>
      </c>
      <c r="G49" s="28"/>
      <c r="H49" s="163">
        <f ca="1">(F49/20)*4</f>
        <v>2.6</v>
      </c>
      <c r="I49" s="160"/>
    </row>
    <row r="50" spans="2:9" x14ac:dyDescent="0.2">
      <c r="B50" s="93"/>
      <c r="C50" s="126"/>
      <c r="D50" s="126"/>
      <c r="E50" s="127"/>
      <c r="F50" s="128"/>
      <c r="G50" s="9"/>
      <c r="H50" s="9"/>
      <c r="I50" s="11"/>
    </row>
    <row r="51" spans="2:9" x14ac:dyDescent="0.2">
      <c r="B51" s="93"/>
      <c r="C51" s="333" t="s">
        <v>140</v>
      </c>
      <c r="D51" s="334"/>
      <c r="E51" s="334"/>
      <c r="F51" s="334"/>
      <c r="G51" s="125"/>
      <c r="H51" s="164"/>
      <c r="I51" s="11"/>
    </row>
    <row r="52" spans="2:9" ht="6.75" customHeight="1" x14ac:dyDescent="0.2">
      <c r="B52" s="93"/>
      <c r="C52" s="287"/>
      <c r="D52" s="127"/>
      <c r="E52" s="127"/>
      <c r="F52" s="127"/>
      <c r="G52" s="127"/>
      <c r="H52" s="165"/>
      <c r="I52" s="11"/>
    </row>
    <row r="53" spans="2:9" ht="45.75" customHeight="1" x14ac:dyDescent="0.2">
      <c r="B53" s="93"/>
      <c r="C53" s="288"/>
      <c r="D53" s="332" t="s">
        <v>344</v>
      </c>
      <c r="E53" s="332"/>
      <c r="F53" s="332"/>
      <c r="G53" s="130"/>
      <c r="H53" s="165"/>
      <c r="I53" s="11"/>
    </row>
    <row r="54" spans="2:9" ht="76.5" x14ac:dyDescent="0.2">
      <c r="B54" s="93"/>
      <c r="C54" s="284">
        <v>1</v>
      </c>
      <c r="D54" s="131" t="s">
        <v>368</v>
      </c>
      <c r="E54" s="134">
        <v>0</v>
      </c>
      <c r="F54" s="138" t="str">
        <f>IF(E54=0,"",IF(E54=1,-5,IF(E54=2,-10,-40)))</f>
        <v/>
      </c>
      <c r="G54" s="136"/>
      <c r="H54" s="238"/>
      <c r="I54" s="11"/>
    </row>
    <row r="55" spans="2:9" ht="38.25" x14ac:dyDescent="0.2">
      <c r="B55" s="93"/>
      <c r="C55" s="284">
        <v>2</v>
      </c>
      <c r="D55" s="132" t="s">
        <v>369</v>
      </c>
      <c r="E55" s="135">
        <v>0</v>
      </c>
      <c r="F55" s="138" t="str">
        <f>IF(E55=0,"",IF(E55=1,-5,IF(E55=2,-10,-40)))</f>
        <v/>
      </c>
      <c r="G55" s="133"/>
      <c r="H55" s="239"/>
      <c r="I55" s="11"/>
    </row>
    <row r="56" spans="2:9" ht="51" x14ac:dyDescent="0.2">
      <c r="B56" s="93"/>
      <c r="C56" s="284">
        <v>3</v>
      </c>
      <c r="D56" s="132" t="s">
        <v>370</v>
      </c>
      <c r="E56" s="135">
        <v>0</v>
      </c>
      <c r="F56" s="138" t="str">
        <f>IF(E56=0,"",IF(E56=1,-10,IF(E56=2,-40,-40)))</f>
        <v/>
      </c>
      <c r="G56" s="133"/>
      <c r="H56" s="239"/>
      <c r="I56" s="11"/>
    </row>
    <row r="57" spans="2:9" ht="63.75" x14ac:dyDescent="0.2">
      <c r="B57" s="93"/>
      <c r="C57" s="284">
        <v>4</v>
      </c>
      <c r="D57" s="132" t="s">
        <v>371</v>
      </c>
      <c r="E57" s="135">
        <v>0</v>
      </c>
      <c r="F57" s="138" t="str">
        <f>IF(E57=0,"",IF(E57=1,-15,IF(E57=2,-40,-40)))</f>
        <v/>
      </c>
      <c r="G57" s="133"/>
      <c r="H57" s="240" t="s">
        <v>325</v>
      </c>
      <c r="I57" s="11"/>
    </row>
    <row r="58" spans="2:9" x14ac:dyDescent="0.2">
      <c r="B58" s="93"/>
      <c r="C58" s="278"/>
      <c r="D58" s="137"/>
      <c r="E58" s="97"/>
      <c r="F58" s="139">
        <f>SUM(F54:F57)</f>
        <v>0</v>
      </c>
      <c r="G58" s="166"/>
      <c r="H58" s="159">
        <f>(F58/40)*4</f>
        <v>0</v>
      </c>
      <c r="I58" s="11"/>
    </row>
    <row r="59" spans="2:9" x14ac:dyDescent="0.2">
      <c r="B59" s="93"/>
      <c r="C59" s="289"/>
      <c r="D59" s="140"/>
      <c r="E59" s="191"/>
      <c r="F59" s="192"/>
      <c r="G59" s="140"/>
      <c r="H59" s="190"/>
      <c r="I59" s="167"/>
    </row>
    <row r="60" spans="2:9" x14ac:dyDescent="0.2">
      <c r="B60" s="93"/>
      <c r="C60" s="289"/>
      <c r="D60" s="140"/>
      <c r="E60" s="187" t="s">
        <v>138</v>
      </c>
      <c r="F60" s="193"/>
      <c r="G60" s="140"/>
      <c r="H60" s="265">
        <f ca="1">H11+H24+H34+H49+H58</f>
        <v>8.2666666666666675</v>
      </c>
      <c r="I60" s="167"/>
    </row>
    <row r="61" spans="2:9" ht="8.25" customHeight="1" x14ac:dyDescent="0.2">
      <c r="B61" s="93"/>
      <c r="C61" s="290"/>
      <c r="D61" s="141"/>
      <c r="E61" s="194"/>
      <c r="F61" s="195"/>
      <c r="G61" s="140"/>
      <c r="H61" s="159"/>
      <c r="I61" s="167"/>
    </row>
    <row r="62" spans="2:9" ht="21" customHeight="1" x14ac:dyDescent="0.2">
      <c r="B62" s="93"/>
      <c r="C62" s="291"/>
      <c r="D62" s="142" t="s">
        <v>326</v>
      </c>
      <c r="E62" s="146"/>
      <c r="F62" s="189" t="s">
        <v>113</v>
      </c>
      <c r="G62" s="143"/>
      <c r="H62" s="188" t="str">
        <f ca="1">IF(H60=0,"",IF(H60&lt;2,"E",IF(H60&lt;4,"D",IF(H60&lt;6,"C",IF(H60&lt;8,"B","A")))))</f>
        <v>A</v>
      </c>
      <c r="I62" s="168"/>
    </row>
    <row r="63" spans="2:9" ht="13.5" thickBot="1" x14ac:dyDescent="0.25">
      <c r="B63" s="129"/>
      <c r="C63" s="292"/>
      <c r="D63" s="169"/>
      <c r="E63" s="170"/>
      <c r="F63" s="171"/>
      <c r="G63" s="169"/>
      <c r="H63" s="169"/>
      <c r="I63" s="172"/>
    </row>
    <row r="64" spans="2:9" ht="13.5" thickBot="1" x14ac:dyDescent="0.25"/>
    <row r="65" spans="5:9" x14ac:dyDescent="0.2">
      <c r="E65" s="199" t="s">
        <v>139</v>
      </c>
      <c r="F65" s="200"/>
      <c r="G65" s="201"/>
      <c r="H65" s="201"/>
      <c r="I65" s="202"/>
    </row>
    <row r="66" spans="5:9" x14ac:dyDescent="0.2">
      <c r="E66" s="203" t="s">
        <v>0</v>
      </c>
      <c r="F66" s="197"/>
      <c r="G66" s="4"/>
      <c r="H66" s="4"/>
      <c r="I66" s="204">
        <f ca="1">H11</f>
        <v>2</v>
      </c>
    </row>
    <row r="67" spans="5:9" x14ac:dyDescent="0.2">
      <c r="E67" s="203" t="s">
        <v>342</v>
      </c>
      <c r="F67" s="197"/>
      <c r="G67" s="4"/>
      <c r="H67" s="4"/>
      <c r="I67" s="204">
        <f ca="1">H24</f>
        <v>2</v>
      </c>
    </row>
    <row r="68" spans="5:9" ht="13.5" customHeight="1" x14ac:dyDescent="0.2">
      <c r="E68" s="203" t="s">
        <v>141</v>
      </c>
      <c r="F68" s="197"/>
      <c r="G68" s="4"/>
      <c r="H68" s="4"/>
      <c r="I68" s="204">
        <f ca="1">H34</f>
        <v>1.6666666666666667</v>
      </c>
    </row>
    <row r="69" spans="5:9" x14ac:dyDescent="0.2">
      <c r="E69" s="203" t="s">
        <v>142</v>
      </c>
      <c r="F69" s="198"/>
      <c r="G69" s="110"/>
      <c r="H69" s="145"/>
      <c r="I69" s="204">
        <f ca="1">H49</f>
        <v>2.6</v>
      </c>
    </row>
    <row r="70" spans="5:9" x14ac:dyDescent="0.2">
      <c r="E70" s="203" t="s">
        <v>143</v>
      </c>
      <c r="F70" s="197"/>
      <c r="G70" s="4"/>
      <c r="H70" s="4"/>
      <c r="I70" s="204">
        <f>H58</f>
        <v>0</v>
      </c>
    </row>
    <row r="71" spans="5:9" ht="13.5" thickBot="1" x14ac:dyDescent="0.25">
      <c r="E71" s="205" t="s">
        <v>144</v>
      </c>
      <c r="F71" s="206"/>
      <c r="G71" s="207"/>
      <c r="H71" s="207"/>
      <c r="I71" s="208">
        <f ca="1">H59+H60</f>
        <v>8.2666666666666675</v>
      </c>
    </row>
  </sheetData>
  <sheetProtection password="DC5B" sheet="1" objects="1" scenarios="1"/>
  <mergeCells count="10">
    <mergeCell ref="C4:F4"/>
    <mergeCell ref="C13:F13"/>
    <mergeCell ref="D37:F37"/>
    <mergeCell ref="E14:E15"/>
    <mergeCell ref="D53:F53"/>
    <mergeCell ref="C51:F51"/>
    <mergeCell ref="C26:F26"/>
    <mergeCell ref="C36:F36"/>
    <mergeCell ref="D40:E40"/>
    <mergeCell ref="F14:F15"/>
  </mergeCells>
  <phoneticPr fontId="26" type="noConversion"/>
  <conditionalFormatting sqref="C47:D47 C30:D30">
    <cfRule type="expression" dxfId="3" priority="1" stopIfTrue="1">
      <formula>$E$2="LOW"</formula>
    </cfRule>
  </conditionalFormatting>
  <conditionalFormatting sqref="E47 E30">
    <cfRule type="expression" dxfId="2" priority="2" stopIfTrue="1">
      <formula>$E$2="LOW"</formula>
    </cfRule>
  </conditionalFormatting>
  <conditionalFormatting sqref="E7 E31:E33">
    <cfRule type="expression" dxfId="1" priority="3" stopIfTrue="1">
      <formula>$E$2&lt;&gt;"HIGH"</formula>
    </cfRule>
  </conditionalFormatting>
  <conditionalFormatting sqref="C7:D7 C31:D33">
    <cfRule type="expression" dxfId="0" priority="4" stopIfTrue="1">
      <formula>$E$2&lt;&gt;"HIGH"</formula>
    </cfRule>
  </conditionalFormatting>
  <dataValidations xWindow="18484" yWindow="99" count="7">
    <dataValidation type="decimal" allowBlank="1" showInputMessage="1" showErrorMessage="1" errorTitle="Enter number of failures" error="Enter a whole number between 0 and 50. If you have more than 50 failures, please enter 50." promptTitle="A number between 0 and 50" prompt="Enter the number of failures (do not enter a number greater than 50)" sqref="E48">
      <formula1>0</formula1>
      <formula2>50</formula2>
    </dataValidation>
    <dataValidation type="list" allowBlank="1" showInputMessage="1" showErrorMessage="1" error="Enter Yes or No_x000a_" prompt="Enter Yes or No" sqref="E42:E47 E6 E27:E33 E17:E23">
      <formula1>$A$4:$A$5</formula1>
    </dataValidation>
    <dataValidation type="list" allowBlank="1" showInputMessage="1" showErrorMessage="1" error="Enter Y or N" prompt="Enter Y or N" sqref="E14:E15">
      <formula1>$A$4:$A$5</formula1>
    </dataValidation>
    <dataValidation allowBlank="1" showInputMessage="1" error="Enter Y or N" prompt="Enter Y or N" sqref="E16"/>
    <dataValidation type="list" allowBlank="1" showInputMessage="1" showErrorMessage="1" error="Enter Yes or No_x000a_" prompt="Enter Yes or No" sqref="E5 E7:E10">
      <formula1>$A$4:$A$6</formula1>
    </dataValidation>
    <dataValidation allowBlank="1" showInputMessage="1" error="_x000a_" sqref="E38"/>
    <dataValidation type="decimal" allowBlank="1" showInputMessage="1" showErrorMessage="1" errorTitle="Enter number of failures" error="Enter a whole number between 0 and 10. If you have more than 10 relevant enforcement actions of the same type, just enter 10." promptTitle="A number between 0 - 10" prompt="Enter the number of actions (do not enter a number greater than 10)" sqref="E54:E57">
      <formula1>0</formula1>
      <formula2>10</formula2>
    </dataValidation>
  </dataValidations>
  <pageMargins left="0.74803149606299213" right="0.74803149606299213" top="0.59055118110236227" bottom="0.59055118110236227" header="0.51181102362204722" footer="0.51181102362204722"/>
  <pageSetup paperSize="9" scale="73" fitToHeight="2" orientation="portrait" verticalDpi="200"/>
  <headerFooter alignWithMargins="0"/>
  <rowBreaks count="1" manualBreakCount="1">
    <brk id="35" min="1" max="8" man="1"/>
  </rowBreaks>
  <drawing r:id="rId1"/>
  <legacyDrawing r:id="rId2"/>
  <mc:AlternateContent xmlns:mc="http://schemas.openxmlformats.org/markup-compatibility/2006">
    <mc:Choice Requires="x14">
      <controls>
        <mc:AlternateContent xmlns:mc="http://schemas.openxmlformats.org/markup-compatibility/2006">
          <mc:Choice Requires="x14">
            <control shapeId="2081" r:id="rId3" name="Drop Down 33">
              <controlPr defaultSize="0" autoLine="0" autoPict="0">
                <anchor moveWithCells="1">
                  <from>
                    <xdr:col>3</xdr:col>
                    <xdr:colOff>6238875</xdr:colOff>
                    <xdr:row>37</xdr:row>
                    <xdr:rowOff>76200</xdr:rowOff>
                  </from>
                  <to>
                    <xdr:col>4</xdr:col>
                    <xdr:colOff>752475</xdr:colOff>
                    <xdr:row>37</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O85"/>
  <sheetViews>
    <sheetView showGridLines="0" zoomScale="91" zoomScaleNormal="91" workbookViewId="0">
      <selection activeCell="G15" sqref="G15"/>
    </sheetView>
  </sheetViews>
  <sheetFormatPr defaultRowHeight="12.75" x14ac:dyDescent="0.2"/>
  <cols>
    <col min="1" max="1" width="1.28515625" customWidth="1"/>
    <col min="2" max="2" width="17.42578125" customWidth="1"/>
    <col min="3" max="3" width="4.85546875" bestFit="1" customWidth="1"/>
    <col min="4" max="4" width="9.28515625" customWidth="1"/>
    <col min="5" max="5" width="6.7109375" customWidth="1"/>
    <col min="6" max="6" width="9.28515625" customWidth="1"/>
    <col min="7" max="7" width="7.28515625" bestFit="1" customWidth="1"/>
    <col min="8" max="8" width="6.7109375" customWidth="1"/>
    <col min="9" max="9" width="7.85546875" customWidth="1"/>
    <col min="10" max="10" width="6.7109375" customWidth="1"/>
    <col min="11" max="11" width="8.5703125" bestFit="1" customWidth="1"/>
    <col min="12" max="12" width="6.140625" customWidth="1"/>
    <col min="13" max="13" width="8" bestFit="1" customWidth="1"/>
    <col min="14" max="14" width="7.140625" customWidth="1"/>
  </cols>
  <sheetData>
    <row r="1" spans="2:15" ht="7.5" customHeight="1" x14ac:dyDescent="0.2"/>
    <row r="2" spans="2:15" x14ac:dyDescent="0.2">
      <c r="B2" s="77" t="s">
        <v>109</v>
      </c>
      <c r="C2" s="76"/>
      <c r="E2" t="s">
        <v>372</v>
      </c>
    </row>
    <row r="3" spans="2:15" x14ac:dyDescent="0.2">
      <c r="B3" s="80" t="s">
        <v>101</v>
      </c>
      <c r="C3" s="79"/>
      <c r="E3" s="77" t="s">
        <v>104</v>
      </c>
      <c r="F3" s="77"/>
      <c r="G3" s="243"/>
      <c r="H3" s="243"/>
      <c r="I3" s="243"/>
      <c r="J3" s="243"/>
      <c r="K3" s="243"/>
      <c r="L3" s="243"/>
      <c r="M3" s="257"/>
      <c r="N3" s="258"/>
    </row>
    <row r="4" spans="2:15" x14ac:dyDescent="0.2">
      <c r="B4" s="81" t="s">
        <v>38</v>
      </c>
      <c r="C4" s="79" t="s">
        <v>60</v>
      </c>
      <c r="E4" s="4" t="s">
        <v>105</v>
      </c>
      <c r="F4" s="78">
        <v>172</v>
      </c>
      <c r="G4" s="246" t="s">
        <v>355</v>
      </c>
      <c r="H4" s="244">
        <v>140</v>
      </c>
      <c r="I4" s="246" t="s">
        <v>327</v>
      </c>
      <c r="J4" s="245">
        <v>125</v>
      </c>
      <c r="K4" s="4" t="s">
        <v>328</v>
      </c>
      <c r="L4" s="245">
        <v>125</v>
      </c>
      <c r="M4" s="259"/>
      <c r="N4" s="260"/>
    </row>
    <row r="5" spans="2:15" x14ac:dyDescent="0.2">
      <c r="B5" s="81" t="s">
        <v>173</v>
      </c>
      <c r="C5" s="79" t="s">
        <v>65</v>
      </c>
      <c r="E5" s="4" t="s">
        <v>106</v>
      </c>
      <c r="F5" s="242" t="s">
        <v>1</v>
      </c>
      <c r="G5" s="241"/>
      <c r="H5" s="241"/>
      <c r="I5" s="241"/>
    </row>
    <row r="6" spans="2:15" x14ac:dyDescent="0.2">
      <c r="B6" s="81" t="s">
        <v>39</v>
      </c>
      <c r="C6" s="79" t="s">
        <v>61</v>
      </c>
    </row>
    <row r="7" spans="2:15" x14ac:dyDescent="0.2">
      <c r="B7" s="81" t="s">
        <v>174</v>
      </c>
      <c r="C7" s="79" t="s">
        <v>65</v>
      </c>
      <c r="E7" t="s">
        <v>346</v>
      </c>
    </row>
    <row r="8" spans="2:15" x14ac:dyDescent="0.2">
      <c r="B8" s="81" t="s">
        <v>40</v>
      </c>
      <c r="C8" s="79" t="s">
        <v>62</v>
      </c>
      <c r="E8" s="337" t="s">
        <v>63</v>
      </c>
      <c r="F8" s="338"/>
      <c r="G8" s="339"/>
      <c r="H8" s="40" t="s">
        <v>64</v>
      </c>
      <c r="I8" s="40" t="s">
        <v>65</v>
      </c>
      <c r="J8" s="40" t="s">
        <v>66</v>
      </c>
      <c r="K8" s="40" t="s">
        <v>67</v>
      </c>
      <c r="L8" s="40" t="s">
        <v>62</v>
      </c>
      <c r="M8" s="250" t="s">
        <v>345</v>
      </c>
      <c r="N8" s="71" t="s">
        <v>61</v>
      </c>
      <c r="O8" s="74" t="s">
        <v>60</v>
      </c>
    </row>
    <row r="9" spans="2:15" x14ac:dyDescent="0.2">
      <c r="B9" s="81" t="s">
        <v>175</v>
      </c>
      <c r="C9" s="79" t="s">
        <v>65</v>
      </c>
      <c r="E9" s="340" t="s">
        <v>21</v>
      </c>
      <c r="F9" s="341"/>
      <c r="G9" s="342"/>
      <c r="H9" s="41">
        <v>4</v>
      </c>
      <c r="I9" s="41">
        <v>10</v>
      </c>
      <c r="J9" s="41">
        <v>35</v>
      </c>
      <c r="K9" s="41">
        <v>50</v>
      </c>
      <c r="L9" s="41">
        <v>65</v>
      </c>
      <c r="M9" s="41">
        <v>100</v>
      </c>
      <c r="N9" s="73">
        <v>130</v>
      </c>
      <c r="O9" s="73">
        <v>195</v>
      </c>
    </row>
    <row r="10" spans="2:15" x14ac:dyDescent="0.2">
      <c r="B10" s="81" t="s">
        <v>41</v>
      </c>
      <c r="C10" s="79" t="s">
        <v>345</v>
      </c>
      <c r="E10" s="340" t="s">
        <v>69</v>
      </c>
      <c r="F10" s="341"/>
      <c r="G10" s="342"/>
      <c r="H10" s="41">
        <v>3</v>
      </c>
      <c r="I10" s="41">
        <v>7</v>
      </c>
      <c r="J10" s="41">
        <v>15</v>
      </c>
      <c r="K10" s="41">
        <v>30</v>
      </c>
      <c r="L10" s="41">
        <v>40</v>
      </c>
      <c r="M10" s="251"/>
      <c r="N10" s="72"/>
      <c r="O10" s="72"/>
    </row>
    <row r="11" spans="2:15" x14ac:dyDescent="0.2">
      <c r="B11" s="82" t="s">
        <v>168</v>
      </c>
      <c r="C11" s="41" t="s">
        <v>65</v>
      </c>
      <c r="E11" s="340" t="s">
        <v>68</v>
      </c>
      <c r="F11" s="341"/>
      <c r="G11" s="342"/>
      <c r="H11" s="41">
        <v>1</v>
      </c>
      <c r="I11" s="41">
        <v>2</v>
      </c>
      <c r="J11" s="41">
        <v>3</v>
      </c>
      <c r="K11" s="41">
        <v>5</v>
      </c>
      <c r="L11" s="41">
        <v>7</v>
      </c>
      <c r="M11" s="251"/>
      <c r="N11" s="72"/>
      <c r="O11" s="72"/>
    </row>
    <row r="12" spans="2:15" x14ac:dyDescent="0.2">
      <c r="B12" s="82" t="s">
        <v>176</v>
      </c>
      <c r="C12" s="41" t="s">
        <v>65</v>
      </c>
      <c r="E12" s="340" t="s">
        <v>347</v>
      </c>
      <c r="F12" s="341"/>
      <c r="G12" s="342"/>
      <c r="H12" s="41">
        <v>2</v>
      </c>
      <c r="I12" s="41">
        <v>4</v>
      </c>
      <c r="J12" s="41">
        <v>7</v>
      </c>
      <c r="K12" s="41">
        <v>10</v>
      </c>
      <c r="L12" s="41">
        <v>14</v>
      </c>
      <c r="M12" s="251"/>
      <c r="N12" s="72"/>
      <c r="O12" s="72"/>
    </row>
    <row r="13" spans="2:15" x14ac:dyDescent="0.2">
      <c r="B13" s="82" t="s">
        <v>42</v>
      </c>
      <c r="C13" s="41" t="s">
        <v>66</v>
      </c>
      <c r="E13" s="347" t="s">
        <v>70</v>
      </c>
      <c r="F13" s="348"/>
      <c r="G13" s="349"/>
      <c r="H13" s="41">
        <v>0.95</v>
      </c>
      <c r="I13" s="41">
        <v>1</v>
      </c>
      <c r="J13" s="41">
        <v>1.1000000000000001</v>
      </c>
      <c r="K13" s="41">
        <v>1.25</v>
      </c>
      <c r="L13" s="41">
        <v>1.5</v>
      </c>
      <c r="M13" s="41">
        <v>3</v>
      </c>
      <c r="N13" s="72"/>
      <c r="O13" s="72"/>
    </row>
    <row r="14" spans="2:15" x14ac:dyDescent="0.2">
      <c r="B14" s="82" t="s">
        <v>169</v>
      </c>
      <c r="C14" s="41" t="s">
        <v>64</v>
      </c>
      <c r="E14" s="50"/>
      <c r="F14" s="261" t="s">
        <v>63</v>
      </c>
      <c r="G14" s="50"/>
      <c r="H14" s="256" t="s">
        <v>64</v>
      </c>
      <c r="I14" s="256" t="s">
        <v>65</v>
      </c>
      <c r="J14" s="256" t="s">
        <v>66</v>
      </c>
      <c r="K14" s="256" t="s">
        <v>67</v>
      </c>
      <c r="L14" s="256" t="s">
        <v>62</v>
      </c>
      <c r="M14" s="256" t="s">
        <v>354</v>
      </c>
    </row>
    <row r="15" spans="2:15" x14ac:dyDescent="0.2">
      <c r="B15" s="82" t="s">
        <v>43</v>
      </c>
      <c r="C15" s="41" t="s">
        <v>66</v>
      </c>
    </row>
    <row r="16" spans="2:15" x14ac:dyDescent="0.2">
      <c r="B16" s="82" t="s">
        <v>170</v>
      </c>
      <c r="C16" s="41" t="s">
        <v>64</v>
      </c>
      <c r="E16" s="224" t="s">
        <v>306</v>
      </c>
      <c r="F16" s="223"/>
      <c r="G16" s="222" t="s">
        <v>17</v>
      </c>
    </row>
    <row r="17" spans="2:7" x14ac:dyDescent="0.2">
      <c r="B17" s="82" t="s">
        <v>44</v>
      </c>
      <c r="C17" s="41" t="s">
        <v>66</v>
      </c>
      <c r="E17" s="350" t="s">
        <v>77</v>
      </c>
      <c r="F17" s="351"/>
      <c r="G17" s="228">
        <v>0</v>
      </c>
    </row>
    <row r="18" spans="2:7" x14ac:dyDescent="0.2">
      <c r="B18" s="82" t="s">
        <v>171</v>
      </c>
      <c r="C18" s="41" t="s">
        <v>64</v>
      </c>
      <c r="E18" s="343" t="s">
        <v>307</v>
      </c>
      <c r="F18" s="344"/>
      <c r="G18" s="229">
        <v>20</v>
      </c>
    </row>
    <row r="19" spans="2:7" x14ac:dyDescent="0.2">
      <c r="B19" s="82" t="s">
        <v>45</v>
      </c>
      <c r="C19" s="41" t="s">
        <v>66</v>
      </c>
      <c r="E19" s="343" t="s">
        <v>308</v>
      </c>
      <c r="F19" s="344"/>
      <c r="G19" s="229">
        <v>15</v>
      </c>
    </row>
    <row r="20" spans="2:7" x14ac:dyDescent="0.2">
      <c r="B20" s="82" t="s">
        <v>172</v>
      </c>
      <c r="C20" s="41" t="s">
        <v>64</v>
      </c>
      <c r="E20" s="343" t="s">
        <v>309</v>
      </c>
      <c r="F20" s="344"/>
      <c r="G20" s="229">
        <v>12</v>
      </c>
    </row>
    <row r="21" spans="2:7" x14ac:dyDescent="0.2">
      <c r="B21" s="30" t="s">
        <v>312</v>
      </c>
      <c r="C21" s="79" t="s">
        <v>67</v>
      </c>
      <c r="E21" s="345" t="s">
        <v>310</v>
      </c>
      <c r="F21" s="346"/>
      <c r="G21" s="230">
        <v>8</v>
      </c>
    </row>
    <row r="22" spans="2:7" x14ac:dyDescent="0.2">
      <c r="B22" s="30" t="s">
        <v>46</v>
      </c>
      <c r="C22" s="79" t="s">
        <v>65</v>
      </c>
    </row>
    <row r="23" spans="2:7" x14ac:dyDescent="0.2">
      <c r="B23" s="30" t="s">
        <v>47</v>
      </c>
      <c r="C23" s="79" t="s">
        <v>66</v>
      </c>
    </row>
    <row r="24" spans="2:7" x14ac:dyDescent="0.2">
      <c r="B24" s="30" t="s">
        <v>48</v>
      </c>
      <c r="C24" s="79" t="s">
        <v>67</v>
      </c>
    </row>
    <row r="25" spans="2:7" x14ac:dyDescent="0.2">
      <c r="B25" s="30" t="s">
        <v>364</v>
      </c>
      <c r="C25" s="79" t="s">
        <v>65</v>
      </c>
    </row>
    <row r="26" spans="2:7" x14ac:dyDescent="0.2">
      <c r="B26" s="30" t="s">
        <v>363</v>
      </c>
      <c r="C26" s="79" t="s">
        <v>66</v>
      </c>
    </row>
    <row r="27" spans="2:7" x14ac:dyDescent="0.2">
      <c r="B27" s="30" t="s">
        <v>49</v>
      </c>
      <c r="C27" s="79" t="s">
        <v>65</v>
      </c>
    </row>
    <row r="28" spans="2:7" x14ac:dyDescent="0.2">
      <c r="B28" s="30" t="s">
        <v>50</v>
      </c>
      <c r="C28" s="79" t="s">
        <v>64</v>
      </c>
    </row>
    <row r="29" spans="2:7" x14ac:dyDescent="0.2">
      <c r="B29" s="30" t="s">
        <v>365</v>
      </c>
      <c r="C29" s="79" t="s">
        <v>64</v>
      </c>
    </row>
    <row r="30" spans="2:7" x14ac:dyDescent="0.2">
      <c r="B30" s="30" t="s">
        <v>366</v>
      </c>
      <c r="C30" s="79" t="s">
        <v>67</v>
      </c>
    </row>
    <row r="31" spans="2:7" x14ac:dyDescent="0.2">
      <c r="B31" s="30" t="s">
        <v>51</v>
      </c>
      <c r="C31" s="79" t="s">
        <v>62</v>
      </c>
    </row>
    <row r="32" spans="2:7" x14ac:dyDescent="0.2">
      <c r="B32" s="30" t="s">
        <v>52</v>
      </c>
      <c r="C32" s="79" t="s">
        <v>67</v>
      </c>
    </row>
    <row r="33" spans="2:3" x14ac:dyDescent="0.2">
      <c r="B33" s="30" t="s">
        <v>53</v>
      </c>
      <c r="C33" s="79" t="s">
        <v>66</v>
      </c>
    </row>
    <row r="34" spans="2:3" x14ac:dyDescent="0.2">
      <c r="B34" s="30" t="s">
        <v>353</v>
      </c>
      <c r="C34" s="79" t="s">
        <v>65</v>
      </c>
    </row>
    <row r="35" spans="2:3" x14ac:dyDescent="0.2">
      <c r="B35" s="30" t="s">
        <v>54</v>
      </c>
      <c r="C35" s="79" t="s">
        <v>66</v>
      </c>
    </row>
    <row r="36" spans="2:3" x14ac:dyDescent="0.2">
      <c r="B36" s="30" t="s">
        <v>55</v>
      </c>
      <c r="C36" s="79" t="s">
        <v>62</v>
      </c>
    </row>
    <row r="37" spans="2:3" x14ac:dyDescent="0.2">
      <c r="B37" s="30" t="s">
        <v>56</v>
      </c>
      <c r="C37" s="79" t="s">
        <v>66</v>
      </c>
    </row>
    <row r="38" spans="2:3" x14ac:dyDescent="0.2">
      <c r="B38" s="30" t="s">
        <v>57</v>
      </c>
      <c r="C38" s="79" t="s">
        <v>66</v>
      </c>
    </row>
    <row r="39" spans="2:3" x14ac:dyDescent="0.2">
      <c r="B39" s="30" t="s">
        <v>58</v>
      </c>
      <c r="C39" s="79" t="s">
        <v>65</v>
      </c>
    </row>
    <row r="40" spans="2:3" x14ac:dyDescent="0.2">
      <c r="B40" s="30" t="s">
        <v>59</v>
      </c>
      <c r="C40" s="79" t="s">
        <v>65</v>
      </c>
    </row>
    <row r="41" spans="2:3" x14ac:dyDescent="0.2">
      <c r="B41" s="30" t="s">
        <v>351</v>
      </c>
      <c r="C41" s="79" t="s">
        <v>362</v>
      </c>
    </row>
    <row r="42" spans="2:3" x14ac:dyDescent="0.2">
      <c r="B42" s="30" t="s">
        <v>352</v>
      </c>
      <c r="C42" s="79" t="s">
        <v>64</v>
      </c>
    </row>
    <row r="43" spans="2:3" x14ac:dyDescent="0.2">
      <c r="B43" s="30" t="s">
        <v>361</v>
      </c>
      <c r="C43" s="79" t="s">
        <v>65</v>
      </c>
    </row>
    <row r="44" spans="2:3" x14ac:dyDescent="0.2">
      <c r="B44" s="30" t="s">
        <v>358</v>
      </c>
      <c r="C44" s="79" t="s">
        <v>66</v>
      </c>
    </row>
    <row r="45" spans="2:3" x14ac:dyDescent="0.2">
      <c r="B45" s="27" t="s">
        <v>359</v>
      </c>
      <c r="C45" s="79" t="s">
        <v>64</v>
      </c>
    </row>
    <row r="46" spans="2:3" x14ac:dyDescent="0.2">
      <c r="B46" s="144"/>
      <c r="C46" s="214"/>
    </row>
    <row r="47" spans="2:3" x14ac:dyDescent="0.2">
      <c r="B47" s="144"/>
      <c r="C47" s="214"/>
    </row>
    <row r="51" spans="2:15" hidden="1" x14ac:dyDescent="0.2">
      <c r="B51" t="s">
        <v>37</v>
      </c>
    </row>
    <row r="52" spans="2:15" hidden="1" x14ac:dyDescent="0.2">
      <c r="B52" s="43" t="s">
        <v>90</v>
      </c>
      <c r="C52" s="43" t="s">
        <v>91</v>
      </c>
      <c r="D52" s="43" t="s">
        <v>93</v>
      </c>
      <c r="E52" s="43" t="s">
        <v>92</v>
      </c>
      <c r="F52" s="43" t="s">
        <v>94</v>
      </c>
    </row>
    <row r="53" spans="2:15" ht="12.75" hidden="1" customHeight="1" x14ac:dyDescent="0.2">
      <c r="B53" s="44">
        <v>1</v>
      </c>
      <c r="C53" s="45">
        <v>2</v>
      </c>
      <c r="D53" s="44" t="s">
        <v>71</v>
      </c>
      <c r="E53" s="45">
        <v>5</v>
      </c>
      <c r="F53" s="45">
        <v>1</v>
      </c>
      <c r="H53" t="s">
        <v>89</v>
      </c>
      <c r="K53" t="s">
        <v>3</v>
      </c>
      <c r="L53" t="s">
        <v>5</v>
      </c>
      <c r="M53" t="s">
        <v>2</v>
      </c>
      <c r="O53" t="s">
        <v>166</v>
      </c>
    </row>
    <row r="54" spans="2:15" ht="12.75" hidden="1" customHeight="1" x14ac:dyDescent="0.2">
      <c r="B54" s="44">
        <v>1</v>
      </c>
      <c r="C54" s="45">
        <v>2</v>
      </c>
      <c r="D54" s="44" t="s">
        <v>72</v>
      </c>
      <c r="E54" s="45">
        <v>3</v>
      </c>
      <c r="F54" s="45">
        <v>2</v>
      </c>
      <c r="H54" t="s">
        <v>77</v>
      </c>
      <c r="I54" t="s">
        <v>6</v>
      </c>
      <c r="J54">
        <v>1</v>
      </c>
      <c r="K54">
        <v>2</v>
      </c>
      <c r="L54">
        <v>4</v>
      </c>
      <c r="M54">
        <v>4</v>
      </c>
      <c r="O54">
        <v>24</v>
      </c>
    </row>
    <row r="55" spans="2:15" ht="12.75" hidden="1" customHeight="1" x14ac:dyDescent="0.2">
      <c r="B55" s="44">
        <v>1</v>
      </c>
      <c r="C55" s="45">
        <v>2</v>
      </c>
      <c r="D55" s="44" t="s">
        <v>73</v>
      </c>
      <c r="E55" s="45">
        <v>1</v>
      </c>
      <c r="F55" s="45">
        <v>3</v>
      </c>
      <c r="H55" t="s">
        <v>1</v>
      </c>
      <c r="J55">
        <v>2</v>
      </c>
      <c r="K55">
        <v>2</v>
      </c>
      <c r="L55">
        <v>2</v>
      </c>
      <c r="M55">
        <v>2</v>
      </c>
      <c r="O55">
        <v>26</v>
      </c>
    </row>
    <row r="56" spans="2:15" ht="12.75" hidden="1" customHeight="1" x14ac:dyDescent="0.2">
      <c r="B56" s="44">
        <v>1</v>
      </c>
      <c r="C56" s="45">
        <v>2</v>
      </c>
      <c r="D56" s="44" t="s">
        <v>74</v>
      </c>
      <c r="E56" s="45">
        <v>0</v>
      </c>
      <c r="F56" s="45">
        <v>4</v>
      </c>
      <c r="J56">
        <v>3</v>
      </c>
      <c r="K56">
        <v>2</v>
      </c>
      <c r="L56">
        <v>0</v>
      </c>
      <c r="M56">
        <v>0</v>
      </c>
      <c r="O56">
        <v>28</v>
      </c>
    </row>
    <row r="57" spans="2:15" ht="12.75" hidden="1" customHeight="1" x14ac:dyDescent="0.2">
      <c r="B57" s="44">
        <v>2</v>
      </c>
      <c r="C57" s="45">
        <v>3</v>
      </c>
      <c r="D57" s="44" t="s">
        <v>75</v>
      </c>
      <c r="E57" s="45">
        <v>3</v>
      </c>
      <c r="F57" s="45">
        <v>5</v>
      </c>
      <c r="J57">
        <v>4</v>
      </c>
      <c r="K57">
        <v>2</v>
      </c>
      <c r="L57">
        <v>2</v>
      </c>
      <c r="M57">
        <v>2</v>
      </c>
      <c r="O57">
        <v>30</v>
      </c>
    </row>
    <row r="58" spans="2:15" ht="12.75" hidden="1" customHeight="1" x14ac:dyDescent="0.2">
      <c r="B58" s="44">
        <v>2</v>
      </c>
      <c r="C58" s="45">
        <v>3</v>
      </c>
      <c r="D58" s="44" t="s">
        <v>76</v>
      </c>
      <c r="E58" s="45">
        <v>2</v>
      </c>
      <c r="F58" s="45">
        <v>6</v>
      </c>
      <c r="J58">
        <v>5</v>
      </c>
      <c r="K58">
        <v>2</v>
      </c>
      <c r="L58">
        <v>2</v>
      </c>
      <c r="M58">
        <v>2</v>
      </c>
      <c r="O58">
        <v>32</v>
      </c>
    </row>
    <row r="59" spans="2:15" ht="12.75" hidden="1" customHeight="1" x14ac:dyDescent="0.2">
      <c r="B59" s="44">
        <v>2</v>
      </c>
      <c r="C59" s="45">
        <v>3</v>
      </c>
      <c r="D59" s="44" t="s">
        <v>77</v>
      </c>
      <c r="E59" s="45">
        <v>0</v>
      </c>
      <c r="F59" s="45">
        <v>7</v>
      </c>
      <c r="J59">
        <v>6</v>
      </c>
      <c r="K59">
        <v>2</v>
      </c>
      <c r="L59">
        <v>2</v>
      </c>
      <c r="M59">
        <v>2</v>
      </c>
      <c r="O59">
        <v>36</v>
      </c>
    </row>
    <row r="60" spans="2:15" ht="12.75" hidden="1" customHeight="1" x14ac:dyDescent="0.2">
      <c r="B60" s="44">
        <v>3</v>
      </c>
      <c r="C60" s="45">
        <v>4</v>
      </c>
      <c r="D60" s="44" t="s">
        <v>78</v>
      </c>
      <c r="E60" s="45">
        <v>2</v>
      </c>
      <c r="F60" s="45">
        <v>8</v>
      </c>
      <c r="I60" t="s">
        <v>7</v>
      </c>
      <c r="J60">
        <v>7</v>
      </c>
      <c r="K60">
        <v>3</v>
      </c>
      <c r="L60">
        <v>3</v>
      </c>
      <c r="M60">
        <v>3</v>
      </c>
      <c r="O60">
        <v>42</v>
      </c>
    </row>
    <row r="61" spans="2:15" ht="12.75" hidden="1" customHeight="1" x14ac:dyDescent="0.2">
      <c r="B61" s="44">
        <v>3</v>
      </c>
      <c r="C61" s="45">
        <v>4</v>
      </c>
      <c r="D61" s="44" t="s">
        <v>79</v>
      </c>
      <c r="E61" s="45">
        <v>1</v>
      </c>
      <c r="F61" s="45">
        <v>9</v>
      </c>
      <c r="J61">
        <v>8</v>
      </c>
      <c r="K61">
        <v>2</v>
      </c>
      <c r="L61">
        <v>2</v>
      </c>
      <c r="M61">
        <v>2</v>
      </c>
      <c r="O61">
        <v>44</v>
      </c>
    </row>
    <row r="62" spans="2:15" ht="12.75" hidden="1" customHeight="1" x14ac:dyDescent="0.2">
      <c r="B62" s="44">
        <v>3</v>
      </c>
      <c r="C62" s="45">
        <v>4</v>
      </c>
      <c r="D62" s="44" t="s">
        <v>77</v>
      </c>
      <c r="E62" s="45">
        <v>0</v>
      </c>
      <c r="F62" s="45">
        <v>10</v>
      </c>
      <c r="J62">
        <v>9</v>
      </c>
      <c r="K62">
        <v>2</v>
      </c>
      <c r="L62">
        <v>2</v>
      </c>
      <c r="M62">
        <v>2</v>
      </c>
      <c r="O62">
        <v>46</v>
      </c>
    </row>
    <row r="63" spans="2:15" ht="12.75" hidden="1" customHeight="1" x14ac:dyDescent="0.2">
      <c r="B63" s="44">
        <v>4</v>
      </c>
      <c r="C63" s="45">
        <v>5</v>
      </c>
      <c r="D63" s="44" t="s">
        <v>80</v>
      </c>
      <c r="E63" s="45">
        <v>1</v>
      </c>
      <c r="F63" s="45">
        <v>11</v>
      </c>
      <c r="J63">
        <v>10</v>
      </c>
      <c r="K63">
        <v>3</v>
      </c>
      <c r="L63">
        <v>3</v>
      </c>
      <c r="M63">
        <v>3</v>
      </c>
      <c r="O63">
        <v>48</v>
      </c>
    </row>
    <row r="64" spans="2:15" ht="12.75" hidden="1" customHeight="1" x14ac:dyDescent="0.2">
      <c r="B64" s="44">
        <v>4</v>
      </c>
      <c r="C64" s="45">
        <v>5</v>
      </c>
      <c r="D64" s="44" t="s">
        <v>81</v>
      </c>
      <c r="E64" s="45">
        <v>2</v>
      </c>
      <c r="F64" s="45">
        <v>12</v>
      </c>
      <c r="J64">
        <v>11</v>
      </c>
      <c r="K64">
        <v>2</v>
      </c>
      <c r="L64">
        <v>2</v>
      </c>
      <c r="M64">
        <v>2</v>
      </c>
      <c r="O64">
        <v>50</v>
      </c>
    </row>
    <row r="65" spans="2:15" ht="12.75" hidden="1" customHeight="1" x14ac:dyDescent="0.2">
      <c r="B65" s="44">
        <v>4</v>
      </c>
      <c r="C65" s="45">
        <v>5</v>
      </c>
      <c r="D65" s="44" t="s">
        <v>82</v>
      </c>
      <c r="E65" s="45">
        <v>3</v>
      </c>
      <c r="F65" s="45">
        <v>13</v>
      </c>
      <c r="J65">
        <v>12</v>
      </c>
      <c r="K65">
        <v>2</v>
      </c>
      <c r="L65">
        <v>2</v>
      </c>
      <c r="M65">
        <v>2</v>
      </c>
      <c r="O65">
        <v>52</v>
      </c>
    </row>
    <row r="66" spans="2:15" ht="12.75" hidden="1" customHeight="1" x14ac:dyDescent="0.2">
      <c r="B66" s="44">
        <v>4</v>
      </c>
      <c r="C66" s="45">
        <v>5</v>
      </c>
      <c r="D66" s="44" t="s">
        <v>83</v>
      </c>
      <c r="E66" s="45">
        <v>0</v>
      </c>
      <c r="F66" s="45">
        <v>14</v>
      </c>
      <c r="J66">
        <v>13</v>
      </c>
      <c r="K66">
        <v>3</v>
      </c>
      <c r="L66">
        <v>3</v>
      </c>
      <c r="M66">
        <v>3</v>
      </c>
      <c r="O66">
        <v>65</v>
      </c>
    </row>
    <row r="67" spans="2:15" ht="12.75" hidden="1" customHeight="1" x14ac:dyDescent="0.2">
      <c r="B67" s="44">
        <v>5</v>
      </c>
      <c r="C67" s="45">
        <v>6</v>
      </c>
      <c r="D67" s="44" t="s">
        <v>84</v>
      </c>
      <c r="E67" s="45">
        <v>1</v>
      </c>
      <c r="F67" s="45">
        <v>15</v>
      </c>
      <c r="J67">
        <v>14</v>
      </c>
      <c r="K67">
        <v>-2</v>
      </c>
      <c r="L67">
        <v>-2</v>
      </c>
      <c r="M67">
        <v>-2</v>
      </c>
      <c r="O67">
        <v>69</v>
      </c>
    </row>
    <row r="68" spans="2:15" ht="12.75" hidden="1" customHeight="1" x14ac:dyDescent="0.2">
      <c r="B68" s="44">
        <v>5</v>
      </c>
      <c r="C68" s="45">
        <v>6</v>
      </c>
      <c r="D68" s="44" t="s">
        <v>85</v>
      </c>
      <c r="E68" s="45">
        <v>2</v>
      </c>
      <c r="F68" s="45">
        <v>16</v>
      </c>
      <c r="J68">
        <v>15</v>
      </c>
      <c r="K68">
        <v>4</v>
      </c>
      <c r="L68">
        <v>6</v>
      </c>
      <c r="M68">
        <v>10</v>
      </c>
      <c r="O68">
        <v>73</v>
      </c>
    </row>
    <row r="69" spans="2:15" ht="12.75" hidden="1" customHeight="1" x14ac:dyDescent="0.2">
      <c r="B69" s="44">
        <v>5</v>
      </c>
      <c r="C69" s="45">
        <v>6</v>
      </c>
      <c r="D69" s="44" t="s">
        <v>77</v>
      </c>
      <c r="E69" s="45">
        <v>0</v>
      </c>
      <c r="F69" s="45">
        <v>17</v>
      </c>
      <c r="J69">
        <v>16</v>
      </c>
      <c r="K69">
        <v>1</v>
      </c>
      <c r="L69">
        <v>2</v>
      </c>
      <c r="M69">
        <v>2</v>
      </c>
      <c r="O69">
        <v>75</v>
      </c>
    </row>
    <row r="70" spans="2:15" ht="12.75" hidden="1" customHeight="1" x14ac:dyDescent="0.2">
      <c r="B70" s="44">
        <v>6</v>
      </c>
      <c r="C70" s="45">
        <v>7</v>
      </c>
      <c r="D70" s="44" t="s">
        <v>86</v>
      </c>
      <c r="E70" s="45">
        <v>3</v>
      </c>
      <c r="F70" s="45">
        <v>18</v>
      </c>
      <c r="J70">
        <v>17</v>
      </c>
      <c r="K70">
        <v>-2</v>
      </c>
      <c r="L70">
        <v>-4</v>
      </c>
      <c r="M70">
        <v>-4</v>
      </c>
      <c r="O70">
        <v>77</v>
      </c>
    </row>
    <row r="71" spans="2:15" ht="12.75" hidden="1" customHeight="1" x14ac:dyDescent="0.2">
      <c r="B71" s="44">
        <v>6</v>
      </c>
      <c r="C71" s="45">
        <v>7</v>
      </c>
      <c r="D71" s="44" t="s">
        <v>87</v>
      </c>
      <c r="E71" s="45">
        <v>2</v>
      </c>
      <c r="F71" s="45">
        <v>19</v>
      </c>
      <c r="J71">
        <v>18</v>
      </c>
      <c r="K71">
        <v>1</v>
      </c>
      <c r="L71">
        <v>4</v>
      </c>
      <c r="M71">
        <v>0</v>
      </c>
      <c r="O71">
        <v>79</v>
      </c>
    </row>
    <row r="72" spans="2:15" ht="12.75" hidden="1" customHeight="1" x14ac:dyDescent="0.2">
      <c r="B72" s="44">
        <v>6</v>
      </c>
      <c r="C72" s="45">
        <v>7</v>
      </c>
      <c r="D72" s="44" t="s">
        <v>88</v>
      </c>
      <c r="E72" s="45">
        <v>1</v>
      </c>
      <c r="F72" s="45">
        <v>20</v>
      </c>
      <c r="J72">
        <v>19</v>
      </c>
      <c r="K72">
        <v>1</v>
      </c>
      <c r="L72">
        <v>0</v>
      </c>
      <c r="M72">
        <v>0</v>
      </c>
      <c r="O72">
        <v>81</v>
      </c>
    </row>
    <row r="73" spans="2:15" ht="12.75" hidden="1" customHeight="1" x14ac:dyDescent="0.2">
      <c r="B73" s="44">
        <v>6</v>
      </c>
      <c r="C73" s="45">
        <v>7</v>
      </c>
      <c r="D73" s="44" t="s">
        <v>77</v>
      </c>
      <c r="E73" s="45">
        <v>0</v>
      </c>
      <c r="F73" s="45">
        <v>21</v>
      </c>
      <c r="J73">
        <v>20</v>
      </c>
      <c r="K73">
        <v>2</v>
      </c>
      <c r="L73">
        <v>0</v>
      </c>
      <c r="M73">
        <v>0</v>
      </c>
      <c r="O73">
        <v>83</v>
      </c>
    </row>
    <row r="74" spans="2:15" ht="12.75" hidden="1" customHeight="1" x14ac:dyDescent="0.2">
      <c r="B74" s="44">
        <v>7</v>
      </c>
      <c r="C74" s="45">
        <v>8</v>
      </c>
      <c r="D74" s="44" t="s">
        <v>89</v>
      </c>
      <c r="E74" s="45">
        <v>2</v>
      </c>
      <c r="F74" s="45">
        <v>22</v>
      </c>
      <c r="J74">
        <v>21</v>
      </c>
      <c r="K74">
        <v>3</v>
      </c>
      <c r="L74">
        <v>0</v>
      </c>
      <c r="M74">
        <v>0</v>
      </c>
      <c r="O74">
        <v>87</v>
      </c>
    </row>
    <row r="75" spans="2:15" ht="12.75" hidden="1" customHeight="1" x14ac:dyDescent="0.2">
      <c r="B75" s="44">
        <v>7</v>
      </c>
      <c r="C75" s="45">
        <v>8</v>
      </c>
      <c r="D75" s="44" t="s">
        <v>77</v>
      </c>
      <c r="E75" s="45">
        <v>0</v>
      </c>
      <c r="F75" s="45">
        <v>23</v>
      </c>
      <c r="J75">
        <v>22</v>
      </c>
      <c r="K75">
        <v>20</v>
      </c>
      <c r="L75">
        <v>20</v>
      </c>
      <c r="M75">
        <v>20</v>
      </c>
      <c r="O75">
        <v>89</v>
      </c>
    </row>
    <row r="76" spans="2:15" hidden="1" x14ac:dyDescent="0.2">
      <c r="J76">
        <v>23</v>
      </c>
      <c r="K76">
        <v>15</v>
      </c>
      <c r="L76">
        <v>15</v>
      </c>
      <c r="M76">
        <v>15</v>
      </c>
      <c r="O76">
        <v>90</v>
      </c>
    </row>
    <row r="77" spans="2:15" hidden="1" x14ac:dyDescent="0.2">
      <c r="J77">
        <v>24</v>
      </c>
      <c r="K77">
        <v>12</v>
      </c>
      <c r="L77">
        <v>12</v>
      </c>
      <c r="M77">
        <v>12</v>
      </c>
      <c r="O77">
        <v>91</v>
      </c>
    </row>
    <row r="78" spans="2:15" hidden="1" x14ac:dyDescent="0.2">
      <c r="J78">
        <v>25</v>
      </c>
      <c r="K78">
        <v>8</v>
      </c>
      <c r="L78">
        <v>8</v>
      </c>
      <c r="M78">
        <v>8</v>
      </c>
      <c r="O78">
        <v>92</v>
      </c>
    </row>
    <row r="79" spans="2:15" hidden="1" x14ac:dyDescent="0.2">
      <c r="J79">
        <v>26</v>
      </c>
      <c r="K79">
        <v>3</v>
      </c>
      <c r="L79">
        <v>3</v>
      </c>
      <c r="M79">
        <v>3</v>
      </c>
      <c r="O79">
        <v>93</v>
      </c>
    </row>
    <row r="80" spans="2:15" hidden="1" x14ac:dyDescent="0.2">
      <c r="J80">
        <v>27</v>
      </c>
      <c r="K80">
        <v>3</v>
      </c>
      <c r="L80">
        <v>3</v>
      </c>
      <c r="M80">
        <v>3</v>
      </c>
      <c r="O80">
        <v>95</v>
      </c>
    </row>
    <row r="81" spans="10:15" hidden="1" x14ac:dyDescent="0.2">
      <c r="J81">
        <v>28</v>
      </c>
      <c r="K81">
        <v>3</v>
      </c>
      <c r="L81">
        <v>3</v>
      </c>
      <c r="M81">
        <v>3</v>
      </c>
      <c r="O81">
        <v>97</v>
      </c>
    </row>
    <row r="82" spans="10:15" hidden="1" x14ac:dyDescent="0.2">
      <c r="J82">
        <v>29</v>
      </c>
      <c r="K82">
        <v>2</v>
      </c>
      <c r="L82">
        <v>2</v>
      </c>
      <c r="M82">
        <v>2</v>
      </c>
      <c r="O82">
        <v>107</v>
      </c>
    </row>
    <row r="83" spans="10:15" hidden="1" x14ac:dyDescent="0.2">
      <c r="J83">
        <v>30</v>
      </c>
      <c r="K83">
        <v>1</v>
      </c>
      <c r="L83">
        <v>1</v>
      </c>
      <c r="M83">
        <v>1</v>
      </c>
      <c r="O83">
        <v>111</v>
      </c>
    </row>
    <row r="84" spans="10:15" hidden="1" x14ac:dyDescent="0.2">
      <c r="J84">
        <v>31</v>
      </c>
      <c r="K84">
        <v>1</v>
      </c>
      <c r="L84">
        <v>1</v>
      </c>
      <c r="M84">
        <v>1</v>
      </c>
      <c r="O84">
        <v>113</v>
      </c>
    </row>
    <row r="85" spans="10:15" hidden="1" x14ac:dyDescent="0.2">
      <c r="J85">
        <v>32</v>
      </c>
      <c r="K85">
        <v>-2</v>
      </c>
      <c r="L85">
        <v>-2</v>
      </c>
      <c r="M85">
        <v>-2</v>
      </c>
      <c r="O85">
        <v>115</v>
      </c>
    </row>
  </sheetData>
  <sheetProtection password="DC5B" sheet="1" objects="1" scenarios="1"/>
  <mergeCells count="11">
    <mergeCell ref="E21:F21"/>
    <mergeCell ref="E12:G12"/>
    <mergeCell ref="E13:G13"/>
    <mergeCell ref="E17:F17"/>
    <mergeCell ref="E18:F18"/>
    <mergeCell ref="E19:F19"/>
    <mergeCell ref="E8:G8"/>
    <mergeCell ref="E9:G9"/>
    <mergeCell ref="E11:G11"/>
    <mergeCell ref="E10:G10"/>
    <mergeCell ref="E20:F20"/>
  </mergeCells>
  <phoneticPr fontId="26" type="noConversion"/>
  <pageMargins left="0.75" right="0.75" top="1" bottom="1" header="0.5" footer="0.5"/>
  <pageSetup paperSize="9" scale="75" orientation="portrait" verticalDpi="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29"/>
  <sheetViews>
    <sheetView topLeftCell="A98" workbookViewId="0">
      <selection activeCell="C126" sqref="C126"/>
    </sheetView>
  </sheetViews>
  <sheetFormatPr defaultRowHeight="12.75" x14ac:dyDescent="0.2"/>
  <cols>
    <col min="1" max="1" width="33.7109375" customWidth="1"/>
    <col min="2" max="2" width="34.7109375" customWidth="1"/>
    <col min="3" max="3" width="9.28515625" customWidth="1"/>
    <col min="4" max="4" width="38.140625" bestFit="1" customWidth="1"/>
    <col min="6" max="6" width="90.140625" customWidth="1"/>
  </cols>
  <sheetData>
    <row r="1" spans="1:6" ht="12.75" customHeight="1" x14ac:dyDescent="0.2">
      <c r="F1" s="215" t="s">
        <v>177</v>
      </c>
    </row>
    <row r="2" spans="1:6" ht="12.75" customHeight="1" x14ac:dyDescent="0.2">
      <c r="F2" s="217" t="s">
        <v>221</v>
      </c>
    </row>
    <row r="3" spans="1:6" ht="12.75" customHeight="1" x14ac:dyDescent="0.2">
      <c r="F3" s="215" t="s">
        <v>222</v>
      </c>
    </row>
    <row r="4" spans="1:6" ht="12.75" customHeight="1" x14ac:dyDescent="0.2">
      <c r="F4" s="217" t="s">
        <v>223</v>
      </c>
    </row>
    <row r="5" spans="1:6" ht="12.75" customHeight="1" x14ac:dyDescent="0.2">
      <c r="F5" s="215" t="s">
        <v>224</v>
      </c>
    </row>
    <row r="6" spans="1:6" ht="12.75" customHeight="1" x14ac:dyDescent="0.2">
      <c r="A6" s="216" t="s">
        <v>225</v>
      </c>
      <c r="B6" t="str">
        <f>"&lt;"&amp;A6&amp;"&gt;"</f>
        <v>&lt;complexity_1_Band&gt;</v>
      </c>
      <c r="C6" s="216" t="str">
        <f ca="1">'Summary and Calculation'!F13</f>
        <v>C</v>
      </c>
      <c r="D6" t="str">
        <f>"&lt;/"&amp;A6&amp;"&gt;"</f>
        <v>&lt;/complexity_1_Band&gt;</v>
      </c>
      <c r="F6" t="str">
        <f ca="1">CONCATENATE(B6,C6,D6)</f>
        <v>&lt;complexity_1_Band&gt;C&lt;/complexity_1_Band&gt;</v>
      </c>
    </row>
    <row r="7" spans="1:6" ht="12.75" customHeight="1" x14ac:dyDescent="0.2">
      <c r="A7" s="216" t="s">
        <v>226</v>
      </c>
      <c r="B7" t="str">
        <f t="shared" ref="B7:B78" si="0">"&lt;"&amp;A7&amp;"&gt;"</f>
        <v>&lt;complexity_2_Band&gt;</v>
      </c>
      <c r="C7" s="216" t="str">
        <f ca="1">'Summary and Calculation'!G13</f>
        <v>A</v>
      </c>
      <c r="D7" t="str">
        <f t="shared" ref="D7:D78" si="1">"&lt;/"&amp;A7&amp;"&gt;"</f>
        <v>&lt;/complexity_2_Band&gt;</v>
      </c>
      <c r="F7" t="str">
        <f t="shared" ref="F7:F78" ca="1" si="2">CONCATENATE(B7,C7,D7)</f>
        <v>&lt;complexity_2_Band&gt;A&lt;/complexity_2_Band&gt;</v>
      </c>
    </row>
    <row r="8" spans="1:6" ht="12.75" customHeight="1" x14ac:dyDescent="0.2">
      <c r="A8" s="216" t="s">
        <v>227</v>
      </c>
      <c r="B8" t="str">
        <f t="shared" si="0"/>
        <v>&lt;complexity_Score&gt;</v>
      </c>
      <c r="C8" s="216">
        <f ca="1">'Summary and Calculation'!H13</f>
        <v>39</v>
      </c>
      <c r="D8" t="str">
        <f t="shared" si="1"/>
        <v>&lt;/complexity_Score&gt;</v>
      </c>
      <c r="F8" t="str">
        <f t="shared" ca="1" si="2"/>
        <v>&lt;complexity_Score&gt;39&lt;/complexity_Score&gt;</v>
      </c>
    </row>
    <row r="9" spans="1:6" ht="12.75" customHeight="1" x14ac:dyDescent="0.2">
      <c r="A9" s="216" t="s">
        <v>230</v>
      </c>
      <c r="B9" t="str">
        <f t="shared" si="0"/>
        <v>&lt;emissions_Band&gt;</v>
      </c>
      <c r="C9" s="216" t="str">
        <f>'Summary and Calculation'!F14</f>
        <v>C</v>
      </c>
      <c r="D9" t="str">
        <f t="shared" si="1"/>
        <v>&lt;/emissions_Band&gt;</v>
      </c>
      <c r="F9" t="str">
        <f t="shared" si="2"/>
        <v>&lt;emissions_Band&gt;C&lt;/emissions_Band&gt;</v>
      </c>
    </row>
    <row r="10" spans="1:6" ht="12.75" customHeight="1" x14ac:dyDescent="0.2">
      <c r="A10" s="216" t="s">
        <v>231</v>
      </c>
      <c r="B10" t="str">
        <f t="shared" si="0"/>
        <v>&lt;emissions_Score&gt;</v>
      </c>
      <c r="C10" s="216">
        <f>'Summary and Calculation'!H14</f>
        <v>15</v>
      </c>
      <c r="D10" t="str">
        <f t="shared" si="1"/>
        <v>&lt;/emissions_Score&gt;</v>
      </c>
      <c r="F10" t="str">
        <f t="shared" si="2"/>
        <v>&lt;emissions_Score&gt;15&lt;/emissions_Score&gt;</v>
      </c>
    </row>
    <row r="11" spans="1:6" ht="12.75" customHeight="1" x14ac:dyDescent="0.2">
      <c r="A11" s="216" t="s">
        <v>245</v>
      </c>
      <c r="B11" t="str">
        <f t="shared" si="0"/>
        <v>&lt;location_Band&gt;</v>
      </c>
      <c r="C11" s="216" t="str">
        <f ca="1">'Summary and Calculation'!F15</f>
        <v>D</v>
      </c>
      <c r="D11" t="str">
        <f t="shared" si="1"/>
        <v>&lt;/location_Band&gt;</v>
      </c>
      <c r="F11" t="str">
        <f t="shared" ca="1" si="2"/>
        <v>&lt;location_Band&gt;D&lt;/location_Band&gt;</v>
      </c>
    </row>
    <row r="12" spans="1:6" ht="12.75" customHeight="1" x14ac:dyDescent="0.2">
      <c r="A12" s="216" t="s">
        <v>246</v>
      </c>
      <c r="B12" t="str">
        <f t="shared" si="0"/>
        <v>&lt;location_Score&gt;</v>
      </c>
      <c r="C12" s="216">
        <f ca="1">'Summary and Calculation'!H15</f>
        <v>5</v>
      </c>
      <c r="D12" t="str">
        <f t="shared" si="1"/>
        <v>&lt;/location_Score&gt;</v>
      </c>
      <c r="F12" t="str">
        <f t="shared" ca="1" si="2"/>
        <v>&lt;location_Score&gt;5&lt;/location_Score&gt;</v>
      </c>
    </row>
    <row r="13" spans="1:6" ht="12.75" customHeight="1" x14ac:dyDescent="0.2">
      <c r="A13" s="216" t="s">
        <v>243</v>
      </c>
      <c r="B13" t="str">
        <f t="shared" si="0"/>
        <v>&lt;oP_Perf_Band&gt;</v>
      </c>
      <c r="C13" s="216" t="str">
        <f ca="1">'Summary and Calculation'!F16</f>
        <v>A</v>
      </c>
      <c r="D13" t="str">
        <f t="shared" si="1"/>
        <v>&lt;/oP_Perf_Band&gt;</v>
      </c>
      <c r="F13" t="str">
        <f t="shared" ca="1" si="2"/>
        <v>&lt;oP_Perf_Band&gt;A&lt;/oP_Perf_Band&gt;</v>
      </c>
    </row>
    <row r="14" spans="1:6" ht="12.75" customHeight="1" x14ac:dyDescent="0.2">
      <c r="A14" s="216" t="s">
        <v>244</v>
      </c>
      <c r="B14" t="str">
        <f t="shared" si="0"/>
        <v>&lt;oP_Perf_Score&gt;</v>
      </c>
      <c r="C14" s="216">
        <f ca="1">'Summary and Calculation'!H16</f>
        <v>2</v>
      </c>
      <c r="D14" t="str">
        <f t="shared" si="1"/>
        <v>&lt;/oP_Perf_Score&gt;</v>
      </c>
      <c r="F14" t="str">
        <f t="shared" ca="1" si="2"/>
        <v>&lt;oP_Perf_Score&gt;2&lt;/oP_Perf_Score&gt;</v>
      </c>
    </row>
    <row r="15" spans="1:6" ht="12.75" customHeight="1" x14ac:dyDescent="0.2">
      <c r="A15" s="216" t="s">
        <v>232</v>
      </c>
      <c r="B15" t="str">
        <f t="shared" si="0"/>
        <v>&lt;totalOPRAScore&gt;</v>
      </c>
      <c r="C15" s="216">
        <f ca="1">'Summary and Calculation'!H17</f>
        <v>61</v>
      </c>
      <c r="D15" t="str">
        <f t="shared" si="1"/>
        <v>&lt;/totalOPRAScore&gt;</v>
      </c>
      <c r="F15" t="str">
        <f t="shared" ca="1" si="2"/>
        <v>&lt;totalOPRAScore&gt;61&lt;/totalOPRAScore&gt;</v>
      </c>
    </row>
    <row r="16" spans="1:6" ht="12.75" customHeight="1" x14ac:dyDescent="0.2">
      <c r="A16" s="216" t="s">
        <v>241</v>
      </c>
      <c r="B16" t="str">
        <f t="shared" si="0"/>
        <v>&lt;company_Name&gt;</v>
      </c>
      <c r="C16" s="216" t="str">
        <f>'Summary and Calculation'!I9</f>
        <v>Ingrebourne Valley Limited</v>
      </c>
      <c r="D16" t="str">
        <f t="shared" si="1"/>
        <v>&lt;/company_Name&gt;</v>
      </c>
      <c r="F16" t="str">
        <f t="shared" si="2"/>
        <v>&lt;company_Name&gt;Ingrebourne Valley Limited&lt;/company_Name&gt;</v>
      </c>
    </row>
    <row r="17" spans="1:6" ht="12.75" customHeight="1" x14ac:dyDescent="0.2">
      <c r="A17" s="216" t="s">
        <v>242</v>
      </c>
      <c r="B17" t="str">
        <f t="shared" si="0"/>
        <v>&lt;case_Number&gt;</v>
      </c>
      <c r="C17" s="216">
        <f>'Summary and Calculation'!E9</f>
        <v>42970</v>
      </c>
      <c r="D17" t="str">
        <f t="shared" si="1"/>
        <v>&lt;/case_Number&gt;</v>
      </c>
      <c r="F17" t="str">
        <f t="shared" si="2"/>
        <v>&lt;case_Number&gt;42970&lt;/case_Number&gt;</v>
      </c>
    </row>
    <row r="18" spans="1:6" ht="12.75" customHeight="1" x14ac:dyDescent="0.2">
      <c r="A18" s="216"/>
      <c r="C18" s="216"/>
      <c r="F18" t="s">
        <v>305</v>
      </c>
    </row>
    <row r="19" spans="1:6" ht="12.75" customHeight="1" x14ac:dyDescent="0.2">
      <c r="A19" s="216"/>
      <c r="C19" s="216"/>
      <c r="F19" t="s">
        <v>304</v>
      </c>
    </row>
    <row r="20" spans="1:6" ht="12.75" customHeight="1" x14ac:dyDescent="0.2">
      <c r="A20" s="216" t="s">
        <v>233</v>
      </c>
      <c r="B20" t="str">
        <f t="shared" si="0"/>
        <v>&lt;wasteInput_Inert_Answer&gt;</v>
      </c>
      <c r="C20" s="220">
        <f>Complexity_Emissions_Location!K6</f>
        <v>500000</v>
      </c>
      <c r="D20" t="str">
        <f t="shared" si="1"/>
        <v>&lt;/wasteInput_Inert_Answer&gt;</v>
      </c>
      <c r="F20" t="str">
        <f t="shared" si="2"/>
        <v>&lt;wasteInput_Inert_Answer&gt;500000&lt;/wasteInput_Inert_Answer&gt;</v>
      </c>
    </row>
    <row r="21" spans="1:6" ht="12.75" customHeight="1" x14ac:dyDescent="0.2">
      <c r="A21" s="216" t="s">
        <v>234</v>
      </c>
      <c r="B21" t="str">
        <f t="shared" si="0"/>
        <v>&lt;wasteInput_NonHazNonBio_Answer&gt;</v>
      </c>
      <c r="C21" s="216">
        <f>Complexity_Emissions_Location!K7</f>
        <v>0</v>
      </c>
      <c r="D21" t="str">
        <f t="shared" si="1"/>
        <v>&lt;/wasteInput_NonHazNonBio_Answer&gt;</v>
      </c>
      <c r="F21" t="str">
        <f t="shared" si="2"/>
        <v>&lt;wasteInput_NonHazNonBio_Answer&gt;0&lt;/wasteInput_NonHazNonBio_Answer&gt;</v>
      </c>
    </row>
    <row r="22" spans="1:6" ht="12.75" customHeight="1" x14ac:dyDescent="0.2">
      <c r="A22" s="216" t="s">
        <v>235</v>
      </c>
      <c r="B22" t="str">
        <f t="shared" si="0"/>
        <v>&lt;wasteInput_Haz_Answer&gt;</v>
      </c>
      <c r="C22" s="216">
        <f>Complexity_Emissions_Location!K8</f>
        <v>0</v>
      </c>
      <c r="D22" t="str">
        <f t="shared" si="1"/>
        <v>&lt;/wasteInput_Haz_Answer&gt;</v>
      </c>
      <c r="F22" t="str">
        <f t="shared" si="2"/>
        <v>&lt;wasteInput_Haz_Answer&gt;0&lt;/wasteInput_Haz_Answer&gt;</v>
      </c>
    </row>
    <row r="23" spans="1:6" ht="12.75" customHeight="1" x14ac:dyDescent="0.2">
      <c r="A23" s="216" t="s">
        <v>236</v>
      </c>
      <c r="B23" t="str">
        <f t="shared" si="0"/>
        <v>&lt;wasteInput_NonHazBio_Answer&gt;</v>
      </c>
      <c r="C23" s="216">
        <f>Complexity_Emissions_Location!K9</f>
        <v>0</v>
      </c>
      <c r="D23" t="str">
        <f t="shared" si="1"/>
        <v>&lt;/wasteInput_NonHazBio_Answer&gt;</v>
      </c>
      <c r="F23" t="str">
        <f t="shared" si="2"/>
        <v>&lt;wasteInput_NonHazBio_Answer&gt;0&lt;/wasteInput_NonHazBio_Answer&gt;</v>
      </c>
    </row>
    <row r="24" spans="1:6" ht="12.75" customHeight="1" x14ac:dyDescent="0.2">
      <c r="A24" s="216" t="s">
        <v>237</v>
      </c>
      <c r="B24" t="str">
        <f t="shared" si="0"/>
        <v>&lt;wasteInput_total&gt;</v>
      </c>
      <c r="C24" s="216">
        <f>Complexity_Emissions_Location!M10</f>
        <v>500</v>
      </c>
      <c r="D24" t="str">
        <f t="shared" si="1"/>
        <v>&lt;/wasteInput_total&gt;</v>
      </c>
      <c r="F24" t="str">
        <f t="shared" si="2"/>
        <v>&lt;wasteInput_total&gt;500&lt;/wasteInput_total&gt;</v>
      </c>
    </row>
    <row r="25" spans="1:6" ht="12.75" customHeight="1" x14ac:dyDescent="0.2">
      <c r="A25" s="216" t="s">
        <v>238</v>
      </c>
      <c r="B25" t="str">
        <f t="shared" si="0"/>
        <v>&lt;wasteInput_Band&gt;</v>
      </c>
      <c r="C25" s="216" t="str">
        <f>Complexity_Emissions_Location!O10</f>
        <v>C</v>
      </c>
      <c r="D25" t="str">
        <f t="shared" si="1"/>
        <v>&lt;/wasteInput_Band&gt;</v>
      </c>
      <c r="F25" t="str">
        <f t="shared" si="2"/>
        <v>&lt;wasteInput_Band&gt;C&lt;/wasteInput_Band&gt;</v>
      </c>
    </row>
    <row r="26" spans="1:6" ht="12.75" customHeight="1" x14ac:dyDescent="0.2">
      <c r="A26" s="216"/>
      <c r="C26" s="216"/>
      <c r="F26" t="s">
        <v>303</v>
      </c>
    </row>
    <row r="27" spans="1:6" ht="12.75" customHeight="1" x14ac:dyDescent="0.2">
      <c r="A27" s="216"/>
      <c r="C27" s="216"/>
      <c r="F27" t="s">
        <v>302</v>
      </c>
    </row>
    <row r="28" spans="1:6" ht="12.75" customHeight="1" x14ac:dyDescent="0.2">
      <c r="A28" s="216" t="s">
        <v>239</v>
      </c>
      <c r="B28" t="str">
        <f t="shared" si="0"/>
        <v>&lt;activity_AType_1&gt;</v>
      </c>
      <c r="C28" s="216">
        <f>Complexity_Emissions_Location!D5</f>
        <v>42</v>
      </c>
      <c r="D28" t="str">
        <f t="shared" si="1"/>
        <v>&lt;/activity_AType_1&gt;</v>
      </c>
      <c r="F28" t="str">
        <f t="shared" si="2"/>
        <v>&lt;activity_AType_1&gt;42&lt;/activity_AType_1&gt;</v>
      </c>
    </row>
    <row r="29" spans="1:6" ht="12.75" customHeight="1" x14ac:dyDescent="0.2">
      <c r="A29" s="216" t="s">
        <v>228</v>
      </c>
      <c r="B29" t="str">
        <f t="shared" si="0"/>
        <v>&lt;complexity_Band_1&gt;</v>
      </c>
      <c r="C29" s="216" t="str">
        <f ca="1">Complexity_Emissions_Location!F5</f>
        <v>C</v>
      </c>
      <c r="D29" t="str">
        <f t="shared" si="1"/>
        <v>&lt;/complexity_Band_1&gt;</v>
      </c>
      <c r="F29" t="str">
        <f t="shared" ca="1" si="2"/>
        <v>&lt;complexity_Band_1&gt;C&lt;/complexity_Band_1&gt;</v>
      </c>
    </row>
    <row r="30" spans="1:6" ht="12.75" customHeight="1" x14ac:dyDescent="0.2">
      <c r="A30" s="216" t="s">
        <v>240</v>
      </c>
      <c r="B30" t="str">
        <f t="shared" si="0"/>
        <v>&lt;activity_AType_2&gt;</v>
      </c>
      <c r="C30" s="216">
        <f>Complexity_Emissions_Location!D7</f>
        <v>27</v>
      </c>
      <c r="D30" t="str">
        <f t="shared" si="1"/>
        <v>&lt;/activity_AType_2&gt;</v>
      </c>
      <c r="F30" t="str">
        <f t="shared" si="2"/>
        <v>&lt;activity_AType_2&gt;27&lt;/activity_AType_2&gt;</v>
      </c>
    </row>
    <row r="31" spans="1:6" ht="12.75" customHeight="1" x14ac:dyDescent="0.2">
      <c r="A31" s="216" t="s">
        <v>229</v>
      </c>
      <c r="B31" t="str">
        <f t="shared" si="0"/>
        <v>&lt;complexity_Band_2&gt;</v>
      </c>
      <c r="C31" s="216" t="str">
        <f ca="1">Complexity_Emissions_Location!F7</f>
        <v>A</v>
      </c>
      <c r="D31" t="str">
        <f t="shared" si="1"/>
        <v>&lt;/complexity_Band_2&gt;</v>
      </c>
      <c r="F31" t="str">
        <f t="shared" ca="1" si="2"/>
        <v>&lt;complexity_Band_2&gt;A&lt;/complexity_Band_2&gt;</v>
      </c>
    </row>
    <row r="32" spans="1:6" ht="12.75" customHeight="1" x14ac:dyDescent="0.2">
      <c r="A32" s="216"/>
      <c r="C32" s="216"/>
      <c r="F32" t="s">
        <v>301</v>
      </c>
    </row>
    <row r="33" spans="1:6" ht="12.75" customHeight="1" x14ac:dyDescent="0.2">
      <c r="A33" s="216"/>
      <c r="C33" s="216"/>
      <c r="F33" t="s">
        <v>300</v>
      </c>
    </row>
    <row r="34" spans="1:6" ht="12.75" customHeight="1" x14ac:dyDescent="0.2">
      <c r="A34" s="216" t="s">
        <v>247</v>
      </c>
      <c r="B34" t="str">
        <f t="shared" si="0"/>
        <v>&lt;loc_Human_Answer&gt;</v>
      </c>
      <c r="C34" s="216">
        <f>Complexity_Emissions_Location!E16</f>
        <v>2</v>
      </c>
      <c r="D34" t="str">
        <f t="shared" si="1"/>
        <v>&lt;/loc_Human_Answer&gt;</v>
      </c>
      <c r="F34" t="str">
        <f t="shared" si="2"/>
        <v>&lt;loc_Human_Answer&gt;2&lt;/loc_Human_Answer&gt;</v>
      </c>
    </row>
    <row r="35" spans="1:6" ht="12.75" customHeight="1" x14ac:dyDescent="0.2">
      <c r="A35" s="216" t="s">
        <v>248</v>
      </c>
      <c r="B35" t="str">
        <f t="shared" si="0"/>
        <v>&lt;loc_Human_Score&gt;</v>
      </c>
      <c r="C35" s="216">
        <f ca="1">Complexity_Emissions_Location!F16</f>
        <v>3</v>
      </c>
      <c r="D35" t="str">
        <f t="shared" si="1"/>
        <v>&lt;/loc_Human_Score&gt;</v>
      </c>
      <c r="F35" t="str">
        <f t="shared" ca="1" si="2"/>
        <v>&lt;loc_Human_Score&gt;3&lt;/loc_Human_Score&gt;</v>
      </c>
    </row>
    <row r="36" spans="1:6" ht="12.75" customHeight="1" x14ac:dyDescent="0.2">
      <c r="A36" s="216" t="s">
        <v>249</v>
      </c>
      <c r="B36" t="str">
        <f t="shared" si="0"/>
        <v>&lt;loc_Habitats_Answer&gt;</v>
      </c>
      <c r="C36" s="216">
        <f>Complexity_Emissions_Location!E18</f>
        <v>2</v>
      </c>
      <c r="D36" t="str">
        <f t="shared" si="1"/>
        <v>&lt;/loc_Habitats_Answer&gt;</v>
      </c>
      <c r="F36" t="str">
        <f t="shared" si="2"/>
        <v>&lt;loc_Habitats_Answer&gt;2&lt;/loc_Habitats_Answer&gt;</v>
      </c>
    </row>
    <row r="37" spans="1:6" ht="12.75" customHeight="1" x14ac:dyDescent="0.2">
      <c r="A37" s="216" t="s">
        <v>250</v>
      </c>
      <c r="B37" t="str">
        <f t="shared" si="0"/>
        <v>&lt;loc_Habitats_Score&gt;</v>
      </c>
      <c r="C37" s="216">
        <f ca="1">Complexity_Emissions_Location!F18</f>
        <v>2</v>
      </c>
      <c r="D37" t="str">
        <f t="shared" si="1"/>
        <v>&lt;/loc_Habitats_Score&gt;</v>
      </c>
      <c r="F37" t="str">
        <f t="shared" ca="1" si="2"/>
        <v>&lt;loc_Habitats_Score&gt;2&lt;/loc_Habitats_Score&gt;</v>
      </c>
    </row>
    <row r="38" spans="1:6" ht="12.75" customHeight="1" x14ac:dyDescent="0.2">
      <c r="A38" s="216" t="s">
        <v>251</v>
      </c>
      <c r="B38" t="str">
        <f t="shared" si="0"/>
        <v>&lt;loc_AquGPZ_Answer&gt;</v>
      </c>
      <c r="C38" s="216">
        <f>Complexity_Emissions_Location!E20</f>
        <v>2</v>
      </c>
      <c r="D38" t="str">
        <f t="shared" si="1"/>
        <v>&lt;/loc_AquGPZ_Answer&gt;</v>
      </c>
      <c r="F38" t="str">
        <f t="shared" si="2"/>
        <v>&lt;loc_AquGPZ_Answer&gt;2&lt;/loc_AquGPZ_Answer&gt;</v>
      </c>
    </row>
    <row r="39" spans="1:6" ht="12.75" customHeight="1" x14ac:dyDescent="0.2">
      <c r="A39" s="216" t="s">
        <v>252</v>
      </c>
      <c r="B39" t="str">
        <f t="shared" si="0"/>
        <v>&lt;loc_Aqu_Score&gt;</v>
      </c>
      <c r="C39" s="216">
        <f ca="1">Complexity_Emissions_Location!F20</f>
        <v>1</v>
      </c>
      <c r="D39" t="str">
        <f t="shared" si="1"/>
        <v>&lt;/loc_Aqu_Score&gt;</v>
      </c>
      <c r="F39" t="str">
        <f t="shared" ca="1" si="2"/>
        <v>&lt;loc_Aqu_Score&gt;1&lt;/loc_Aqu_Score&gt;</v>
      </c>
    </row>
    <row r="40" spans="1:6" ht="12.75" customHeight="1" x14ac:dyDescent="0.2">
      <c r="A40" s="216" t="s">
        <v>253</v>
      </c>
      <c r="B40" t="str">
        <f t="shared" si="0"/>
        <v>&lt;loc_SW_Answer&gt;</v>
      </c>
      <c r="C40" s="216">
        <f>Complexity_Emissions_Location!E22</f>
        <v>3</v>
      </c>
      <c r="D40" t="str">
        <f t="shared" si="1"/>
        <v>&lt;/loc_SW_Answer&gt;</v>
      </c>
      <c r="F40" t="str">
        <f t="shared" si="2"/>
        <v>&lt;loc_SW_Answer&gt;3&lt;/loc_SW_Answer&gt;</v>
      </c>
    </row>
    <row r="41" spans="1:6" ht="12.75" customHeight="1" x14ac:dyDescent="0.2">
      <c r="A41" s="216" t="s">
        <v>254</v>
      </c>
      <c r="B41" t="str">
        <f t="shared" si="0"/>
        <v>&lt;loc_SW_Score&gt;</v>
      </c>
      <c r="C41" s="216">
        <f ca="1">Complexity_Emissions_Location!F22</f>
        <v>3</v>
      </c>
      <c r="D41" t="str">
        <f t="shared" si="1"/>
        <v>&lt;/loc_SW_Score&gt;</v>
      </c>
      <c r="F41" t="str">
        <f t="shared" ca="1" si="2"/>
        <v>&lt;loc_SW_Score&gt;3&lt;/loc_SW_Score&gt;</v>
      </c>
    </row>
    <row r="42" spans="1:6" ht="12.75" customHeight="1" x14ac:dyDescent="0.2">
      <c r="A42" s="216" t="s">
        <v>255</v>
      </c>
      <c r="B42" t="str">
        <f t="shared" si="0"/>
        <v>&lt;loc_RunOff_Answer&gt;</v>
      </c>
      <c r="C42" s="216">
        <f>Complexity_Emissions_Location!K16</f>
        <v>3</v>
      </c>
      <c r="D42" t="str">
        <f t="shared" si="1"/>
        <v>&lt;/loc_RunOff_Answer&gt;</v>
      </c>
      <c r="F42" t="str">
        <f t="shared" si="2"/>
        <v>&lt;loc_RunOff_Answer&gt;3&lt;/loc_RunOff_Answer&gt;</v>
      </c>
    </row>
    <row r="43" spans="1:6" ht="12.75" customHeight="1" x14ac:dyDescent="0.2">
      <c r="A43" s="216" t="s">
        <v>256</v>
      </c>
      <c r="B43" t="str">
        <f t="shared" si="0"/>
        <v>&lt;loc_RunOff_Score&gt;</v>
      </c>
      <c r="C43" s="216">
        <f ca="1">Complexity_Emissions_Location!O16</f>
        <v>0</v>
      </c>
      <c r="D43" t="str">
        <f t="shared" si="1"/>
        <v>&lt;/loc_RunOff_Score&gt;</v>
      </c>
      <c r="F43" t="str">
        <f t="shared" ca="1" si="2"/>
        <v>&lt;loc_RunOff_Score&gt;0&lt;/loc_RunOff_Score&gt;</v>
      </c>
    </row>
    <row r="44" spans="1:6" ht="12.75" customHeight="1" x14ac:dyDescent="0.2">
      <c r="A44" s="216" t="s">
        <v>257</v>
      </c>
      <c r="B44" t="str">
        <f t="shared" si="0"/>
        <v>&lt;loc_AQMZ_Answer&gt;</v>
      </c>
      <c r="C44" s="216">
        <f>Complexity_Emissions_Location!K18</f>
        <v>1</v>
      </c>
      <c r="D44" t="str">
        <f t="shared" si="1"/>
        <v>&lt;/loc_AQMZ_Answer&gt;</v>
      </c>
      <c r="F44" t="str">
        <f t="shared" si="2"/>
        <v>&lt;loc_AQMZ_Answer&gt;1&lt;/loc_AQMZ_Answer&gt;</v>
      </c>
    </row>
    <row r="45" spans="1:6" ht="12.75" customHeight="1" x14ac:dyDescent="0.2">
      <c r="A45" s="216" t="s">
        <v>258</v>
      </c>
      <c r="B45" t="str">
        <f t="shared" si="0"/>
        <v>&lt;loc_AQMZ_Score&gt;</v>
      </c>
      <c r="C45" s="216">
        <f ca="1">Complexity_Emissions_Location!O18</f>
        <v>3</v>
      </c>
      <c r="D45" t="str">
        <f t="shared" si="1"/>
        <v>&lt;/loc_AQMZ_Score&gt;</v>
      </c>
      <c r="F45" t="str">
        <f t="shared" ca="1" si="2"/>
        <v>&lt;loc_AQMZ_Score&gt;3&lt;/loc_AQMZ_Score&gt;</v>
      </c>
    </row>
    <row r="46" spans="1:6" ht="12.75" customHeight="1" x14ac:dyDescent="0.2">
      <c r="A46" s="216" t="s">
        <v>259</v>
      </c>
      <c r="B46" t="str">
        <f t="shared" si="0"/>
        <v>&lt;loc_FloodPlain_Answer&gt;</v>
      </c>
      <c r="C46" s="216">
        <f>Complexity_Emissions_Location!K20</f>
        <v>1</v>
      </c>
      <c r="D46" t="str">
        <f t="shared" si="1"/>
        <v>&lt;/loc_FloodPlain_Answer&gt;</v>
      </c>
      <c r="F46" t="str">
        <f t="shared" si="2"/>
        <v>&lt;loc_FloodPlain_Answer&gt;1&lt;/loc_FloodPlain_Answer&gt;</v>
      </c>
    </row>
    <row r="47" spans="1:6" ht="12.75" customHeight="1" x14ac:dyDescent="0.2">
      <c r="A47" s="216" t="s">
        <v>260</v>
      </c>
      <c r="B47" t="str">
        <f t="shared" si="0"/>
        <v>&lt;loc_FloodPlain_Score&gt;</v>
      </c>
      <c r="C47" s="216">
        <f ca="1">Complexity_Emissions_Location!O20</f>
        <v>2</v>
      </c>
      <c r="D47" t="str">
        <f t="shared" si="1"/>
        <v>&lt;/loc_FloodPlain_Score&gt;</v>
      </c>
      <c r="F47" t="str">
        <f t="shared" ca="1" si="2"/>
        <v>&lt;loc_FloodPlain_Score&gt;2&lt;/loc_FloodPlain_Score&gt;</v>
      </c>
    </row>
    <row r="48" spans="1:6" ht="12.75" customHeight="1" x14ac:dyDescent="0.2">
      <c r="A48" s="216" t="s">
        <v>261</v>
      </c>
      <c r="B48" t="str">
        <f t="shared" si="0"/>
        <v>&lt;loc_RawScore&gt;</v>
      </c>
      <c r="C48" s="216">
        <f ca="1">Complexity_Emissions_Location!K22</f>
        <v>14</v>
      </c>
      <c r="D48" t="str">
        <f t="shared" si="1"/>
        <v>&lt;/loc_RawScore&gt;</v>
      </c>
      <c r="F48" t="str">
        <f t="shared" ca="1" si="2"/>
        <v>&lt;loc_RawScore&gt;14&lt;/loc_RawScore&gt;</v>
      </c>
    </row>
    <row r="49" spans="1:6" ht="12.75" customHeight="1" x14ac:dyDescent="0.2">
      <c r="A49" s="216" t="s">
        <v>262</v>
      </c>
      <c r="B49" t="str">
        <f t="shared" si="0"/>
        <v>&lt;loc_Band&gt;</v>
      </c>
      <c r="C49" s="216" t="str">
        <f ca="1">Complexity_Emissions_Location!O22</f>
        <v>D</v>
      </c>
      <c r="D49" t="str">
        <f t="shared" si="1"/>
        <v>&lt;/loc_Band&gt;</v>
      </c>
      <c r="F49" t="str">
        <f t="shared" ca="1" si="2"/>
        <v>&lt;loc_Band&gt;D&lt;/loc_Band&gt;</v>
      </c>
    </row>
    <row r="50" spans="1:6" ht="12.75" customHeight="1" x14ac:dyDescent="0.2">
      <c r="A50" s="216"/>
      <c r="C50" s="216"/>
      <c r="F50" t="s">
        <v>299</v>
      </c>
    </row>
    <row r="51" spans="1:6" ht="12.75" customHeight="1" x14ac:dyDescent="0.2">
      <c r="A51" s="216"/>
      <c r="C51" s="216"/>
      <c r="F51" t="s">
        <v>298</v>
      </c>
    </row>
    <row r="52" spans="1:6" ht="12.75" customHeight="1" x14ac:dyDescent="0.2">
      <c r="A52" s="216" t="s">
        <v>178</v>
      </c>
      <c r="B52" t="str">
        <f t="shared" si="0"/>
        <v>&lt;docOpProcs_question1_answer&gt;</v>
      </c>
      <c r="C52" s="216" t="str">
        <f>'Operator Performance'!E5</f>
        <v>Yes</v>
      </c>
      <c r="D52" t="str">
        <f t="shared" si="1"/>
        <v>&lt;/docOpProcs_question1_answer&gt;</v>
      </c>
      <c r="F52" t="str">
        <f t="shared" si="2"/>
        <v>&lt;docOpProcs_question1_answer&gt;Yes&lt;/docOpProcs_question1_answer&gt;</v>
      </c>
    </row>
    <row r="53" spans="1:6" ht="12.75" customHeight="1" x14ac:dyDescent="0.2">
      <c r="A53" s="216" t="s">
        <v>179</v>
      </c>
      <c r="B53" t="str">
        <f t="shared" si="0"/>
        <v>&lt;docOpProcs_question1_score&gt;</v>
      </c>
      <c r="C53" s="218">
        <f ca="1">'Operator Performance'!F5</f>
        <v>4</v>
      </c>
      <c r="D53" t="str">
        <f t="shared" si="1"/>
        <v>&lt;/docOpProcs_question1_score&gt;</v>
      </c>
      <c r="F53" t="str">
        <f t="shared" ca="1" si="2"/>
        <v>&lt;docOpProcs_question1_score&gt;4&lt;/docOpProcs_question1_score&gt;</v>
      </c>
    </row>
    <row r="54" spans="1:6" ht="12.75" customHeight="1" x14ac:dyDescent="0.2">
      <c r="A54" s="216" t="s">
        <v>180</v>
      </c>
      <c r="B54" t="str">
        <f t="shared" si="0"/>
        <v>&lt;docOpProcs_question2_answer&gt;</v>
      </c>
      <c r="C54" s="216" t="str">
        <f>'Operator Performance'!E6</f>
        <v>Yes</v>
      </c>
      <c r="D54" t="str">
        <f t="shared" si="1"/>
        <v>&lt;/docOpProcs_question2_answer&gt;</v>
      </c>
      <c r="F54" t="str">
        <f t="shared" si="2"/>
        <v>&lt;docOpProcs_question2_answer&gt;Yes&lt;/docOpProcs_question2_answer&gt;</v>
      </c>
    </row>
    <row r="55" spans="1:6" ht="12.75" customHeight="1" x14ac:dyDescent="0.2">
      <c r="A55" s="216" t="s">
        <v>181</v>
      </c>
      <c r="B55" t="str">
        <f t="shared" si="0"/>
        <v>&lt;docOpProcs_question2_score&gt;</v>
      </c>
      <c r="C55" s="218">
        <f ca="1">'Operator Performance'!F6</f>
        <v>2</v>
      </c>
      <c r="D55" t="str">
        <f t="shared" si="1"/>
        <v>&lt;/docOpProcs_question2_score&gt;</v>
      </c>
      <c r="F55" t="str">
        <f t="shared" ca="1" si="2"/>
        <v>&lt;docOpProcs_question2_score&gt;2&lt;/docOpProcs_question2_score&gt;</v>
      </c>
    </row>
    <row r="56" spans="1:6" ht="12.75" customHeight="1" x14ac:dyDescent="0.2">
      <c r="A56" s="216" t="s">
        <v>182</v>
      </c>
      <c r="B56" t="str">
        <f t="shared" si="0"/>
        <v>&lt;docOpProcs_question3_answer&gt;</v>
      </c>
      <c r="C56" s="216">
        <f>'Operator Performance'!E7</f>
        <v>0</v>
      </c>
      <c r="D56" t="str">
        <f t="shared" si="1"/>
        <v>&lt;/docOpProcs_question3_answer&gt;</v>
      </c>
      <c r="F56" t="str">
        <f t="shared" si="2"/>
        <v>&lt;docOpProcs_question3_answer&gt;0&lt;/docOpProcs_question3_answer&gt;</v>
      </c>
    </row>
    <row r="57" spans="1:6" ht="12.75" customHeight="1" x14ac:dyDescent="0.2">
      <c r="A57" s="216" t="s">
        <v>183</v>
      </c>
      <c r="B57" t="str">
        <f t="shared" si="0"/>
        <v>&lt;docOpProcs_question3_score&gt;</v>
      </c>
      <c r="C57" s="218">
        <f>'Operator Performance'!F7</f>
        <v>0</v>
      </c>
      <c r="D57" t="str">
        <f t="shared" si="1"/>
        <v>&lt;/docOpProcs_question3_score&gt;</v>
      </c>
      <c r="F57" t="str">
        <f t="shared" si="2"/>
        <v>&lt;docOpProcs_question3_score&gt;0&lt;/docOpProcs_question3_score&gt;</v>
      </c>
    </row>
    <row r="58" spans="1:6" ht="12.75" customHeight="1" x14ac:dyDescent="0.2">
      <c r="A58" s="216" t="s">
        <v>184</v>
      </c>
      <c r="B58" t="str">
        <f t="shared" si="0"/>
        <v>&lt;docOpProcs_question4_answer&gt;</v>
      </c>
      <c r="C58" s="216" t="str">
        <f>'Operator Performance'!E8</f>
        <v>Yes</v>
      </c>
      <c r="D58" t="str">
        <f t="shared" si="1"/>
        <v>&lt;/docOpProcs_question4_answer&gt;</v>
      </c>
      <c r="F58" t="str">
        <f t="shared" si="2"/>
        <v>&lt;docOpProcs_question4_answer&gt;Yes&lt;/docOpProcs_question4_answer&gt;</v>
      </c>
    </row>
    <row r="59" spans="1:6" ht="12.75" customHeight="1" x14ac:dyDescent="0.2">
      <c r="A59" s="216" t="s">
        <v>185</v>
      </c>
      <c r="B59" t="str">
        <f t="shared" si="0"/>
        <v>&lt;docOpProcs_question4_score&gt;</v>
      </c>
      <c r="C59" s="218">
        <f ca="1">'Operator Performance'!F8</f>
        <v>2</v>
      </c>
      <c r="D59" t="str">
        <f t="shared" si="1"/>
        <v>&lt;/docOpProcs_question4_score&gt;</v>
      </c>
      <c r="F59" t="str">
        <f t="shared" ca="1" si="2"/>
        <v>&lt;docOpProcs_question4_score&gt;2&lt;/docOpProcs_question4_score&gt;</v>
      </c>
    </row>
    <row r="60" spans="1:6" ht="12.75" customHeight="1" x14ac:dyDescent="0.2">
      <c r="A60" s="216" t="s">
        <v>186</v>
      </c>
      <c r="B60" t="str">
        <f t="shared" si="0"/>
        <v>&lt;docOpProcs_question5_answer&gt;</v>
      </c>
      <c r="C60" s="216" t="str">
        <f>'Operator Performance'!E9</f>
        <v>Yes</v>
      </c>
      <c r="D60" t="str">
        <f t="shared" si="1"/>
        <v>&lt;/docOpProcs_question5_answer&gt;</v>
      </c>
      <c r="F60" t="str">
        <f t="shared" si="2"/>
        <v>&lt;docOpProcs_question5_answer&gt;Yes&lt;/docOpProcs_question5_answer&gt;</v>
      </c>
    </row>
    <row r="61" spans="1:6" ht="12.75" customHeight="1" x14ac:dyDescent="0.2">
      <c r="A61" s="216" t="s">
        <v>187</v>
      </c>
      <c r="B61" t="str">
        <f t="shared" si="0"/>
        <v>&lt;docOpProcs_question5_score&gt;</v>
      </c>
      <c r="C61" s="218">
        <f ca="1">'Operator Performance'!F9</f>
        <v>2</v>
      </c>
      <c r="D61" t="str">
        <f t="shared" si="1"/>
        <v>&lt;/docOpProcs_question5_score&gt;</v>
      </c>
      <c r="F61" t="str">
        <f t="shared" ca="1" si="2"/>
        <v>&lt;docOpProcs_question5_score&gt;2&lt;/docOpProcs_question5_score&gt;</v>
      </c>
    </row>
    <row r="62" spans="1:6" ht="12.75" customHeight="1" x14ac:dyDescent="0.2">
      <c r="A62" s="216" t="s">
        <v>188</v>
      </c>
      <c r="B62" t="str">
        <f t="shared" si="0"/>
        <v>&lt;docOpProcs_question7_answer&gt;</v>
      </c>
      <c r="C62" s="216" t="str">
        <f>'Operator Performance'!E10</f>
        <v>Yes</v>
      </c>
      <c r="D62" t="str">
        <f t="shared" si="1"/>
        <v>&lt;/docOpProcs_question7_answer&gt;</v>
      </c>
      <c r="F62" t="str">
        <f t="shared" si="2"/>
        <v>&lt;docOpProcs_question7_answer&gt;Yes&lt;/docOpProcs_question7_answer&gt;</v>
      </c>
    </row>
    <row r="63" spans="1:6" ht="12.75" customHeight="1" x14ac:dyDescent="0.2">
      <c r="A63" s="216" t="s">
        <v>189</v>
      </c>
      <c r="B63" t="str">
        <f t="shared" si="0"/>
        <v>&lt;docOpProcs_question7_score&gt;</v>
      </c>
      <c r="C63" s="218">
        <f ca="1">'Operator Performance'!F10</f>
        <v>2</v>
      </c>
      <c r="D63" t="str">
        <f t="shared" si="1"/>
        <v>&lt;/docOpProcs_question7_score&gt;</v>
      </c>
      <c r="F63" t="str">
        <f t="shared" ca="1" si="2"/>
        <v>&lt;docOpProcs_question7_score&gt;2&lt;/docOpProcs_question7_score&gt;</v>
      </c>
    </row>
    <row r="64" spans="1:6" ht="12.75" customHeight="1" x14ac:dyDescent="0.2">
      <c r="A64" s="216" t="s">
        <v>190</v>
      </c>
      <c r="B64" t="str">
        <f t="shared" si="0"/>
        <v>&lt;trainingAssessment_question1_answer&gt;</v>
      </c>
      <c r="C64" s="216" t="str">
        <f>'Operator Performance'!E14</f>
        <v>Yes</v>
      </c>
      <c r="D64" t="str">
        <f t="shared" si="1"/>
        <v>&lt;/trainingAssessment_question1_answer&gt;</v>
      </c>
      <c r="F64" t="str">
        <f t="shared" si="2"/>
        <v>&lt;trainingAssessment_question1_answer&gt;Yes&lt;/trainingAssessment_question1_answer&gt;</v>
      </c>
    </row>
    <row r="65" spans="1:6" ht="12.75" customHeight="1" x14ac:dyDescent="0.2">
      <c r="A65" s="216" t="s">
        <v>191</v>
      </c>
      <c r="B65" t="str">
        <f t="shared" si="0"/>
        <v>&lt;trainingAssessment_question1_score&gt;</v>
      </c>
      <c r="C65" s="218">
        <f ca="1">'Operator Performance'!F14</f>
        <v>3</v>
      </c>
      <c r="D65" t="str">
        <f t="shared" si="1"/>
        <v>&lt;/trainingAssessment_question1_score&gt;</v>
      </c>
      <c r="F65" t="str">
        <f t="shared" ca="1" si="2"/>
        <v>&lt;trainingAssessment_question1_score&gt;3&lt;/trainingAssessment_question1_score&gt;</v>
      </c>
    </row>
    <row r="66" spans="1:6" ht="12.75" customHeight="1" x14ac:dyDescent="0.2">
      <c r="A66" s="216" t="s">
        <v>192</v>
      </c>
      <c r="B66" t="str">
        <f t="shared" si="0"/>
        <v>&lt;trainingAssessment_question2a_answer&gt;</v>
      </c>
      <c r="C66" s="216" t="str">
        <f>'Operator Performance'!E17</f>
        <v>Yes</v>
      </c>
      <c r="D66" t="str">
        <f t="shared" si="1"/>
        <v>&lt;/trainingAssessment_question2a_answer&gt;</v>
      </c>
      <c r="F66" t="str">
        <f t="shared" si="2"/>
        <v>&lt;trainingAssessment_question2a_answer&gt;Yes&lt;/trainingAssessment_question2a_answer&gt;</v>
      </c>
    </row>
    <row r="67" spans="1:6" ht="12.75" customHeight="1" x14ac:dyDescent="0.2">
      <c r="A67" s="216" t="s">
        <v>193</v>
      </c>
      <c r="B67" t="str">
        <f t="shared" si="0"/>
        <v>&lt;trainingAssessment_question2a_score&gt;</v>
      </c>
      <c r="C67" s="218">
        <f ca="1">'Operator Performance'!F17</f>
        <v>2</v>
      </c>
      <c r="D67" t="str">
        <f t="shared" si="1"/>
        <v>&lt;/trainingAssessment_question2a_score&gt;</v>
      </c>
      <c r="F67" t="str">
        <f t="shared" ca="1" si="2"/>
        <v>&lt;trainingAssessment_question2a_score&gt;2&lt;/trainingAssessment_question2a_score&gt;</v>
      </c>
    </row>
    <row r="68" spans="1:6" ht="12.75" customHeight="1" x14ac:dyDescent="0.2">
      <c r="A68" s="216" t="s">
        <v>194</v>
      </c>
      <c r="B68" t="str">
        <f t="shared" si="0"/>
        <v>&lt;trainingAssessment_question2b_answer&gt;</v>
      </c>
      <c r="C68" s="216" t="str">
        <f>'Operator Performance'!E18</f>
        <v>Yes</v>
      </c>
      <c r="D68" t="str">
        <f t="shared" si="1"/>
        <v>&lt;/trainingAssessment_question2b_answer&gt;</v>
      </c>
      <c r="F68" t="str">
        <f t="shared" si="2"/>
        <v>&lt;trainingAssessment_question2b_answer&gt;Yes&lt;/trainingAssessment_question2b_answer&gt;</v>
      </c>
    </row>
    <row r="69" spans="1:6" ht="12.75" customHeight="1" x14ac:dyDescent="0.2">
      <c r="A69" s="216" t="s">
        <v>195</v>
      </c>
      <c r="B69" t="str">
        <f t="shared" si="0"/>
        <v>&lt;trainingAssessment_question2b_score&gt;</v>
      </c>
      <c r="C69" s="218">
        <f ca="1">'Operator Performance'!F18</f>
        <v>2</v>
      </c>
      <c r="D69" t="str">
        <f t="shared" si="1"/>
        <v>&lt;/trainingAssessment_question2b_score&gt;</v>
      </c>
      <c r="F69" t="str">
        <f t="shared" ca="1" si="2"/>
        <v>&lt;trainingAssessment_question2b_score&gt;2&lt;/trainingAssessment_question2b_score&gt;</v>
      </c>
    </row>
    <row r="70" spans="1:6" ht="12.75" customHeight="1" x14ac:dyDescent="0.2">
      <c r="A70" s="216" t="s">
        <v>196</v>
      </c>
      <c r="B70" t="str">
        <f t="shared" si="0"/>
        <v>&lt;trainingAssessment_question2c_answer&gt;</v>
      </c>
      <c r="C70" s="216" t="str">
        <f>'Operator Performance'!E19</f>
        <v>Yes</v>
      </c>
      <c r="D70" t="str">
        <f t="shared" si="1"/>
        <v>&lt;/trainingAssessment_question2c_answer&gt;</v>
      </c>
      <c r="F70" t="str">
        <f t="shared" si="2"/>
        <v>&lt;trainingAssessment_question2c_answer&gt;Yes&lt;/trainingAssessment_question2c_answer&gt;</v>
      </c>
    </row>
    <row r="71" spans="1:6" ht="12.75" customHeight="1" x14ac:dyDescent="0.2">
      <c r="A71" s="216" t="s">
        <v>197</v>
      </c>
      <c r="B71" t="str">
        <f t="shared" si="0"/>
        <v>&lt;trainingAssessment_question2c_score&gt;</v>
      </c>
      <c r="C71" s="218">
        <f ca="1">'Operator Performance'!F19</f>
        <v>3</v>
      </c>
      <c r="D71" t="str">
        <f t="shared" si="1"/>
        <v>&lt;/trainingAssessment_question2c_score&gt;</v>
      </c>
      <c r="F71" t="str">
        <f t="shared" ca="1" si="2"/>
        <v>&lt;trainingAssessment_question2c_score&gt;3&lt;/trainingAssessment_question2c_score&gt;</v>
      </c>
    </row>
    <row r="72" spans="1:6" ht="12.75" customHeight="1" x14ac:dyDescent="0.2">
      <c r="A72" s="216" t="s">
        <v>198</v>
      </c>
      <c r="B72" t="str">
        <f t="shared" si="0"/>
        <v>&lt;trainingAssessment_question2d_answer&gt;</v>
      </c>
      <c r="C72" s="216" t="str">
        <f>'Operator Performance'!E20</f>
        <v>Yes</v>
      </c>
      <c r="D72" t="str">
        <f t="shared" si="1"/>
        <v>&lt;/trainingAssessment_question2d_answer&gt;</v>
      </c>
      <c r="F72" t="str">
        <f t="shared" si="2"/>
        <v>&lt;trainingAssessment_question2d_answer&gt;Yes&lt;/trainingAssessment_question2d_answer&gt;</v>
      </c>
    </row>
    <row r="73" spans="1:6" ht="12.75" customHeight="1" x14ac:dyDescent="0.2">
      <c r="A73" s="216" t="s">
        <v>199</v>
      </c>
      <c r="B73" t="str">
        <f t="shared" si="0"/>
        <v>&lt;trainingAssessment_question2d_score&gt;</v>
      </c>
      <c r="C73" s="218">
        <f ca="1">'Operator Performance'!F20</f>
        <v>2</v>
      </c>
      <c r="D73" t="str">
        <f t="shared" si="1"/>
        <v>&lt;/trainingAssessment_question2d_score&gt;</v>
      </c>
      <c r="F73" t="str">
        <f t="shared" ca="1" si="2"/>
        <v>&lt;trainingAssessment_question2d_score&gt;2&lt;/trainingAssessment_question2d_score&gt;</v>
      </c>
    </row>
    <row r="74" spans="1:6" ht="12.75" customHeight="1" x14ac:dyDescent="0.2">
      <c r="A74" s="216" t="s">
        <v>200</v>
      </c>
      <c r="B74" t="str">
        <f t="shared" si="0"/>
        <v>&lt;trainingAssessment_question2eanswer&gt;</v>
      </c>
      <c r="C74" s="216" t="str">
        <f>'Operator Performance'!E21</f>
        <v>Yes</v>
      </c>
      <c r="D74" t="str">
        <f t="shared" si="1"/>
        <v>&lt;/trainingAssessment_question2eanswer&gt;</v>
      </c>
      <c r="F74" t="str">
        <f t="shared" si="2"/>
        <v>&lt;trainingAssessment_question2eanswer&gt;Yes&lt;/trainingAssessment_question2eanswer&gt;</v>
      </c>
    </row>
    <row r="75" spans="1:6" ht="12.75" customHeight="1" x14ac:dyDescent="0.2">
      <c r="A75" s="216" t="s">
        <v>201</v>
      </c>
      <c r="B75" t="str">
        <f t="shared" si="0"/>
        <v>&lt;trainingAssessment_question2escore&gt;</v>
      </c>
      <c r="C75" s="218">
        <f ca="1">'Operator Performance'!F21</f>
        <v>2</v>
      </c>
      <c r="D75" t="str">
        <f t="shared" si="1"/>
        <v>&lt;/trainingAssessment_question2escore&gt;</v>
      </c>
      <c r="F75" t="str">
        <f t="shared" ca="1" si="2"/>
        <v>&lt;trainingAssessment_question2escore&gt;2&lt;/trainingAssessment_question2escore&gt;</v>
      </c>
    </row>
    <row r="76" spans="1:6" ht="12.75" customHeight="1" x14ac:dyDescent="0.2">
      <c r="A76" s="216" t="s">
        <v>202</v>
      </c>
      <c r="B76" t="str">
        <f t="shared" si="0"/>
        <v>&lt;trainingAssessment_question5_answer&gt;</v>
      </c>
      <c r="C76" s="216" t="str">
        <f>'Operator Performance'!E22</f>
        <v>Yes</v>
      </c>
      <c r="D76" t="str">
        <f t="shared" si="1"/>
        <v>&lt;/trainingAssessment_question5_answer&gt;</v>
      </c>
      <c r="F76" t="str">
        <f t="shared" si="2"/>
        <v>&lt;trainingAssessment_question5_answer&gt;Yes&lt;/trainingAssessment_question5_answer&gt;</v>
      </c>
    </row>
    <row r="77" spans="1:6" ht="12.75" customHeight="1" x14ac:dyDescent="0.2">
      <c r="A77" s="216" t="s">
        <v>203</v>
      </c>
      <c r="B77" t="str">
        <f t="shared" si="0"/>
        <v>&lt;trainingAssessment_question5_score&gt;</v>
      </c>
      <c r="C77" s="218">
        <f ca="1">'Operator Performance'!F22</f>
        <v>3</v>
      </c>
      <c r="D77" t="str">
        <f t="shared" si="1"/>
        <v>&lt;/trainingAssessment_question5_score&gt;</v>
      </c>
      <c r="F77" t="str">
        <f t="shared" ca="1" si="2"/>
        <v>&lt;trainingAssessment_question5_score&gt;3&lt;/trainingAssessment_question5_score&gt;</v>
      </c>
    </row>
    <row r="78" spans="1:6" ht="12.75" customHeight="1" x14ac:dyDescent="0.2">
      <c r="A78" s="216" t="s">
        <v>204</v>
      </c>
      <c r="B78" t="str">
        <f t="shared" si="0"/>
        <v>&lt;trainingAssessment_question7_answer&gt;</v>
      </c>
      <c r="C78" s="216" t="str">
        <f>'Operator Performance'!E23</f>
        <v>Yes</v>
      </c>
      <c r="D78" t="str">
        <f t="shared" si="1"/>
        <v>&lt;/trainingAssessment_question7_answer&gt;</v>
      </c>
      <c r="F78" t="str">
        <f t="shared" si="2"/>
        <v>&lt;trainingAssessment_question7_answer&gt;Yes&lt;/trainingAssessment_question7_answer&gt;</v>
      </c>
    </row>
    <row r="79" spans="1:6" ht="12.75" customHeight="1" x14ac:dyDescent="0.2">
      <c r="A79" s="216" t="s">
        <v>205</v>
      </c>
      <c r="B79" t="str">
        <f t="shared" ref="B79:B125" si="3">"&lt;"&amp;A79&amp;"&gt;"</f>
        <v>&lt;trainingAssessment_question7_score&gt;</v>
      </c>
      <c r="C79" s="218">
        <f>'Operator Performance'!F23</f>
        <v>0</v>
      </c>
      <c r="D79" t="str">
        <f t="shared" ref="D79:D117" si="4">"&lt;/"&amp;A79&amp;"&gt;"</f>
        <v>&lt;/trainingAssessment_question7_score&gt;</v>
      </c>
      <c r="F79" t="str">
        <f t="shared" ref="F79:F117" si="5">CONCATENATE(B79,C79,D79)</f>
        <v>&lt;trainingAssessment_question7_score&gt;0&lt;/trainingAssessment_question7_score&gt;</v>
      </c>
    </row>
    <row r="80" spans="1:6" ht="12.75" customHeight="1" x14ac:dyDescent="0.2">
      <c r="A80" s="216" t="s">
        <v>206</v>
      </c>
      <c r="B80" t="str">
        <f t="shared" si="3"/>
        <v>&lt;accidentPlan_question1_answer&gt;</v>
      </c>
      <c r="C80" s="216" t="str">
        <f>'Operator Performance'!E27</f>
        <v>Yes</v>
      </c>
      <c r="D80" t="str">
        <f t="shared" si="4"/>
        <v>&lt;/accidentPlan_question1_answer&gt;</v>
      </c>
      <c r="F80" t="str">
        <f t="shared" si="5"/>
        <v>&lt;accidentPlan_question1_answer&gt;Yes&lt;/accidentPlan_question1_answer&gt;</v>
      </c>
    </row>
    <row r="81" spans="1:6" ht="12.75" customHeight="1" x14ac:dyDescent="0.2">
      <c r="A81" s="216" t="s">
        <v>207</v>
      </c>
      <c r="B81" t="str">
        <f t="shared" si="3"/>
        <v>&lt;accidentPlan_question1_score&gt;</v>
      </c>
      <c r="C81" s="218">
        <f ca="1">'Operator Performance'!F27</f>
        <v>6</v>
      </c>
      <c r="D81" t="str">
        <f t="shared" si="4"/>
        <v>&lt;/accidentPlan_question1_score&gt;</v>
      </c>
      <c r="F81" t="str">
        <f t="shared" ca="1" si="5"/>
        <v>&lt;accidentPlan_question1_score&gt;6&lt;/accidentPlan_question1_score&gt;</v>
      </c>
    </row>
    <row r="82" spans="1:6" ht="12.75" customHeight="1" x14ac:dyDescent="0.2">
      <c r="A82" s="216" t="s">
        <v>208</v>
      </c>
      <c r="B82" t="str">
        <f t="shared" si="3"/>
        <v>&lt;accidentPlan_question2_answer&gt;</v>
      </c>
      <c r="C82" s="216" t="str">
        <f>'Operator Performance'!E28</f>
        <v>No</v>
      </c>
      <c r="D82" t="str">
        <f t="shared" si="4"/>
        <v>&lt;/accidentPlan_question2_answer&gt;</v>
      </c>
      <c r="F82" t="str">
        <f t="shared" si="5"/>
        <v>&lt;accidentPlan_question2_answer&gt;No&lt;/accidentPlan_question2_answer&gt;</v>
      </c>
    </row>
    <row r="83" spans="1:6" ht="12.75" customHeight="1" x14ac:dyDescent="0.2">
      <c r="A83" s="216" t="s">
        <v>209</v>
      </c>
      <c r="B83" t="str">
        <f t="shared" si="3"/>
        <v>&lt;accidentPlan_question2_score&gt;</v>
      </c>
      <c r="C83" s="218">
        <f>'Operator Performance'!F28</f>
        <v>0</v>
      </c>
      <c r="D83" t="str">
        <f t="shared" si="4"/>
        <v>&lt;/accidentPlan_question2_score&gt;</v>
      </c>
      <c r="F83" t="str">
        <f t="shared" si="5"/>
        <v>&lt;accidentPlan_question2_score&gt;0&lt;/accidentPlan_question2_score&gt;</v>
      </c>
    </row>
    <row r="84" spans="1:6" ht="12.75" customHeight="1" x14ac:dyDescent="0.2">
      <c r="A84" s="216" t="s">
        <v>210</v>
      </c>
      <c r="B84" t="str">
        <f t="shared" si="3"/>
        <v>&lt;accidentPlan_question3_answer&gt;</v>
      </c>
      <c r="C84" s="216" t="str">
        <f>'Operator Performance'!E29</f>
        <v>Yes</v>
      </c>
      <c r="D84" t="str">
        <f t="shared" si="4"/>
        <v>&lt;/accidentPlan_question3_answer&gt;</v>
      </c>
      <c r="F84" t="str">
        <f t="shared" si="5"/>
        <v>&lt;accidentPlan_question3_answer&gt;Yes&lt;/accidentPlan_question3_answer&gt;</v>
      </c>
    </row>
    <row r="85" spans="1:6" ht="12.75" customHeight="1" x14ac:dyDescent="0.2">
      <c r="A85" s="216" t="s">
        <v>211</v>
      </c>
      <c r="B85" t="str">
        <f t="shared" si="3"/>
        <v>&lt;accidentPlan_question3_score&gt;</v>
      </c>
      <c r="C85" s="218">
        <f>'Operator Performance'!F29</f>
        <v>0</v>
      </c>
      <c r="D85" t="str">
        <f t="shared" si="4"/>
        <v>&lt;/accidentPlan_question3_score&gt;</v>
      </c>
      <c r="F85" t="str">
        <f t="shared" si="5"/>
        <v>&lt;accidentPlan_question3_score&gt;0&lt;/accidentPlan_question3_score&gt;</v>
      </c>
    </row>
    <row r="86" spans="1:6" ht="12.75" customHeight="1" x14ac:dyDescent="0.2">
      <c r="A86" s="216" t="s">
        <v>212</v>
      </c>
      <c r="B86" t="str">
        <f t="shared" si="3"/>
        <v>&lt;accidentPlan_question4_answer&gt;</v>
      </c>
      <c r="C86" s="216" t="str">
        <f>'Operator Performance'!E30</f>
        <v>Yes</v>
      </c>
      <c r="D86" t="str">
        <f t="shared" si="4"/>
        <v>&lt;/accidentPlan_question4_answer&gt;</v>
      </c>
      <c r="F86" t="str">
        <f t="shared" si="5"/>
        <v>&lt;accidentPlan_question4_answer&gt;Yes&lt;/accidentPlan_question4_answer&gt;</v>
      </c>
    </row>
    <row r="87" spans="1:6" ht="12.75" customHeight="1" x14ac:dyDescent="0.2">
      <c r="A87" s="216" t="s">
        <v>213</v>
      </c>
      <c r="B87" t="str">
        <f t="shared" si="3"/>
        <v>&lt;accidentPlan_question4_score&gt;</v>
      </c>
      <c r="C87" s="218">
        <f ca="1">'Operator Performance'!F30</f>
        <v>4</v>
      </c>
      <c r="D87" t="str">
        <f t="shared" si="4"/>
        <v>&lt;/accidentPlan_question4_score&gt;</v>
      </c>
      <c r="F87" t="str">
        <f t="shared" ca="1" si="5"/>
        <v>&lt;accidentPlan_question4_score&gt;4&lt;/accidentPlan_question4_score&gt;</v>
      </c>
    </row>
    <row r="88" spans="1:6" ht="12.75" customHeight="1" x14ac:dyDescent="0.2">
      <c r="A88" s="216" t="s">
        <v>214</v>
      </c>
      <c r="B88" t="str">
        <f t="shared" si="3"/>
        <v>&lt;accidentPlan_question5_answer&gt;</v>
      </c>
      <c r="C88" s="216">
        <f>'Operator Performance'!E31</f>
        <v>0</v>
      </c>
      <c r="D88" t="str">
        <f t="shared" si="4"/>
        <v>&lt;/accidentPlan_question5_answer&gt;</v>
      </c>
      <c r="F88" t="str">
        <f t="shared" si="5"/>
        <v>&lt;accidentPlan_question5_answer&gt;0&lt;/accidentPlan_question5_answer&gt;</v>
      </c>
    </row>
    <row r="89" spans="1:6" ht="12.75" customHeight="1" x14ac:dyDescent="0.2">
      <c r="A89" s="216" t="s">
        <v>215</v>
      </c>
      <c r="B89" t="str">
        <f t="shared" si="3"/>
        <v>&lt;accidentPlan_question5_score&gt;</v>
      </c>
      <c r="C89" s="218">
        <f>'Operator Performance'!F31</f>
        <v>0</v>
      </c>
      <c r="D89" t="str">
        <f t="shared" si="4"/>
        <v>&lt;/accidentPlan_question5_score&gt;</v>
      </c>
      <c r="F89" t="str">
        <f t="shared" si="5"/>
        <v>&lt;accidentPlan_question5_score&gt;0&lt;/accidentPlan_question5_score&gt;</v>
      </c>
    </row>
    <row r="90" spans="1:6" ht="12.75" customHeight="1" x14ac:dyDescent="0.2">
      <c r="A90" s="216" t="s">
        <v>216</v>
      </c>
      <c r="B90" t="str">
        <f t="shared" si="3"/>
        <v>&lt;accidentPlan_question6_answer&gt;</v>
      </c>
      <c r="C90" s="216">
        <f>'Operator Performance'!E32</f>
        <v>0</v>
      </c>
      <c r="D90" t="str">
        <f t="shared" si="4"/>
        <v>&lt;/accidentPlan_question6_answer&gt;</v>
      </c>
      <c r="F90" t="str">
        <f t="shared" si="5"/>
        <v>&lt;accidentPlan_question6_answer&gt;0&lt;/accidentPlan_question6_answer&gt;</v>
      </c>
    </row>
    <row r="91" spans="1:6" ht="12.75" customHeight="1" x14ac:dyDescent="0.2">
      <c r="A91" s="216" t="s">
        <v>217</v>
      </c>
      <c r="B91" t="str">
        <f t="shared" si="3"/>
        <v>&lt;accidentPlan_question6_score&gt;</v>
      </c>
      <c r="C91" s="218">
        <f>'Operator Performance'!F32</f>
        <v>0</v>
      </c>
      <c r="D91" t="str">
        <f t="shared" si="4"/>
        <v>&lt;/accidentPlan_question6_score&gt;</v>
      </c>
      <c r="F91" t="str">
        <f t="shared" si="5"/>
        <v>&lt;accidentPlan_question6_score&gt;0&lt;/accidentPlan_question6_score&gt;</v>
      </c>
    </row>
    <row r="92" spans="1:6" ht="12.75" customHeight="1" x14ac:dyDescent="0.2">
      <c r="A92" s="216" t="s">
        <v>218</v>
      </c>
      <c r="B92" t="str">
        <f t="shared" si="3"/>
        <v>&lt;accidentPlan_question8_answer&gt;</v>
      </c>
      <c r="C92" s="216">
        <f>'Operator Performance'!E33</f>
        <v>0</v>
      </c>
      <c r="D92" t="str">
        <f t="shared" si="4"/>
        <v>&lt;/accidentPlan_question8_answer&gt;</v>
      </c>
      <c r="F92" t="str">
        <f t="shared" si="5"/>
        <v>&lt;accidentPlan_question8_answer&gt;0&lt;/accidentPlan_question8_answer&gt;</v>
      </c>
    </row>
    <row r="93" spans="1:6" ht="12.75" customHeight="1" x14ac:dyDescent="0.2">
      <c r="A93" s="216" t="s">
        <v>219</v>
      </c>
      <c r="B93" t="str">
        <f t="shared" si="3"/>
        <v>&lt;accidentPlan_question8_score&gt;</v>
      </c>
      <c r="C93" s="218">
        <f>'Operator Performance'!F33</f>
        <v>0</v>
      </c>
      <c r="D93" t="str">
        <f t="shared" si="4"/>
        <v>&lt;/accidentPlan_question8_score&gt;</v>
      </c>
      <c r="F93" t="str">
        <f t="shared" si="5"/>
        <v>&lt;accidentPlan_question8_score&gt;0&lt;/accidentPlan_question8_score&gt;</v>
      </c>
    </row>
    <row r="94" spans="1:6" ht="12.75" customHeight="1" x14ac:dyDescent="0.2">
      <c r="A94" s="216" t="s">
        <v>263</v>
      </c>
      <c r="B94" t="str">
        <f t="shared" si="3"/>
        <v>&lt;organisation_question1part1_answer&gt;</v>
      </c>
      <c r="C94" s="216">
        <f>'Operator Performance'!E38</f>
        <v>1</v>
      </c>
      <c r="D94" t="str">
        <f t="shared" si="4"/>
        <v>&lt;/organisation_question1part1_answer&gt;</v>
      </c>
      <c r="F94" t="str">
        <f t="shared" si="5"/>
        <v>&lt;organisation_question1part1_answer&gt;1&lt;/organisation_question1part1_answer&gt;</v>
      </c>
    </row>
    <row r="95" spans="1:6" ht="12.75" customHeight="1" x14ac:dyDescent="0.2">
      <c r="A95" s="216" t="s">
        <v>264</v>
      </c>
      <c r="B95" t="str">
        <f t="shared" si="3"/>
        <v>&lt;organisation_question1part1_score&gt;</v>
      </c>
      <c r="C95" s="218">
        <f ca="1">'Operator Performance'!F38</f>
        <v>0</v>
      </c>
      <c r="D95" t="str">
        <f t="shared" si="4"/>
        <v>&lt;/organisation_question1part1_score&gt;</v>
      </c>
      <c r="F95" t="str">
        <f t="shared" ca="1" si="5"/>
        <v>&lt;organisation_question1part1_score&gt;0&lt;/organisation_question1part1_score&gt;</v>
      </c>
    </row>
    <row r="96" spans="1:6" ht="12.75" customHeight="1" x14ac:dyDescent="0.2">
      <c r="A96" s="216" t="s">
        <v>265</v>
      </c>
      <c r="B96" t="str">
        <f t="shared" si="3"/>
        <v>&lt;organisation_question1part2_answer&gt;</v>
      </c>
      <c r="C96" s="216" t="e">
        <f>'Operator Performance'!#REF!</f>
        <v>#REF!</v>
      </c>
      <c r="D96" t="str">
        <f t="shared" si="4"/>
        <v>&lt;/organisation_question1part2_answer&gt;</v>
      </c>
      <c r="F96" t="e">
        <f t="shared" si="5"/>
        <v>#REF!</v>
      </c>
    </row>
    <row r="97" spans="1:6" ht="12.75" customHeight="1" x14ac:dyDescent="0.2">
      <c r="A97" s="216" t="s">
        <v>266</v>
      </c>
      <c r="B97" t="str">
        <f t="shared" si="3"/>
        <v>&lt;organisation_question1part2_score&gt;</v>
      </c>
      <c r="C97" s="218" t="e">
        <f>'Operator Performance'!#REF!</f>
        <v>#REF!</v>
      </c>
      <c r="D97" t="str">
        <f t="shared" si="4"/>
        <v>&lt;/organisation_question1part2_score&gt;</v>
      </c>
      <c r="F97" t="e">
        <f t="shared" si="5"/>
        <v>#REF!</v>
      </c>
    </row>
    <row r="98" spans="1:6" ht="12.75" customHeight="1" x14ac:dyDescent="0.2">
      <c r="A98" s="216" t="s">
        <v>267</v>
      </c>
      <c r="B98" t="str">
        <f t="shared" si="3"/>
        <v>&lt;organisation_question1part3_answer&gt;</v>
      </c>
      <c r="C98" s="216" t="e">
        <f>'Operator Performance'!#REF!</f>
        <v>#REF!</v>
      </c>
      <c r="D98" t="str">
        <f t="shared" si="4"/>
        <v>&lt;/organisation_question1part3_answer&gt;</v>
      </c>
      <c r="F98" t="e">
        <f t="shared" si="5"/>
        <v>#REF!</v>
      </c>
    </row>
    <row r="99" spans="1:6" ht="12.75" customHeight="1" x14ac:dyDescent="0.2">
      <c r="A99" s="216" t="s">
        <v>268</v>
      </c>
      <c r="B99" t="str">
        <f t="shared" si="3"/>
        <v>&lt;organisation_question1part3_score&gt;</v>
      </c>
      <c r="C99" s="218" t="e">
        <f>'Operator Performance'!#REF!</f>
        <v>#REF!</v>
      </c>
      <c r="D99" t="str">
        <f t="shared" si="4"/>
        <v>&lt;/organisation_question1part3_score&gt;</v>
      </c>
      <c r="F99" t="e">
        <f t="shared" si="5"/>
        <v>#REF!</v>
      </c>
    </row>
    <row r="100" spans="1:6" ht="12.75" customHeight="1" x14ac:dyDescent="0.2">
      <c r="A100" s="216" t="s">
        <v>269</v>
      </c>
      <c r="B100" t="str">
        <f t="shared" si="3"/>
        <v>&lt;organisation_question1part4_answer&gt;</v>
      </c>
      <c r="C100" s="216" t="e">
        <f>'Operator Performance'!#REF!</f>
        <v>#REF!</v>
      </c>
      <c r="D100" t="str">
        <f t="shared" si="4"/>
        <v>&lt;/organisation_question1part4_answer&gt;</v>
      </c>
      <c r="F100" t="e">
        <f t="shared" si="5"/>
        <v>#REF!</v>
      </c>
    </row>
    <row r="101" spans="1:6" ht="12.75" customHeight="1" x14ac:dyDescent="0.2">
      <c r="A101" s="216" t="s">
        <v>270</v>
      </c>
      <c r="B101" t="str">
        <f t="shared" si="3"/>
        <v>&lt;organisation_question1part4_score&gt;</v>
      </c>
      <c r="C101" s="218" t="e">
        <f>'Operator Performance'!#REF!</f>
        <v>#REF!</v>
      </c>
      <c r="D101" t="str">
        <f t="shared" si="4"/>
        <v>&lt;/organisation_question1part4_score&gt;</v>
      </c>
      <c r="F101" t="e">
        <f t="shared" si="5"/>
        <v>#REF!</v>
      </c>
    </row>
    <row r="102" spans="1:6" ht="12.75" customHeight="1" x14ac:dyDescent="0.2">
      <c r="A102" s="216" t="s">
        <v>271</v>
      </c>
      <c r="B102" t="str">
        <f t="shared" si="3"/>
        <v>&lt;organisation_question2_answer&gt;</v>
      </c>
      <c r="C102" s="216" t="str">
        <f>'Operator Performance'!E42</f>
        <v>Yes</v>
      </c>
      <c r="D102" t="str">
        <f t="shared" si="4"/>
        <v>&lt;/organisation_question2_answer&gt;</v>
      </c>
      <c r="F102" t="str">
        <f t="shared" si="5"/>
        <v>&lt;organisation_question2_answer&gt;Yes&lt;/organisation_question2_answer&gt;</v>
      </c>
    </row>
    <row r="103" spans="1:6" ht="12.75" customHeight="1" x14ac:dyDescent="0.2">
      <c r="A103" s="216" t="s">
        <v>272</v>
      </c>
      <c r="B103" t="str">
        <f t="shared" si="3"/>
        <v>&lt;organisation_question2_score&gt;</v>
      </c>
      <c r="C103" s="218">
        <f ca="1">'Operator Performance'!F42</f>
        <v>3</v>
      </c>
      <c r="D103" t="str">
        <f t="shared" si="4"/>
        <v>&lt;/organisation_question2_score&gt;</v>
      </c>
      <c r="F103" t="str">
        <f t="shared" ca="1" si="5"/>
        <v>&lt;organisation_question2_score&gt;3&lt;/organisation_question2_score&gt;</v>
      </c>
    </row>
    <row r="104" spans="1:6" ht="12.75" customHeight="1" x14ac:dyDescent="0.2">
      <c r="A104" s="216" t="s">
        <v>273</v>
      </c>
      <c r="B104" t="str">
        <f t="shared" si="3"/>
        <v>&lt;organisation_question3_answer&gt;</v>
      </c>
      <c r="C104" s="216" t="str">
        <f>'Operator Performance'!E43</f>
        <v>Yes</v>
      </c>
      <c r="D104" t="str">
        <f t="shared" si="4"/>
        <v>&lt;/organisation_question3_answer&gt;</v>
      </c>
      <c r="F104" t="str">
        <f t="shared" si="5"/>
        <v>&lt;organisation_question3_answer&gt;Yes&lt;/organisation_question3_answer&gt;</v>
      </c>
    </row>
    <row r="105" spans="1:6" ht="12.75" customHeight="1" x14ac:dyDescent="0.2">
      <c r="A105" s="216" t="s">
        <v>274</v>
      </c>
      <c r="B105" t="str">
        <f t="shared" si="3"/>
        <v>&lt;organisation_question3_score&gt;</v>
      </c>
      <c r="C105" s="218">
        <f ca="1">'Operator Performance'!F43</f>
        <v>3</v>
      </c>
      <c r="D105" t="str">
        <f t="shared" si="4"/>
        <v>&lt;/organisation_question3_score&gt;</v>
      </c>
      <c r="F105" t="str">
        <f t="shared" ca="1" si="5"/>
        <v>&lt;organisation_question3_score&gt;3&lt;/organisation_question3_score&gt;</v>
      </c>
    </row>
    <row r="106" spans="1:6" ht="12.75" customHeight="1" x14ac:dyDescent="0.2">
      <c r="A106" s="216" t="s">
        <v>275</v>
      </c>
      <c r="B106" t="str">
        <f t="shared" si="3"/>
        <v>&lt;organisation_question4_answer&gt;</v>
      </c>
      <c r="C106" s="216" t="str">
        <f>'Operator Performance'!E47</f>
        <v>Yes</v>
      </c>
      <c r="D106" t="str">
        <f t="shared" si="4"/>
        <v>&lt;/organisation_question4_answer&gt;</v>
      </c>
      <c r="F106" t="str">
        <f t="shared" si="5"/>
        <v>&lt;organisation_question4_answer&gt;Yes&lt;/organisation_question4_answer&gt;</v>
      </c>
    </row>
    <row r="107" spans="1:6" ht="12.75" customHeight="1" x14ac:dyDescent="0.2">
      <c r="A107" s="216" t="s">
        <v>276</v>
      </c>
      <c r="B107" t="str">
        <f t="shared" si="3"/>
        <v>&lt;organisation_question4_score&gt;</v>
      </c>
      <c r="C107" s="218">
        <f ca="1">'Operator Performance'!F47</f>
        <v>1</v>
      </c>
      <c r="D107" t="str">
        <f t="shared" si="4"/>
        <v>&lt;/organisation_question4_score&gt;</v>
      </c>
      <c r="F107" t="str">
        <f t="shared" ca="1" si="5"/>
        <v>&lt;organisation_question4_score&gt;1&lt;/organisation_question4_score&gt;</v>
      </c>
    </row>
    <row r="108" spans="1:6" ht="12.75" customHeight="1" x14ac:dyDescent="0.2">
      <c r="A108" s="216" t="s">
        <v>277</v>
      </c>
      <c r="B108" t="str">
        <f t="shared" si="3"/>
        <v>&lt;organisation_question5_answer&gt;</v>
      </c>
      <c r="C108" s="216">
        <f>'Operator Performance'!E48</f>
        <v>0</v>
      </c>
      <c r="D108" t="str">
        <f t="shared" si="4"/>
        <v>&lt;/organisation_question5_answer&gt;</v>
      </c>
      <c r="F108" t="str">
        <f t="shared" si="5"/>
        <v>&lt;organisation_question5_answer&gt;0&lt;/organisation_question5_answer&gt;</v>
      </c>
    </row>
    <row r="109" spans="1:6" ht="12.75" customHeight="1" x14ac:dyDescent="0.2">
      <c r="A109" s="216" t="s">
        <v>278</v>
      </c>
      <c r="B109" t="str">
        <f t="shared" si="3"/>
        <v>&lt;organisation_question5_score&gt;</v>
      </c>
      <c r="C109" s="218">
        <f>'Operator Performance'!F48</f>
        <v>0</v>
      </c>
      <c r="D109" t="str">
        <f t="shared" si="4"/>
        <v>&lt;/organisation_question5_score&gt;</v>
      </c>
      <c r="F109" t="str">
        <f t="shared" si="5"/>
        <v>&lt;organisation_question5_score&gt;0&lt;/organisation_question5_score&gt;</v>
      </c>
    </row>
    <row r="110" spans="1:6" ht="12.75" customHeight="1" x14ac:dyDescent="0.2">
      <c r="A110" s="216" t="s">
        <v>279</v>
      </c>
      <c r="B110" t="str">
        <f t="shared" si="3"/>
        <v>&lt;enfNotice_answer&gt;</v>
      </c>
      <c r="C110" s="216">
        <f>'Operator Performance'!E49</f>
        <v>0</v>
      </c>
      <c r="D110" t="str">
        <f t="shared" si="4"/>
        <v>&lt;/enfNotice_answer&gt;</v>
      </c>
      <c r="F110" t="str">
        <f t="shared" si="5"/>
        <v>&lt;enfNotice_answer&gt;0&lt;/enfNotice_answer&gt;</v>
      </c>
    </row>
    <row r="111" spans="1:6" ht="12.75" customHeight="1" x14ac:dyDescent="0.2">
      <c r="A111" s="216" t="s">
        <v>280</v>
      </c>
      <c r="B111" t="str">
        <f t="shared" si="3"/>
        <v>&lt;enfNotice_score&gt;</v>
      </c>
      <c r="C111" s="216">
        <f ca="1">'Operator Performance'!F49</f>
        <v>13</v>
      </c>
      <c r="D111" t="str">
        <f t="shared" si="4"/>
        <v>&lt;/enfNotice_score&gt;</v>
      </c>
      <c r="F111" t="str">
        <f t="shared" ca="1" si="5"/>
        <v>&lt;enfNotice_score&gt;13&lt;/enfNotice_score&gt;</v>
      </c>
    </row>
    <row r="112" spans="1:6" ht="12.75" customHeight="1" x14ac:dyDescent="0.2">
      <c r="A112" s="216" t="s">
        <v>281</v>
      </c>
      <c r="B112" t="str">
        <f t="shared" si="3"/>
        <v>&lt;caution_answer&gt;</v>
      </c>
      <c r="C112" s="216">
        <f>'Operator Performance'!E50</f>
        <v>0</v>
      </c>
      <c r="D112" t="str">
        <f t="shared" si="4"/>
        <v>&lt;/caution_answer&gt;</v>
      </c>
      <c r="F112" t="str">
        <f t="shared" si="5"/>
        <v>&lt;caution_answer&gt;0&lt;/caution_answer&gt;</v>
      </c>
    </row>
    <row r="113" spans="1:6" ht="12.75" customHeight="1" x14ac:dyDescent="0.2">
      <c r="A113" s="216" t="s">
        <v>282</v>
      </c>
      <c r="B113" t="str">
        <f t="shared" si="3"/>
        <v>&lt;caution_score&gt;</v>
      </c>
      <c r="C113" s="219">
        <f>'Operator Performance'!F50</f>
        <v>0</v>
      </c>
      <c r="D113" t="str">
        <f t="shared" si="4"/>
        <v>&lt;/caution_score&gt;</v>
      </c>
      <c r="F113" t="str">
        <f t="shared" si="5"/>
        <v>&lt;caution_score&gt;0&lt;/caution_score&gt;</v>
      </c>
    </row>
    <row r="114" spans="1:6" ht="12.75" customHeight="1" x14ac:dyDescent="0.2">
      <c r="A114" s="216" t="s">
        <v>283</v>
      </c>
      <c r="B114" t="str">
        <f t="shared" si="3"/>
        <v>&lt;prohibit_answer&gt;</v>
      </c>
      <c r="C114" s="216">
        <f>'Operator Performance'!E51</f>
        <v>0</v>
      </c>
      <c r="D114" t="str">
        <f t="shared" si="4"/>
        <v>&lt;/prohibit_answer&gt;</v>
      </c>
      <c r="F114" t="str">
        <f t="shared" si="5"/>
        <v>&lt;prohibit_answer&gt;0&lt;/prohibit_answer&gt;</v>
      </c>
    </row>
    <row r="115" spans="1:6" ht="12.75" customHeight="1" x14ac:dyDescent="0.2">
      <c r="A115" s="216" t="s">
        <v>284</v>
      </c>
      <c r="B115" t="str">
        <f t="shared" si="3"/>
        <v>&lt;prohibit_score&gt;</v>
      </c>
      <c r="C115" s="216">
        <f>'Operator Performance'!F51</f>
        <v>0</v>
      </c>
      <c r="D115" t="str">
        <f t="shared" si="4"/>
        <v>&lt;/prohibit_score&gt;</v>
      </c>
      <c r="F115" t="str">
        <f t="shared" si="5"/>
        <v>&lt;prohibit_score&gt;0&lt;/prohibit_score&gt;</v>
      </c>
    </row>
    <row r="116" spans="1:6" ht="12.75" customHeight="1" x14ac:dyDescent="0.2">
      <c r="A116" s="216" t="s">
        <v>285</v>
      </c>
      <c r="B116" t="str">
        <f t="shared" si="3"/>
        <v>&lt;prosecution_answer&gt;</v>
      </c>
      <c r="C116" s="216">
        <f>'Operator Performance'!E53</f>
        <v>0</v>
      </c>
      <c r="D116" t="str">
        <f t="shared" si="4"/>
        <v>&lt;/prosecution_answer&gt;</v>
      </c>
      <c r="F116" t="str">
        <f t="shared" si="5"/>
        <v>&lt;prosecution_answer&gt;0&lt;/prosecution_answer&gt;</v>
      </c>
    </row>
    <row r="117" spans="1:6" ht="12.75" customHeight="1" x14ac:dyDescent="0.2">
      <c r="A117" s="216" t="s">
        <v>286</v>
      </c>
      <c r="B117" t="str">
        <f t="shared" si="3"/>
        <v>&lt;prosecution_score&gt;</v>
      </c>
      <c r="C117" s="216">
        <f>'Operator Performance'!F53</f>
        <v>0</v>
      </c>
      <c r="D117" t="str">
        <f t="shared" si="4"/>
        <v>&lt;/prosecution_score&gt;</v>
      </c>
      <c r="F117" t="str">
        <f t="shared" si="5"/>
        <v>&lt;prosecution_score&gt;0&lt;/prosecution_score&gt;</v>
      </c>
    </row>
    <row r="118" spans="1:6" x14ac:dyDescent="0.2">
      <c r="C118" s="216"/>
      <c r="F118" t="s">
        <v>297</v>
      </c>
    </row>
    <row r="119" spans="1:6" x14ac:dyDescent="0.2">
      <c r="C119" s="216"/>
      <c r="F119" t="s">
        <v>296</v>
      </c>
    </row>
    <row r="120" spans="1:6" x14ac:dyDescent="0.2">
      <c r="A120" t="s">
        <v>287</v>
      </c>
      <c r="B120" t="str">
        <f t="shared" si="3"/>
        <v>&lt;cat1Events&gt;</v>
      </c>
      <c r="C120" s="216"/>
      <c r="D120" t="str">
        <f t="shared" ref="D120:D125" si="6">"&lt;/"&amp;A120&amp;"&gt;"</f>
        <v>&lt;/cat1Events&gt;</v>
      </c>
      <c r="F120" t="str">
        <f t="shared" ref="F120:F125" si="7">CONCATENATE(B120,C120,D120)</f>
        <v>&lt;cat1Events&gt;&lt;/cat1Events&gt;</v>
      </c>
    </row>
    <row r="121" spans="1:6" x14ac:dyDescent="0.2">
      <c r="A121" t="s">
        <v>288</v>
      </c>
      <c r="B121" t="str">
        <f t="shared" si="3"/>
        <v>&lt;cat2Events&gt;</v>
      </c>
      <c r="C121" s="216"/>
      <c r="D121" t="str">
        <f t="shared" si="6"/>
        <v>&lt;/cat2Events&gt;</v>
      </c>
      <c r="F121" t="str">
        <f t="shared" si="7"/>
        <v>&lt;cat2Events&gt;&lt;/cat2Events&gt;</v>
      </c>
    </row>
    <row r="122" spans="1:6" x14ac:dyDescent="0.2">
      <c r="A122" t="s">
        <v>289</v>
      </c>
      <c r="B122" t="str">
        <f t="shared" si="3"/>
        <v>&lt;cat3Events&gt;</v>
      </c>
      <c r="C122" s="216"/>
      <c r="D122" t="str">
        <f t="shared" si="6"/>
        <v>&lt;/cat3Events&gt;</v>
      </c>
      <c r="F122" t="str">
        <f t="shared" si="7"/>
        <v>&lt;cat3Events&gt;&lt;/cat3Events&gt;</v>
      </c>
    </row>
    <row r="123" spans="1:6" x14ac:dyDescent="0.2">
      <c r="A123" t="s">
        <v>290</v>
      </c>
      <c r="B123" t="str">
        <f t="shared" si="3"/>
        <v>&lt;cat4Events&gt;</v>
      </c>
      <c r="D123" t="str">
        <f t="shared" si="6"/>
        <v>&lt;/cat4Events&gt;</v>
      </c>
      <c r="F123" t="str">
        <f t="shared" si="7"/>
        <v>&lt;cat4Events&gt;&lt;/cat4Events&gt;</v>
      </c>
    </row>
    <row r="124" spans="1:6" x14ac:dyDescent="0.2">
      <c r="A124" t="s">
        <v>291</v>
      </c>
      <c r="B124" t="str">
        <f t="shared" si="3"/>
        <v>&lt;complianceIndex&gt;</v>
      </c>
      <c r="D124" t="str">
        <f t="shared" si="6"/>
        <v>&lt;/complianceIndex&gt;</v>
      </c>
      <c r="F124" t="str">
        <f t="shared" si="7"/>
        <v>&lt;complianceIndex&gt;&lt;/complianceIndex&gt;</v>
      </c>
    </row>
    <row r="125" spans="1:6" x14ac:dyDescent="0.2">
      <c r="A125" t="s">
        <v>292</v>
      </c>
      <c r="B125" t="str">
        <f t="shared" si="3"/>
        <v>&lt;complianceBand&gt;</v>
      </c>
      <c r="D125" t="str">
        <f t="shared" si="6"/>
        <v>&lt;/complianceBand&gt;</v>
      </c>
      <c r="F125" t="str">
        <f t="shared" si="7"/>
        <v>&lt;complianceBand&gt;&lt;/complianceBand&gt;</v>
      </c>
    </row>
    <row r="126" spans="1:6" x14ac:dyDescent="0.2">
      <c r="F126" t="s">
        <v>293</v>
      </c>
    </row>
    <row r="127" spans="1:6" x14ac:dyDescent="0.2">
      <c r="F127" s="215" t="s">
        <v>220</v>
      </c>
    </row>
    <row r="128" spans="1:6" x14ac:dyDescent="0.2">
      <c r="F128" s="215" t="s">
        <v>294</v>
      </c>
    </row>
    <row r="129" spans="6:6" x14ac:dyDescent="0.2">
      <c r="F129" s="217" t="s">
        <v>295</v>
      </c>
    </row>
  </sheetData>
  <phoneticPr fontId="26"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3"/>
  <sheetViews>
    <sheetView workbookViewId="0">
      <selection activeCell="C6" sqref="C6"/>
    </sheetView>
  </sheetViews>
  <sheetFormatPr defaultRowHeight="12.75" x14ac:dyDescent="0.2"/>
  <cols>
    <col min="1" max="1" width="14.140625" style="211" bestFit="1" customWidth="1"/>
    <col min="2" max="2" width="12.5703125" style="211" bestFit="1" customWidth="1"/>
    <col min="3" max="3" width="14.140625" style="211" bestFit="1" customWidth="1"/>
    <col min="4" max="4" width="6" style="211" bestFit="1" customWidth="1"/>
    <col min="5" max="5" width="14.140625" style="211" customWidth="1"/>
    <col min="6" max="6" width="11.28515625" style="211" bestFit="1" customWidth="1"/>
    <col min="7" max="7" width="12.85546875" style="211" bestFit="1" customWidth="1"/>
    <col min="8" max="8" width="13.140625" style="211" bestFit="1" customWidth="1"/>
    <col min="9" max="9" width="8.5703125" style="211" bestFit="1" customWidth="1"/>
    <col min="10" max="11" width="11.140625" style="211" bestFit="1" customWidth="1"/>
    <col min="12" max="12" width="12.28515625" style="211" bestFit="1" customWidth="1"/>
    <col min="13" max="13" width="14" style="211" bestFit="1" customWidth="1"/>
    <col min="14" max="14" width="11.28515625" style="211" bestFit="1" customWidth="1"/>
    <col min="15" max="15" width="11.140625" style="211" bestFit="1" customWidth="1"/>
    <col min="16" max="16" width="13.7109375" style="211" bestFit="1" customWidth="1"/>
    <col min="17" max="17" width="6.42578125" style="211" bestFit="1" customWidth="1"/>
    <col min="18" max="18" width="9.140625" style="211" customWidth="1"/>
  </cols>
  <sheetData>
    <row r="1" spans="1:17" x14ac:dyDescent="0.2">
      <c r="A1" s="210" t="s">
        <v>162</v>
      </c>
    </row>
    <row r="2" spans="1:17" x14ac:dyDescent="0.2">
      <c r="A2" s="212" t="s">
        <v>145</v>
      </c>
      <c r="B2" s="212" t="s">
        <v>146</v>
      </c>
      <c r="C2" s="212" t="s">
        <v>147</v>
      </c>
      <c r="D2" s="212" t="s">
        <v>148</v>
      </c>
      <c r="E2" s="212" t="s">
        <v>149</v>
      </c>
      <c r="F2" s="212" t="s">
        <v>150</v>
      </c>
      <c r="G2" s="212" t="s">
        <v>151</v>
      </c>
      <c r="H2" s="212" t="s">
        <v>152</v>
      </c>
      <c r="I2" s="212" t="s">
        <v>153</v>
      </c>
      <c r="J2" s="212" t="s">
        <v>154</v>
      </c>
      <c r="K2" s="212" t="s">
        <v>155</v>
      </c>
      <c r="L2" s="212" t="s">
        <v>156</v>
      </c>
      <c r="M2" s="212" t="s">
        <v>157</v>
      </c>
      <c r="N2" s="212" t="s">
        <v>158</v>
      </c>
      <c r="O2" s="212" t="s">
        <v>159</v>
      </c>
      <c r="P2" s="212" t="s">
        <v>160</v>
      </c>
      <c r="Q2" s="212" t="s">
        <v>161</v>
      </c>
    </row>
    <row r="3" spans="1:17" x14ac:dyDescent="0.2">
      <c r="A3" s="211">
        <f ca="1">('Summary and Calculation'!E9*100000)+('Summary and Calculation'!E9 *RAND())</f>
        <v>4297012092.0980129</v>
      </c>
      <c r="B3" s="211">
        <v>3</v>
      </c>
      <c r="C3" s="211">
        <f ca="1">TODAY()</f>
        <v>43186</v>
      </c>
      <c r="D3" s="211">
        <f>'Summary and Calculation'!E9</f>
        <v>42970</v>
      </c>
      <c r="E3" s="211" t="str">
        <f ca="1">OFFSET(References!B2,Complexity_Emissions_Location!D5,0)</f>
        <v>L05</v>
      </c>
      <c r="F3" s="211" t="str">
        <f ca="1">OFFSET(References!B2,Complexity_Emissions_Location!D7,0)</f>
        <v>A16 (non-haz)</v>
      </c>
      <c r="G3" s="211">
        <f ca="1">Complexity_Emissions_Location!K22</f>
        <v>14</v>
      </c>
      <c r="H3" s="211">
        <f>Complexity_Emissions_Location!M10</f>
        <v>500</v>
      </c>
      <c r="I3" s="209">
        <f ca="1">'Operator Performance'!H60</f>
        <v>8.2666666666666675</v>
      </c>
      <c r="J3" s="211" t="str">
        <f ca="1">'Summary and Calculation'!F13</f>
        <v>C</v>
      </c>
      <c r="K3" s="211" t="str">
        <f ca="1">'Summary and Calculation'!G13</f>
        <v>A</v>
      </c>
      <c r="L3" s="211" t="str">
        <f ca="1">'Summary and Calculation'!F15</f>
        <v>D</v>
      </c>
      <c r="M3" s="211" t="str">
        <f>'Summary and Calculation'!F14</f>
        <v>C</v>
      </c>
      <c r="N3" s="211" t="str">
        <f ca="1">'Summary and Calculation'!F16</f>
        <v>A</v>
      </c>
      <c r="P3" s="211">
        <f ca="1">'Summary and Calculation'!H17</f>
        <v>61</v>
      </c>
    </row>
  </sheetData>
  <phoneticPr fontId="26" type="noConversion"/>
  <pageMargins left="0.75" right="0.75" top="1" bottom="1" header="0.5" footer="0.5"/>
  <pageSetup paperSize="9" orientation="portrait" verticalDpi="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0"/>
  <sheetViews>
    <sheetView workbookViewId="0">
      <selection activeCell="E48" sqref="E48"/>
    </sheetView>
  </sheetViews>
  <sheetFormatPr defaultRowHeight="12.75" x14ac:dyDescent="0.2"/>
  <cols>
    <col min="1" max="1" width="12.7109375" bestFit="1" customWidth="1"/>
    <col min="2" max="2" width="11" bestFit="1" customWidth="1"/>
    <col min="3" max="3" width="4.140625" bestFit="1" customWidth="1"/>
    <col min="4" max="4" width="8.5703125" bestFit="1" customWidth="1"/>
    <col min="5" max="5" width="34.28515625" bestFit="1" customWidth="1"/>
  </cols>
  <sheetData>
    <row r="1" spans="1:6" x14ac:dyDescent="0.2">
      <c r="A1" s="212" t="s">
        <v>163</v>
      </c>
      <c r="B1" s="212" t="s">
        <v>145</v>
      </c>
      <c r="C1" s="212" t="s">
        <v>91</v>
      </c>
      <c r="D1" s="212" t="s">
        <v>94</v>
      </c>
      <c r="E1" s="212" t="s">
        <v>164</v>
      </c>
      <c r="F1" s="212" t="s">
        <v>165</v>
      </c>
    </row>
    <row r="2" spans="1:6" x14ac:dyDescent="0.2">
      <c r="A2" s="213" t="str">
        <f ca="1">FIXED(10000000000*RAND(),0,TRUE)</f>
        <v>7882375299</v>
      </c>
      <c r="B2" s="211">
        <f ca="1">ProfileHeader!$A$3</f>
        <v>4297012092.0980129</v>
      </c>
      <c r="C2" s="211">
        <v>2</v>
      </c>
      <c r="D2" s="211">
        <f ca="1">OFFSET(References!F$53,Complexity_Emissions_Location!E16-1,0)</f>
        <v>2</v>
      </c>
      <c r="E2" s="211" t="str">
        <f ca="1">OFFSET(References!D$53,Complexity_Emissions_Location!E16-1,0)</f>
        <v>50m-250m</v>
      </c>
      <c r="F2" s="211">
        <f ca="1">OFFSET(References!E$53,Complexity_Emissions_Location!E16-1,0)</f>
        <v>3</v>
      </c>
    </row>
    <row r="3" spans="1:6" x14ac:dyDescent="0.2">
      <c r="A3" s="213" t="str">
        <f t="shared" ref="A3:A40" ca="1" si="0">FIXED(10000000000*RAND(),0,TRUE)</f>
        <v>7588188785</v>
      </c>
      <c r="B3" s="211">
        <f ca="1">ProfileHeader!$A$3</f>
        <v>4297012092.0980129</v>
      </c>
      <c r="C3" s="211">
        <v>3</v>
      </c>
      <c r="D3" s="211">
        <f ca="1">OFFSET(References!F$57,Complexity_Emissions_Location!E18-1,0)</f>
        <v>6</v>
      </c>
      <c r="E3" s="211" t="str">
        <f ca="1">OFFSET(References!D$57,Complexity_Emissions_Location!E18-1,0)</f>
        <v>CRoW</v>
      </c>
      <c r="F3" s="211">
        <f ca="1">OFFSET(References!E$57,Complexity_Emissions_Location!E18-1,0)</f>
        <v>2</v>
      </c>
    </row>
    <row r="4" spans="1:6" x14ac:dyDescent="0.2">
      <c r="A4" s="213" t="str">
        <f t="shared" ca="1" si="0"/>
        <v>1627944218</v>
      </c>
      <c r="B4" s="211">
        <f ca="1">ProfileHeader!$A$3</f>
        <v>4297012092.0980129</v>
      </c>
      <c r="C4" s="211">
        <v>4</v>
      </c>
      <c r="D4" s="211">
        <f ca="1">OFFSET(References!F$60,Complexity_Emissions_Location!E20-1,0)</f>
        <v>9</v>
      </c>
      <c r="E4" s="211" t="str">
        <f ca="1">OFFSET(References!D$60,Complexity_Emissions_Location!E20-1,0)</f>
        <v>Yes - Outside GPZ</v>
      </c>
      <c r="F4" s="211">
        <f ca="1">OFFSET(References!E$60,Complexity_Emissions_Location!E20-1,0)</f>
        <v>1</v>
      </c>
    </row>
    <row r="5" spans="1:6" x14ac:dyDescent="0.2">
      <c r="A5" s="213" t="str">
        <f t="shared" ca="1" si="0"/>
        <v>1690278275</v>
      </c>
      <c r="B5" s="211">
        <f ca="1">ProfileHeader!$A$3</f>
        <v>4297012092.0980129</v>
      </c>
      <c r="C5" s="211">
        <v>5</v>
      </c>
      <c r="D5" s="211">
        <f ca="1">OFFSET(References!F$63,Complexity_Emissions_Location!E22-1,0)</f>
        <v>13</v>
      </c>
      <c r="E5" s="211" t="str">
        <f ca="1">OFFSET(References!D$63,Complexity_Emissions_Location!E22-1,0)</f>
        <v>Grade 1 or 2</v>
      </c>
      <c r="F5" s="211">
        <f ca="1">OFFSET(References!E$63,Complexity_Emissions_Location!E22-1,0)</f>
        <v>3</v>
      </c>
    </row>
    <row r="6" spans="1:6" x14ac:dyDescent="0.2">
      <c r="A6" s="213" t="str">
        <f t="shared" ca="1" si="0"/>
        <v>8880535058</v>
      </c>
      <c r="B6" s="211">
        <f ca="1">ProfileHeader!$A$3</f>
        <v>4297012092.0980129</v>
      </c>
      <c r="C6" s="211">
        <v>6</v>
      </c>
      <c r="D6" s="211">
        <f ca="1">OFFSET(References!F$67,Complexity_Emissions_Location!K16-1,0)</f>
        <v>17</v>
      </c>
      <c r="E6" s="211" t="str">
        <f ca="1">OFFSET(References!D$67,Complexity_Emissions_Location!K16-1,0)</f>
        <v>No</v>
      </c>
      <c r="F6" s="211">
        <f ca="1">OFFSET(References!E$67,Complexity_Emissions_Location!K16-1,0)</f>
        <v>0</v>
      </c>
    </row>
    <row r="7" spans="1:6" x14ac:dyDescent="0.2">
      <c r="A7" s="213" t="str">
        <f t="shared" ca="1" si="0"/>
        <v>7964002886</v>
      </c>
      <c r="B7" s="211">
        <f ca="1">ProfileHeader!$A$3</f>
        <v>4297012092.0980129</v>
      </c>
      <c r="C7" s="211">
        <v>7</v>
      </c>
      <c r="D7" s="211">
        <f ca="1">OFFSET(References!F$70,Complexity_Emissions_Location!K18-1,0)</f>
        <v>18</v>
      </c>
      <c r="E7" s="211" t="str">
        <f ca="1">OFFSET(References!D$70,Complexity_Emissions_Location!K18-1,0)</f>
        <v>Yes - and emits declared pollutant</v>
      </c>
      <c r="F7" s="211">
        <f ca="1">OFFSET(References!E$70,Complexity_Emissions_Location!K18-1,0)</f>
        <v>3</v>
      </c>
    </row>
    <row r="8" spans="1:6" x14ac:dyDescent="0.2">
      <c r="A8" s="213" t="str">
        <f t="shared" ca="1" si="0"/>
        <v>1645258260</v>
      </c>
      <c r="B8" s="211">
        <f ca="1">ProfileHeader!$A$3</f>
        <v>4297012092.0980129</v>
      </c>
      <c r="C8" s="211">
        <v>8</v>
      </c>
      <c r="D8" s="211">
        <f ca="1">OFFSET(References!F$74,Complexity_Emissions_Location!K20-1,0)</f>
        <v>22</v>
      </c>
      <c r="E8" s="211" t="str">
        <f ca="1">OFFSET(References!D$74,Complexity_Emissions_Location!K20-1,0)</f>
        <v>Yes</v>
      </c>
      <c r="F8" s="211">
        <f ca="1">OFFSET(References!E$74,Complexity_Emissions_Location!K20-1,0)</f>
        <v>2</v>
      </c>
    </row>
    <row r="9" spans="1:6" x14ac:dyDescent="0.2">
      <c r="A9" s="213" t="str">
        <f t="shared" ca="1" si="0"/>
        <v>6172423828</v>
      </c>
      <c r="B9" s="211">
        <f ca="1">ProfileHeader!$A$3</f>
        <v>4297012092.0980129</v>
      </c>
      <c r="C9" s="211">
        <v>60</v>
      </c>
      <c r="D9" s="211">
        <f ca="1">OFFSET(References!$O$54,'Operator Performance'!G5-1,0)</f>
        <v>24</v>
      </c>
      <c r="E9" s="211" t="str">
        <f>'Operator Performance'!E5</f>
        <v>Yes</v>
      </c>
      <c r="F9" s="211">
        <f ca="1">'Operator Performance'!F5</f>
        <v>4</v>
      </c>
    </row>
    <row r="10" spans="1:6" x14ac:dyDescent="0.2">
      <c r="A10" s="213" t="str">
        <f t="shared" ca="1" si="0"/>
        <v>9944015039</v>
      </c>
      <c r="B10" s="211">
        <f ca="1">ProfileHeader!$A$3</f>
        <v>4297012092.0980129</v>
      </c>
      <c r="C10" s="211">
        <v>61</v>
      </c>
      <c r="D10" s="211">
        <f ca="1">OFFSET(References!$O$54,'Operator Performance'!G6-1,0)</f>
        <v>26</v>
      </c>
      <c r="E10" s="211" t="str">
        <f>'Operator Performance'!E6</f>
        <v>Yes</v>
      </c>
      <c r="F10" s="211">
        <f ca="1">'Operator Performance'!F6</f>
        <v>2</v>
      </c>
    </row>
    <row r="11" spans="1:6" x14ac:dyDescent="0.2">
      <c r="A11" s="213" t="str">
        <f t="shared" ca="1" si="0"/>
        <v>1251085807</v>
      </c>
      <c r="B11" s="211">
        <f ca="1">ProfileHeader!$A$3</f>
        <v>4297012092.0980129</v>
      </c>
      <c r="C11" s="211">
        <v>62</v>
      </c>
      <c r="D11" s="211">
        <f ca="1">OFFSET(References!$O$54,'Operator Performance'!G7-1,0)</f>
        <v>28</v>
      </c>
      <c r="E11" s="211">
        <f>'Operator Performance'!E7</f>
        <v>0</v>
      </c>
      <c r="F11" s="211">
        <f>'Operator Performance'!F7</f>
        <v>0</v>
      </c>
    </row>
    <row r="12" spans="1:6" x14ac:dyDescent="0.2">
      <c r="A12" s="213" t="str">
        <f t="shared" ca="1" si="0"/>
        <v>8333569826</v>
      </c>
      <c r="B12" s="211">
        <f ca="1">ProfileHeader!$A$3</f>
        <v>4297012092.0980129</v>
      </c>
      <c r="C12" s="211">
        <v>63</v>
      </c>
      <c r="D12" s="211">
        <f ca="1">OFFSET(References!$O$54,'Operator Performance'!G8-1,0)</f>
        <v>30</v>
      </c>
      <c r="E12" s="211" t="str">
        <f>'Operator Performance'!E8</f>
        <v>Yes</v>
      </c>
      <c r="F12" s="211">
        <f ca="1">'Operator Performance'!F8</f>
        <v>2</v>
      </c>
    </row>
    <row r="13" spans="1:6" x14ac:dyDescent="0.2">
      <c r="A13" s="213" t="str">
        <f ca="1">FIXED(10000000000*RAND(),0,TRUE)</f>
        <v>6187285918</v>
      </c>
      <c r="B13" s="211">
        <f ca="1">ProfileHeader!$A$3</f>
        <v>4297012092.0980129</v>
      </c>
      <c r="C13" s="211">
        <v>64</v>
      </c>
      <c r="D13" s="211">
        <f ca="1">OFFSET(References!$O$54,'Operator Performance'!G9-1,0)</f>
        <v>32</v>
      </c>
      <c r="E13" s="211" t="str">
        <f>'Operator Performance'!E9</f>
        <v>Yes</v>
      </c>
      <c r="F13" s="211">
        <f ca="1">'Operator Performance'!F9</f>
        <v>2</v>
      </c>
    </row>
    <row r="14" spans="1:6" x14ac:dyDescent="0.2">
      <c r="A14" s="213" t="str">
        <f t="shared" ca="1" si="0"/>
        <v>8421087130</v>
      </c>
      <c r="B14" s="211">
        <f ca="1">ProfileHeader!$A$3</f>
        <v>4297012092.0980129</v>
      </c>
      <c r="C14" s="211">
        <v>66</v>
      </c>
      <c r="D14" s="211">
        <f ca="1">OFFSET(References!$O$54,'Operator Performance'!G10-1,0)</f>
        <v>36</v>
      </c>
      <c r="E14" s="211" t="str">
        <f>'Operator Performance'!E10</f>
        <v>Yes</v>
      </c>
      <c r="F14" s="211">
        <f ca="1">'Operator Performance'!F10</f>
        <v>2</v>
      </c>
    </row>
    <row r="15" spans="1:6" x14ac:dyDescent="0.2">
      <c r="A15" s="213" t="str">
        <f t="shared" ca="1" si="0"/>
        <v>7907484</v>
      </c>
      <c r="B15" s="211">
        <f ca="1">ProfileHeader!$A$3</f>
        <v>4297012092.0980129</v>
      </c>
      <c r="C15" s="211">
        <v>69</v>
      </c>
      <c r="D15" s="211">
        <f ca="1">OFFSET(References!$O$54,'Operator Performance'!G14-1,0)</f>
        <v>42</v>
      </c>
      <c r="E15" s="211" t="str">
        <f>'Operator Performance'!E14</f>
        <v>Yes</v>
      </c>
      <c r="F15" s="213">
        <f ca="1">'Operator Performance'!F14</f>
        <v>3</v>
      </c>
    </row>
    <row r="16" spans="1:6" x14ac:dyDescent="0.2">
      <c r="A16" s="213" t="str">
        <f t="shared" ca="1" si="0"/>
        <v>6513483530</v>
      </c>
      <c r="B16" s="211">
        <f ca="1">ProfileHeader!$A$3</f>
        <v>4297012092.0980129</v>
      </c>
      <c r="C16" s="211">
        <v>70</v>
      </c>
      <c r="D16" s="211">
        <f ca="1">OFFSET(References!$O$54,'Operator Performance'!G17-1,0)</f>
        <v>44</v>
      </c>
      <c r="E16" s="211" t="str">
        <f>'Operator Performance'!E17</f>
        <v>Yes</v>
      </c>
      <c r="F16" s="213">
        <f ca="1">'Operator Performance'!F17</f>
        <v>2</v>
      </c>
    </row>
    <row r="17" spans="1:6" x14ac:dyDescent="0.2">
      <c r="A17" s="213" t="str">
        <f t="shared" ca="1" si="0"/>
        <v>5059002259</v>
      </c>
      <c r="B17" s="211">
        <f ca="1">ProfileHeader!$A$3</f>
        <v>4297012092.0980129</v>
      </c>
      <c r="C17" s="211">
        <v>71</v>
      </c>
      <c r="D17" s="211">
        <f ca="1">OFFSET(References!$O$54,'Operator Performance'!G18-1,0)</f>
        <v>46</v>
      </c>
      <c r="E17" s="211" t="str">
        <f>'Operator Performance'!E18</f>
        <v>Yes</v>
      </c>
      <c r="F17" s="213">
        <f ca="1">'Operator Performance'!F18</f>
        <v>2</v>
      </c>
    </row>
    <row r="18" spans="1:6" x14ac:dyDescent="0.2">
      <c r="A18" s="213" t="str">
        <f t="shared" ca="1" si="0"/>
        <v>5630992558</v>
      </c>
      <c r="B18" s="211">
        <f ca="1">ProfileHeader!$A$3</f>
        <v>4297012092.0980129</v>
      </c>
      <c r="C18" s="211">
        <v>72</v>
      </c>
      <c r="D18" s="211">
        <f ca="1">OFFSET(References!$O$54,'Operator Performance'!G19-1,0)</f>
        <v>48</v>
      </c>
      <c r="E18" s="211" t="str">
        <f>'Operator Performance'!E19</f>
        <v>Yes</v>
      </c>
      <c r="F18" s="213">
        <f ca="1">'Operator Performance'!F19</f>
        <v>3</v>
      </c>
    </row>
    <row r="19" spans="1:6" x14ac:dyDescent="0.2">
      <c r="A19" s="213" t="str">
        <f t="shared" ca="1" si="0"/>
        <v>4009914299</v>
      </c>
      <c r="B19" s="211">
        <f ca="1">ProfileHeader!$A$3</f>
        <v>4297012092.0980129</v>
      </c>
      <c r="C19" s="211">
        <v>73</v>
      </c>
      <c r="D19" s="211">
        <f ca="1">OFFSET(References!$O$54,'Operator Performance'!G20-1,0)</f>
        <v>50</v>
      </c>
      <c r="E19" s="211" t="str">
        <f>'Operator Performance'!E20</f>
        <v>Yes</v>
      </c>
      <c r="F19" s="213">
        <f ca="1">'Operator Performance'!F20</f>
        <v>2</v>
      </c>
    </row>
    <row r="20" spans="1:6" x14ac:dyDescent="0.2">
      <c r="A20" s="213" t="str">
        <f t="shared" ca="1" si="0"/>
        <v>3227632089</v>
      </c>
      <c r="B20" s="211">
        <f ca="1">ProfileHeader!$A$3</f>
        <v>4297012092.0980129</v>
      </c>
      <c r="C20" s="211">
        <v>74</v>
      </c>
      <c r="D20" s="211">
        <f ca="1">OFFSET(References!$O$54,'Operator Performance'!G21-1,0)</f>
        <v>52</v>
      </c>
      <c r="E20" s="211" t="str">
        <f>'Operator Performance'!E21</f>
        <v>Yes</v>
      </c>
      <c r="F20" s="213">
        <f ca="1">'Operator Performance'!F21</f>
        <v>2</v>
      </c>
    </row>
    <row r="21" spans="1:6" x14ac:dyDescent="0.2">
      <c r="A21" s="213" t="str">
        <f t="shared" ca="1" si="0"/>
        <v>1963274118</v>
      </c>
      <c r="B21" s="211">
        <f ca="1">ProfileHeader!$A$3</f>
        <v>4297012092.0980129</v>
      </c>
      <c r="C21" s="211">
        <v>77</v>
      </c>
      <c r="D21" s="211">
        <f ca="1">OFFSET(References!$O$54,'Operator Performance'!G22-1,0)</f>
        <v>65</v>
      </c>
      <c r="E21" s="211" t="str">
        <f>'Operator Performance'!E22</f>
        <v>Yes</v>
      </c>
      <c r="F21" s="213">
        <f ca="1">'Operator Performance'!F22</f>
        <v>3</v>
      </c>
    </row>
    <row r="22" spans="1:6" x14ac:dyDescent="0.2">
      <c r="A22" s="213" t="str">
        <f t="shared" ca="1" si="0"/>
        <v>2497842342</v>
      </c>
      <c r="B22" s="211">
        <f ca="1">ProfileHeader!$A$3</f>
        <v>4297012092.0980129</v>
      </c>
      <c r="C22" s="211">
        <v>79</v>
      </c>
      <c r="D22" s="211">
        <f ca="1">OFFSET(References!$O$54,'Operator Performance'!G23-1,0)</f>
        <v>69</v>
      </c>
      <c r="E22" s="211" t="str">
        <f>'Operator Performance'!E23</f>
        <v>Yes</v>
      </c>
      <c r="F22" s="213">
        <f>'Operator Performance'!F23</f>
        <v>0</v>
      </c>
    </row>
    <row r="23" spans="1:6" x14ac:dyDescent="0.2">
      <c r="A23" s="213" t="str">
        <f t="shared" ca="1" si="0"/>
        <v>7545953682</v>
      </c>
      <c r="B23" s="211">
        <f ca="1">ProfileHeader!$A$3</f>
        <v>4297012092.0980129</v>
      </c>
      <c r="C23" s="211">
        <v>80</v>
      </c>
      <c r="D23" s="211">
        <f ca="1">OFFSET(References!$O$54,'Operator Performance'!G27-1,0)</f>
        <v>73</v>
      </c>
      <c r="E23" s="211" t="str">
        <f>'Operator Performance'!E27</f>
        <v>Yes</v>
      </c>
      <c r="F23" s="213">
        <f ca="1">'Operator Performance'!F27</f>
        <v>6</v>
      </c>
    </row>
    <row r="24" spans="1:6" x14ac:dyDescent="0.2">
      <c r="A24" s="213" t="str">
        <f t="shared" ca="1" si="0"/>
        <v>9097452633</v>
      </c>
      <c r="B24" s="211">
        <f ca="1">ProfileHeader!$A$3</f>
        <v>4297012092.0980129</v>
      </c>
      <c r="C24" s="211">
        <v>81</v>
      </c>
      <c r="D24" s="211">
        <f ca="1">OFFSET(References!$O$54,'Operator Performance'!G28-1,0)</f>
        <v>75</v>
      </c>
      <c r="E24" s="211" t="str">
        <f>'Operator Performance'!E28</f>
        <v>No</v>
      </c>
      <c r="F24" s="213">
        <f>'Operator Performance'!F28</f>
        <v>0</v>
      </c>
    </row>
    <row r="25" spans="1:6" x14ac:dyDescent="0.2">
      <c r="A25" s="213" t="str">
        <f t="shared" ca="1" si="0"/>
        <v>8873695646</v>
      </c>
      <c r="B25" s="211">
        <f ca="1">ProfileHeader!$A$3</f>
        <v>4297012092.0980129</v>
      </c>
      <c r="C25" s="211">
        <v>82</v>
      </c>
      <c r="D25" s="211">
        <f ca="1">OFFSET(References!$O$54,'Operator Performance'!G29-1,0)</f>
        <v>77</v>
      </c>
      <c r="E25" s="211" t="str">
        <f>'Operator Performance'!E29</f>
        <v>Yes</v>
      </c>
      <c r="F25" s="213">
        <f>'Operator Performance'!F29</f>
        <v>0</v>
      </c>
    </row>
    <row r="26" spans="1:6" x14ac:dyDescent="0.2">
      <c r="A26" s="213" t="str">
        <f t="shared" ca="1" si="0"/>
        <v>946088620</v>
      </c>
      <c r="B26" s="211">
        <f ca="1">ProfileHeader!$A$3</f>
        <v>4297012092.0980129</v>
      </c>
      <c r="C26" s="211">
        <v>83</v>
      </c>
      <c r="D26" s="211">
        <f ca="1">OFFSET(References!$O$54,'Operator Performance'!G30-1,0)</f>
        <v>79</v>
      </c>
      <c r="E26" s="211" t="str">
        <f>'Operator Performance'!E30</f>
        <v>Yes</v>
      </c>
      <c r="F26" s="213">
        <f ca="1">'Operator Performance'!F30</f>
        <v>4</v>
      </c>
    </row>
    <row r="27" spans="1:6" x14ac:dyDescent="0.2">
      <c r="A27" s="213" t="str">
        <f t="shared" ca="1" si="0"/>
        <v>7016101045</v>
      </c>
      <c r="B27" s="211">
        <f ca="1">ProfileHeader!$A$3</f>
        <v>4297012092.0980129</v>
      </c>
      <c r="C27" s="211">
        <v>84</v>
      </c>
      <c r="D27" s="211">
        <f ca="1">OFFSET(References!$O$54,'Operator Performance'!G31-1,0)</f>
        <v>81</v>
      </c>
      <c r="E27" s="211">
        <f>'Operator Performance'!E31</f>
        <v>0</v>
      </c>
      <c r="F27" s="213">
        <f>'Operator Performance'!F31</f>
        <v>0</v>
      </c>
    </row>
    <row r="28" spans="1:6" x14ac:dyDescent="0.2">
      <c r="A28" s="213" t="str">
        <f t="shared" ca="1" si="0"/>
        <v>3990996656</v>
      </c>
      <c r="B28" s="211">
        <f ca="1">ProfileHeader!$A$3</f>
        <v>4297012092.0980129</v>
      </c>
      <c r="C28" s="211">
        <v>85</v>
      </c>
      <c r="D28" s="211">
        <f ca="1">OFFSET(References!$O$54,'Operator Performance'!G32-1,0)</f>
        <v>83</v>
      </c>
      <c r="E28" s="211">
        <f>'Operator Performance'!E32</f>
        <v>0</v>
      </c>
      <c r="F28" s="213">
        <f>'Operator Performance'!F32</f>
        <v>0</v>
      </c>
    </row>
    <row r="29" spans="1:6" x14ac:dyDescent="0.2">
      <c r="A29" s="213" t="str">
        <f t="shared" ca="1" si="0"/>
        <v>7974004300</v>
      </c>
      <c r="B29" s="211">
        <f ca="1">ProfileHeader!$A$3</f>
        <v>4297012092.0980129</v>
      </c>
      <c r="C29" s="211">
        <v>86</v>
      </c>
      <c r="D29" s="211">
        <f ca="1">OFFSET(References!$O$54,'Operator Performance'!G33-1,0)</f>
        <v>87</v>
      </c>
      <c r="E29" s="211">
        <f>'Operator Performance'!E33</f>
        <v>0</v>
      </c>
      <c r="F29" s="213">
        <f>'Operator Performance'!F33</f>
        <v>0</v>
      </c>
    </row>
    <row r="30" spans="1:6" x14ac:dyDescent="0.2">
      <c r="A30" s="213" t="str">
        <f t="shared" ca="1" si="0"/>
        <v>3296993467</v>
      </c>
      <c r="B30" s="211">
        <f ca="1">ProfileHeader!$A$3</f>
        <v>4297012092.0980129</v>
      </c>
      <c r="C30" s="211">
        <v>88</v>
      </c>
      <c r="D30" s="211">
        <f ca="1">OFFSET(References!$O$54,'Operator Performance'!G38-1,0)</f>
        <v>89</v>
      </c>
      <c r="E30" s="211">
        <f>'Operator Performance'!E38</f>
        <v>1</v>
      </c>
      <c r="F30" s="213">
        <f ca="1">'Operator Performance'!F38</f>
        <v>0</v>
      </c>
    </row>
    <row r="31" spans="1:6" x14ac:dyDescent="0.2">
      <c r="A31" s="213" t="str">
        <f t="shared" ca="1" si="0"/>
        <v>9150710602</v>
      </c>
      <c r="B31" s="211">
        <f ca="1">ProfileHeader!$A$3</f>
        <v>4297012092.0980129</v>
      </c>
      <c r="C31" s="211">
        <v>89</v>
      </c>
      <c r="D31" s="211" t="e">
        <f ca="1">OFFSET(References!$O$54,'Operator Performance'!#REF!-1,0)</f>
        <v>#REF!</v>
      </c>
      <c r="E31" s="211" t="e">
        <f>'Operator Performance'!#REF!</f>
        <v>#REF!</v>
      </c>
      <c r="F31" s="213" t="e">
        <f>'Operator Performance'!#REF!</f>
        <v>#REF!</v>
      </c>
    </row>
    <row r="32" spans="1:6" x14ac:dyDescent="0.2">
      <c r="A32" s="213" t="str">
        <f t="shared" ca="1" si="0"/>
        <v>2921951371</v>
      </c>
      <c r="B32" s="211">
        <f ca="1">ProfileHeader!$A$3</f>
        <v>4297012092.0980129</v>
      </c>
      <c r="C32" s="211">
        <v>90</v>
      </c>
      <c r="D32" s="211" t="e">
        <f ca="1">OFFSET(References!$O$54,'Operator Performance'!#REF!-1,0)</f>
        <v>#REF!</v>
      </c>
      <c r="E32" s="211" t="e">
        <f>'Operator Performance'!#REF!</f>
        <v>#REF!</v>
      </c>
      <c r="F32" s="213" t="e">
        <f>'Operator Performance'!#REF!</f>
        <v>#REF!</v>
      </c>
    </row>
    <row r="33" spans="1:6" x14ac:dyDescent="0.2">
      <c r="A33" s="213" t="str">
        <f t="shared" ca="1" si="0"/>
        <v>1604637292</v>
      </c>
      <c r="B33" s="211">
        <f ca="1">ProfileHeader!$A$3</f>
        <v>4297012092.0980129</v>
      </c>
      <c r="C33" s="211">
        <v>91</v>
      </c>
      <c r="D33" s="211" t="e">
        <f ca="1">OFFSET(References!$O$54,'Operator Performance'!#REF!-1,0)</f>
        <v>#REF!</v>
      </c>
      <c r="E33" s="211" t="e">
        <f>'Operator Performance'!#REF!</f>
        <v>#REF!</v>
      </c>
      <c r="F33" s="213" t="e">
        <f>'Operator Performance'!#REF!</f>
        <v>#REF!</v>
      </c>
    </row>
    <row r="34" spans="1:6" x14ac:dyDescent="0.2">
      <c r="A34" s="213" t="str">
        <f t="shared" ca="1" si="0"/>
        <v>418782849</v>
      </c>
      <c r="B34" s="211">
        <f ca="1">ProfileHeader!$A$3</f>
        <v>4297012092.0980129</v>
      </c>
      <c r="C34" s="211">
        <v>92</v>
      </c>
      <c r="D34" s="211">
        <f ca="1">OFFSET(References!$O$54,'Operator Performance'!G42-1,0)</f>
        <v>93</v>
      </c>
      <c r="E34" s="211" t="str">
        <f>'Operator Performance'!E42</f>
        <v>Yes</v>
      </c>
      <c r="F34" s="213">
        <f ca="1">'Operator Performance'!F42</f>
        <v>3</v>
      </c>
    </row>
    <row r="35" spans="1:6" x14ac:dyDescent="0.2">
      <c r="A35" s="213" t="str">
        <f t="shared" ca="1" si="0"/>
        <v>5616847463</v>
      </c>
      <c r="B35" s="211">
        <f ca="1">ProfileHeader!$A$3</f>
        <v>4297012092.0980129</v>
      </c>
      <c r="C35" s="211">
        <v>97</v>
      </c>
      <c r="D35" s="211">
        <f ca="1">OFFSET(References!$O$54,'Operator Performance'!G43-1,0)</f>
        <v>95</v>
      </c>
      <c r="E35" s="211" t="str">
        <f>'Operator Performance'!E43</f>
        <v>Yes</v>
      </c>
      <c r="F35" s="213">
        <f ca="1">'Operator Performance'!F43</f>
        <v>3</v>
      </c>
    </row>
    <row r="36" spans="1:6" x14ac:dyDescent="0.2">
      <c r="A36" s="213" t="str">
        <f t="shared" ca="1" si="0"/>
        <v>3809219985</v>
      </c>
      <c r="B36" s="211">
        <f ca="1">ProfileHeader!$A$3</f>
        <v>4297012092.0980129</v>
      </c>
      <c r="C36" s="211">
        <v>99</v>
      </c>
      <c r="D36" s="211">
        <f ca="1">OFFSET(References!$O$54,'Operator Performance'!G44-1,0)</f>
        <v>97</v>
      </c>
      <c r="E36" s="211" t="str">
        <f>'Operator Performance'!E44</f>
        <v>Yes</v>
      </c>
      <c r="F36" s="213">
        <f ca="1">'Operator Performance'!F44</f>
        <v>3</v>
      </c>
    </row>
    <row r="37" spans="1:6" x14ac:dyDescent="0.2">
      <c r="A37" s="213" t="str">
        <f t="shared" ca="1" si="0"/>
        <v>3238041122</v>
      </c>
      <c r="B37" s="211">
        <f ca="1">ProfileHeader!$A$3</f>
        <v>4297012092.0980129</v>
      </c>
      <c r="C37" s="211">
        <v>100</v>
      </c>
      <c r="D37" s="211">
        <f ca="1">OFFSET(References!$O$54,'Operator Performance'!G45-1,0)</f>
        <v>107</v>
      </c>
      <c r="E37" s="211" t="str">
        <f>'Operator Performance'!E45</f>
        <v>Yes</v>
      </c>
      <c r="F37" s="213">
        <f ca="1">'Operator Performance'!F45</f>
        <v>2</v>
      </c>
    </row>
    <row r="38" spans="1:6" x14ac:dyDescent="0.2">
      <c r="A38" s="213" t="str">
        <f t="shared" ca="1" si="0"/>
        <v>7162763880</v>
      </c>
      <c r="B38" s="211">
        <f ca="1">ProfileHeader!$A$3</f>
        <v>4297012092.0980129</v>
      </c>
      <c r="C38" s="211">
        <v>101</v>
      </c>
      <c r="D38" s="211">
        <f ca="1">OFFSET(References!$O$54,'Operator Performance'!G46-1,0)</f>
        <v>111</v>
      </c>
      <c r="E38" s="211" t="str">
        <f>'Operator Performance'!E46</f>
        <v>Yes</v>
      </c>
      <c r="F38" s="213">
        <f ca="1">'Operator Performance'!F46</f>
        <v>1</v>
      </c>
    </row>
    <row r="39" spans="1:6" x14ac:dyDescent="0.2">
      <c r="A39" s="213" t="str">
        <f t="shared" ca="1" si="0"/>
        <v>1527320922</v>
      </c>
      <c r="B39" s="211">
        <f ca="1">ProfileHeader!$A$3</f>
        <v>4297012092.0980129</v>
      </c>
      <c r="C39" s="211">
        <v>102</v>
      </c>
      <c r="D39" s="211">
        <f ca="1">OFFSET(References!$O$54,'Operator Performance'!G47-1,0)</f>
        <v>113</v>
      </c>
      <c r="E39" s="211" t="str">
        <f>'Operator Performance'!E47</f>
        <v>Yes</v>
      </c>
      <c r="F39" s="213">
        <f ca="1">'Operator Performance'!F47</f>
        <v>1</v>
      </c>
    </row>
    <row r="40" spans="1:6" x14ac:dyDescent="0.2">
      <c r="A40" s="213" t="str">
        <f t="shared" ca="1" si="0"/>
        <v>8471727919</v>
      </c>
      <c r="B40" s="211">
        <f ca="1">ProfileHeader!$A$3</f>
        <v>4297012092.0980129</v>
      </c>
      <c r="C40" s="211">
        <v>103</v>
      </c>
      <c r="D40" s="211">
        <f ca="1">OFFSET(References!$O$54,'Operator Performance'!G48-1,0)</f>
        <v>115</v>
      </c>
      <c r="E40" s="211">
        <f>'Operator Performance'!E48</f>
        <v>0</v>
      </c>
      <c r="F40" s="213">
        <f>'Operator Performance'!F48</f>
        <v>0</v>
      </c>
    </row>
  </sheetData>
  <phoneticPr fontId="2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Summary and Calculation</vt:lpstr>
      <vt:lpstr>Complexity_Emissions_Location</vt:lpstr>
      <vt:lpstr>Operator Performance</vt:lpstr>
      <vt:lpstr>References</vt:lpstr>
      <vt:lpstr>XML Data</vt:lpstr>
      <vt:lpstr>ProfileHeader</vt:lpstr>
      <vt:lpstr>ProfileDetail</vt:lpstr>
      <vt:lpstr>App_factor</vt:lpstr>
      <vt:lpstr>Complexity_Attribute</vt:lpstr>
      <vt:lpstr>Emissions_Attribute</vt:lpstr>
      <vt:lpstr>EMS_Score_Card</vt:lpstr>
      <vt:lpstr>Location_Attribute</vt:lpstr>
      <vt:lpstr>'Operator Performance'!Print_Area</vt:lpstr>
      <vt:lpstr>Subs_factor</vt:lpstr>
    </vt:vector>
  </TitlesOfParts>
  <Company>Environment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EPOPRA Waste Spreadsheet</dc:title>
  <dc:creator>Neil Gillan</dc:creator>
  <cp:lastModifiedBy>Environment Agency User</cp:lastModifiedBy>
  <cp:lastPrinted>2005-10-03T15:12:33Z</cp:lastPrinted>
  <dcterms:created xsi:type="dcterms:W3CDTF">2005-09-28T20:46:41Z</dcterms:created>
  <dcterms:modified xsi:type="dcterms:W3CDTF">2018-03-27T12:28:59Z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ate completed">
    <vt:lpwstr>16th May 2012</vt:lpwstr>
  </property>
  <property fmtid="{D5CDD505-2E9C-101B-9397-08002B2CF9AE}" pid="4" name="Version">
    <vt:lpwstr>1.7(R2)</vt:lpwstr>
  </property>
</Properties>
</file>