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0380" windowHeight="6525" firstSheet="3" activeTab="6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 site waste" sheetId="7" r:id="rId7"/>
    <sheet name="2017 100% RECYCLING" sheetId="8" r:id="rId8"/>
    <sheet name="2017" sheetId="9" r:id="rId9"/>
    <sheet name="2018" sheetId="10" r:id="rId10"/>
    <sheet name="2018 site waste" sheetId="11" r:id="rId11"/>
    <sheet name="Sheet1" sheetId="12" r:id="rId12"/>
  </sheets>
  <externalReferences>
    <externalReference r:id="rId15"/>
  </externalReferences>
  <definedNames>
    <definedName name="_xlnm.Print_Area" localSheetId="0">'2011'!$A$145:$O$162</definedName>
    <definedName name="_xlnm.Print_Area" localSheetId="5">'2016'!$A$329:$S$355</definedName>
  </definedNames>
  <calcPr fullCalcOnLoad="1"/>
</workbook>
</file>

<file path=xl/comments10.xml><?xml version="1.0" encoding="utf-8"?>
<comments xmlns="http://schemas.openxmlformats.org/spreadsheetml/2006/main">
  <authors>
    <author>Latham, Jenni</author>
  </authors>
  <commentList>
    <comment ref="D1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0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4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5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Total Recycling but remove site waste as the recovered energy is not considered recycling in EU, but is in the UK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7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96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106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130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14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163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17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195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20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229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239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264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274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00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31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37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34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73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38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</commentList>
</comments>
</file>

<file path=xl/comments5.xml><?xml version="1.0" encoding="utf-8"?>
<comments xmlns="http://schemas.openxmlformats.org/spreadsheetml/2006/main">
  <authors>
    <author>Latham, Jenni</author>
  </authors>
  <commentList>
    <comment ref="D204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232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26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288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</commentList>
</comments>
</file>

<file path=xl/comments6.xml><?xml version="1.0" encoding="utf-8"?>
<comments xmlns="http://schemas.openxmlformats.org/spreadsheetml/2006/main">
  <authors>
    <author>Latham, Jenni</author>
  </authors>
  <commentList>
    <comment ref="D24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1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3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6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96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12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156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18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214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272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30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338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E61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Scrapped Kegs</t>
        </r>
      </text>
    </comment>
    <comment ref="K59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solided waste grain = 3420kg</t>
        </r>
      </text>
    </comment>
    <comment ref="M59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glass</t>
        </r>
      </text>
    </comment>
    <comment ref="M6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malt</t>
        </r>
      </text>
    </comment>
    <comment ref="M61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 Site waste</t>
        </r>
      </text>
    </comment>
    <comment ref="M62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Mixed metal &amp; SS</t>
        </r>
      </text>
    </comment>
    <comment ref="M6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Card</t>
        </r>
      </text>
    </comment>
    <comment ref="M64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Wood</t>
        </r>
      </text>
    </comment>
    <comment ref="M6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Aluminum</t>
        </r>
      </text>
    </comment>
    <comment ref="M66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trub</t>
        </r>
      </text>
    </comment>
    <comment ref="M6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green</t>
        </r>
      </text>
    </comment>
    <comment ref="M68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copper</t>
        </r>
      </text>
    </comment>
    <comment ref="M69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yeast</t>
        </r>
      </text>
    </comment>
    <comment ref="M7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grain</t>
        </r>
      </text>
    </comment>
    <comment ref="M71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plastic</t>
        </r>
      </text>
    </comment>
    <comment ref="N59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 site waste</t>
        </r>
      </text>
    </comment>
    <comment ref="N6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total site 1</t>
        </r>
      </text>
    </comment>
    <comment ref="N61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haz waste</t>
        </r>
      </text>
    </comment>
    <comment ref="M58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recycled waste</t>
        </r>
      </text>
    </comment>
    <comment ref="N58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recycled waste plus non recycled = total site waste</t>
        </r>
      </text>
    </comment>
    <comment ref="E9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scrapped kegs</t>
        </r>
      </text>
    </comment>
    <comment ref="M12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green
</t>
        </r>
      </text>
    </comment>
  </commentList>
</comments>
</file>

<file path=xl/comments9.xml><?xml version="1.0" encoding="utf-8"?>
<comments xmlns="http://schemas.openxmlformats.org/spreadsheetml/2006/main">
  <authors>
    <author>Latham, Jenni</author>
  </authors>
  <commentList>
    <comment ref="D1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D4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0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M5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Total Recycling but remove site waste as the recovered energy is not considered recycling in EU, but is in the UK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7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96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106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130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14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163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17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195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205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229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239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264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274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00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310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37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347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  <comment ref="M373" authorId="0">
      <text>
        <r>
          <rPr>
            <b/>
            <sz val="9"/>
            <rFont val="Tahoma"/>
            <family val="2"/>
          </rPr>
          <t xml:space="preserve">Latham, Jenni:
</t>
        </r>
        <r>
          <rPr>
            <sz val="9"/>
            <rFont val="Tahoma"/>
            <family val="2"/>
          </rPr>
          <t>Copper, Glass, Site Waste, Metals, card, wood, cans, trub, yeast, grain, plastic, green, beer, WEEE</t>
        </r>
      </text>
    </comment>
    <comment ref="D383" authorId="0">
      <text>
        <r>
          <rPr>
            <b/>
            <sz val="9"/>
            <rFont val="Tahoma"/>
            <family val="2"/>
          </rPr>
          <t>Latham, Jenni:</t>
        </r>
        <r>
          <rPr>
            <sz val="9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<sst xmlns="http://schemas.openxmlformats.org/spreadsheetml/2006/main" count="2738" uniqueCount="240">
  <si>
    <t>GLASS</t>
  </si>
  <si>
    <t>MALT</t>
  </si>
  <si>
    <t>S WASTE</t>
  </si>
  <si>
    <t>S METAL</t>
  </si>
  <si>
    <t>CARD</t>
  </si>
  <si>
    <t>WOOD</t>
  </si>
  <si>
    <t>AL CANS</t>
  </si>
  <si>
    <t>PAPER</t>
  </si>
  <si>
    <t>YEAST</t>
  </si>
  <si>
    <t>GRAIN</t>
  </si>
  <si>
    <t xml:space="preserve">SITE 1 </t>
  </si>
  <si>
    <t>SITE 2</t>
  </si>
  <si>
    <t>P3/11 = 99.55%</t>
  </si>
  <si>
    <t>SITE 1</t>
  </si>
  <si>
    <t>PLASTIC</t>
  </si>
  <si>
    <t>APRIL %AGE = 99.3%</t>
  </si>
  <si>
    <t>Monthly Waste Statistics - Samlesbury</t>
  </si>
  <si>
    <t>P1/11 = 99.34%</t>
  </si>
  <si>
    <t>P2/11 = 99.34</t>
  </si>
  <si>
    <t>MAY %AGE = 99.2%</t>
  </si>
  <si>
    <t>HAZ WASTE</t>
  </si>
  <si>
    <t>JUNE %AGE = 99.78%</t>
  </si>
  <si>
    <t xml:space="preserve">                JULY %AGE = 99.32%</t>
  </si>
  <si>
    <t>AUGUST %AGE = 99.52</t>
  </si>
  <si>
    <t>Note Site Waste is now 40% recycled as a minimum by Neales Waste</t>
  </si>
  <si>
    <t>less 40%</t>
  </si>
  <si>
    <t>SEPTEMBER %AGE = 99.81</t>
  </si>
  <si>
    <t>Less 40%</t>
  </si>
  <si>
    <t>OCTOBER % AGE = 99.47</t>
  </si>
  <si>
    <t>Average 2011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</si>
  <si>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</si>
  <si>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</si>
  <si>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</si>
  <si>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</si>
  <si>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</si>
  <si>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</si>
  <si>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</si>
  <si>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</si>
  <si>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</si>
  <si>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</si>
  <si>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COPPER</t>
  </si>
  <si>
    <t>LESS 40%</t>
  </si>
  <si>
    <t>NOVEMBER % AGE = 99.84</t>
  </si>
  <si>
    <t>DECEMBER %AGE = 99.70%</t>
  </si>
  <si>
    <t>P11</t>
  </si>
  <si>
    <t>P12</t>
  </si>
  <si>
    <t xml:space="preserve">99.51% AVERAGE FOR 2011 </t>
  </si>
  <si>
    <t>2011 AVERAGE = 99.51%</t>
  </si>
  <si>
    <t>Average 2012</t>
  </si>
  <si>
    <t>40% of Site Waste recycled ratio used unless otherwise stated</t>
  </si>
  <si>
    <t>StainlessS</t>
  </si>
  <si>
    <t>P1/12 = 99.64 %</t>
  </si>
  <si>
    <t>HAZ WASTE 2012</t>
  </si>
  <si>
    <t>P2/12 = 99.79%</t>
  </si>
  <si>
    <t>P3/12 = 99.84%</t>
  </si>
  <si>
    <t>P4/12 = 99.8%</t>
  </si>
  <si>
    <t>SS</t>
  </si>
  <si>
    <t>P5/12 = 99.76%</t>
  </si>
  <si>
    <t>JUNE %AGE = 99.66%</t>
  </si>
  <si>
    <t>0% LF</t>
  </si>
  <si>
    <t>ZERO</t>
  </si>
  <si>
    <t>JULY %AGE = 100% (ZERO TO LANDFILL)</t>
  </si>
  <si>
    <t>0 % LF</t>
  </si>
  <si>
    <t>AUGUST %AGE = 100% (ZERO TO LANDFILL)</t>
  </si>
  <si>
    <t>SS 2100</t>
  </si>
  <si>
    <t>WEE 740</t>
  </si>
  <si>
    <t>100% rc</t>
  </si>
  <si>
    <t>Less 50%</t>
  </si>
  <si>
    <t>2012 AVERAGE = %</t>
  </si>
  <si>
    <t>3000e</t>
  </si>
  <si>
    <t>GREEN WASTE</t>
  </si>
  <si>
    <t>less 50%</t>
  </si>
  <si>
    <t>To landfill</t>
  </si>
  <si>
    <t xml:space="preserve">NOVEMBER % AGE = 99.87 </t>
  </si>
  <si>
    <t>OCTOBER % AGE = 99.8</t>
  </si>
  <si>
    <t xml:space="preserve">SEPTEMBER %AGE = 99.80 </t>
  </si>
  <si>
    <t>DECEMBER %AGE = 99.5%</t>
  </si>
  <si>
    <t>Monthly Waste Statistics - Samlesbury 2013</t>
  </si>
  <si>
    <t xml:space="preserve">        50% of Site Waste recycled ratio used unless otherwise stated</t>
  </si>
  <si>
    <t>2012 Av</t>
  </si>
  <si>
    <t>WEEE</t>
  </si>
  <si>
    <t>MIX METAL</t>
  </si>
  <si>
    <t>EU</t>
  </si>
  <si>
    <t>GLOBAL</t>
  </si>
  <si>
    <t>FEBRUARY % AGE = 99.86% EU DEFINITION</t>
  </si>
  <si>
    <t>TOTAL WASTE AND BI PRODUCT</t>
  </si>
  <si>
    <t>R</t>
  </si>
  <si>
    <t>G</t>
  </si>
  <si>
    <t>GLOBAL DEFINITION  = 99.87%</t>
  </si>
  <si>
    <t>E TOTAL WASTE AND BI PRODUCT</t>
  </si>
  <si>
    <t>GLOBAL DEFINITION  = 99.94%</t>
  </si>
  <si>
    <t>MAY % AGE = 99.73% EU DEFINITION</t>
  </si>
  <si>
    <t>GLOBAL DEFINITION  = 100%</t>
  </si>
  <si>
    <t>APRIL % AGE = 99.33% EU DEFINITION</t>
  </si>
  <si>
    <t>JUNE % AGE = 99.8% EU DEFINITION</t>
  </si>
  <si>
    <t>GLOBAL DEFINITION  = 99.98%</t>
  </si>
  <si>
    <t>STAINLESS</t>
  </si>
  <si>
    <t>JULY % AGE =  99.94% EU DEFINITION</t>
  </si>
  <si>
    <t>JANUARY % AGE = 99.87% EU DEFINITION</t>
  </si>
  <si>
    <r>
      <rPr>
        <b/>
        <sz val="10"/>
        <rFont val="Arial"/>
        <family val="2"/>
      </rPr>
      <t>GLOBAL  DEFINITION = 100%</t>
    </r>
    <r>
      <rPr>
        <sz val="10"/>
        <rFont val="Arial"/>
        <family val="0"/>
      </rPr>
      <t xml:space="preserve"> </t>
    </r>
  </si>
  <si>
    <t>MARCH % AGE = 99.16% EU DEFINITION</t>
  </si>
  <si>
    <t>CIVILS WASTE</t>
  </si>
  <si>
    <t>AUGUST % AGE = 99.75  % EU DEFINITION</t>
  </si>
  <si>
    <t>SEPTEMBER % AGE = 99.72  % EU DEFINITION</t>
  </si>
  <si>
    <t>GLOBAL DEFINITION  = 99.8%</t>
  </si>
  <si>
    <t>OCTOBER %AGE = 99.76%</t>
  </si>
  <si>
    <t>OIL</t>
  </si>
  <si>
    <t>NOVEMBER %AGE = 99.88% (EU)</t>
  </si>
  <si>
    <t>HAZARDOUS WASTE 2013 = 9820</t>
  </si>
  <si>
    <t>SITE WASTE = 128600</t>
  </si>
  <si>
    <t>Monthly Waste Statistics - Samlesbury 2014</t>
  </si>
  <si>
    <t>JANUARY % AGE = 99.85% EU DEFINITION</t>
  </si>
  <si>
    <r>
      <rPr>
        <b/>
        <sz val="10"/>
        <rFont val="Arial"/>
        <family val="2"/>
      </rPr>
      <t>GLOBAL  DEFINITION = 99.97%</t>
    </r>
    <r>
      <rPr>
        <sz val="10"/>
        <rFont val="Arial"/>
        <family val="0"/>
      </rPr>
      <t xml:space="preserve"> </t>
    </r>
  </si>
  <si>
    <t xml:space="preserve">GREEN </t>
  </si>
  <si>
    <t xml:space="preserve">HAZ </t>
  </si>
  <si>
    <t>HAZ</t>
  </si>
  <si>
    <t>FEBRUARY % AGE = 99.74% EU DEFINITION</t>
  </si>
  <si>
    <t>MARCH % AGE = 99.77% EU DEFINITION</t>
  </si>
  <si>
    <t>APRIL % AGE = 99.89% EU DEFINITION</t>
  </si>
  <si>
    <t>Glass</t>
  </si>
  <si>
    <t>Plastic</t>
  </si>
  <si>
    <t>Wood</t>
  </si>
  <si>
    <t>Aluminium</t>
  </si>
  <si>
    <t>Steel</t>
  </si>
  <si>
    <t>Malt</t>
  </si>
  <si>
    <t>Grain</t>
  </si>
  <si>
    <t>Yeast</t>
  </si>
  <si>
    <t>Trub</t>
  </si>
  <si>
    <t>Haz Waste</t>
  </si>
  <si>
    <t>Gen Waste</t>
  </si>
  <si>
    <t>Sewer</t>
  </si>
  <si>
    <t>Solids</t>
  </si>
  <si>
    <t>COD</t>
  </si>
  <si>
    <t>50% RECYCLED</t>
  </si>
  <si>
    <t>MAY % AGE = 99.80% EU DEFINITION</t>
  </si>
  <si>
    <r>
      <rPr>
        <b/>
        <sz val="10"/>
        <rFont val="Arial"/>
        <family val="2"/>
      </rPr>
      <t>GLOBAL  DEFINITION = 99.98%</t>
    </r>
    <r>
      <rPr>
        <sz val="10"/>
        <rFont val="Arial"/>
        <family val="0"/>
      </rPr>
      <t xml:space="preserve"> </t>
    </r>
  </si>
  <si>
    <t>Paper Card</t>
  </si>
  <si>
    <t>JUNE % AGE = 99.88% EU DEFINITION</t>
  </si>
  <si>
    <t>JULY % AGE = 99.72% EU DEFINITION</t>
  </si>
  <si>
    <t>AUGUST % AGE = 99.86% EU DEFINITION</t>
  </si>
  <si>
    <r>
      <rPr>
        <b/>
        <sz val="10"/>
        <rFont val="Arial"/>
        <family val="2"/>
      </rPr>
      <t xml:space="preserve">    GLOBAL  DEFINITION = 99.98%</t>
    </r>
    <r>
      <rPr>
        <sz val="10"/>
        <rFont val="Arial"/>
        <family val="0"/>
      </rPr>
      <t xml:space="preserve"> </t>
    </r>
  </si>
  <si>
    <t>TRUB</t>
  </si>
  <si>
    <t>BEER</t>
  </si>
  <si>
    <t xml:space="preserve">    SEPTEMBER % AGE = 99.98% EU DEFINITION</t>
  </si>
  <si>
    <t xml:space="preserve">    OCTOBER % AGE = 99.83% EU DEFINITION</t>
  </si>
  <si>
    <r>
      <rPr>
        <b/>
        <sz val="10"/>
        <rFont val="Arial"/>
        <family val="2"/>
      </rPr>
      <t xml:space="preserve">    GLOBAL  DEFINITION = 100%</t>
    </r>
    <r>
      <rPr>
        <sz val="10"/>
        <rFont val="Arial"/>
        <family val="0"/>
      </rPr>
      <t xml:space="preserve"> </t>
    </r>
  </si>
  <si>
    <t>Paper/card</t>
  </si>
  <si>
    <t>G Waste</t>
  </si>
  <si>
    <t xml:space="preserve">    NOVEMBER % AGE = 99.90% EU DEFINITION</t>
  </si>
  <si>
    <t xml:space="preserve">NOTE: - ALL HAZARDOUS WASTE FROM BUILDING WORK ON MAIN OFFICE BLOCK </t>
  </si>
  <si>
    <t xml:space="preserve">    DECEMBER % AGE = 99.53% EU DEFINITION</t>
  </si>
  <si>
    <r>
      <rPr>
        <b/>
        <sz val="10"/>
        <rFont val="Arial"/>
        <family val="2"/>
      </rPr>
      <t xml:space="preserve">    GLOBAL  DEFINITION = 99.73%</t>
    </r>
    <r>
      <rPr>
        <sz val="10"/>
        <rFont val="Arial"/>
        <family val="0"/>
      </rPr>
      <t xml:space="preserve"> </t>
    </r>
  </si>
  <si>
    <t>* Mixed site waste contains higher level of recyclable materials (wood etc)</t>
  </si>
  <si>
    <t>*less 75%</t>
  </si>
  <si>
    <t>METAL</t>
  </si>
  <si>
    <t>HAZ W</t>
  </si>
  <si>
    <t>T WASTE</t>
  </si>
  <si>
    <t>TOTAL ANM</t>
  </si>
  <si>
    <t>AL</t>
  </si>
  <si>
    <t>Dom Waste</t>
  </si>
  <si>
    <t>**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</si>
  <si>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</si>
  <si>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</si>
  <si>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</si>
  <si>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</si>
  <si>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</si>
  <si>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</si>
  <si>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</si>
  <si>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</si>
  <si>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</si>
  <si>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</si>
  <si>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</si>
  <si>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</si>
  <si>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</si>
  <si>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Site WASTE</t>
  </si>
  <si>
    <t>TOTAL KG</t>
  </si>
  <si>
    <t>TOTAL TONNES</t>
  </si>
  <si>
    <t>PG-R5608</t>
  </si>
  <si>
    <t>PG-R5608 Total = PG-R5608 (Weight of recycled byproducts and waste in kg - UOM: kg)</t>
  </si>
  <si>
    <t>PG-R5609</t>
  </si>
  <si>
    <t>PG-R5609 Total = PG-R5609 (Total weight of byproducts and waste in kg - UOM: kg)</t>
  </si>
  <si>
    <t xml:space="preserve">   JANUARY</t>
  </si>
  <si>
    <t xml:space="preserve">   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</si>
  <si>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</si>
  <si>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</si>
  <si>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</si>
  <si>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</si>
  <si>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</si>
  <si>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</si>
  <si>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</si>
  <si>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</si>
  <si>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</si>
  <si>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</si>
  <si>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% Recycling Rate </t>
  </si>
  <si>
    <t>Index of ByProducts</t>
  </si>
  <si>
    <t>PG-R5609/(1000*PG-K0110)</t>
  </si>
  <si>
    <t>Standardised Hecolitre (PG-K0110)</t>
  </si>
  <si>
    <t>PG-K0110 = Standardised Hecolitres</t>
  </si>
  <si>
    <t>Total weight of byproducts and waste in kg (SITE 2)</t>
  </si>
  <si>
    <t>Weight of recycled byproducts and waste in kg              (SITE 1)</t>
  </si>
  <si>
    <t>MIXED METAL</t>
  </si>
  <si>
    <t>GENERAL WASTE</t>
  </si>
  <si>
    <t>STAINLESS STEEL</t>
  </si>
  <si>
    <t>CARDBOARD</t>
  </si>
  <si>
    <t>ALU CANS</t>
  </si>
  <si>
    <t>HAZARDOUS</t>
  </si>
  <si>
    <t>GREEN / GARDEN</t>
  </si>
  <si>
    <t>% RECYCLING RATE 2015</t>
  </si>
  <si>
    <t>% RECYCLING RATE 2016</t>
  </si>
  <si>
    <t>Index of ByProducts 2015</t>
  </si>
  <si>
    <t>Index of ByProducts 2016</t>
  </si>
  <si>
    <t>INDEX OF BYPRODUCTS - MONTHLY 2015 TARGET</t>
  </si>
  <si>
    <t>INDEX OF BYPRODUCTS - MONTHLY 2016 TARGET</t>
  </si>
  <si>
    <r>
      <t xml:space="preserve">MARCH  </t>
    </r>
    <r>
      <rPr>
        <b/>
        <i/>
        <u val="single"/>
        <sz val="10"/>
        <color indexed="10"/>
        <rFont val="Arial"/>
        <family val="2"/>
      </rPr>
      <t>(summary of all data sources shown in comments)</t>
    </r>
  </si>
  <si>
    <t>Total Metal</t>
  </si>
  <si>
    <t xml:space="preserve">PG-R5620 = recycled amount items that are not considered as recycled according UK regulation they must be deducted – example incinerated waste. If you have the confirmation that all is recycled/recovered then indeed PG-R5620=PG-R5608  </t>
  </si>
  <si>
    <t>PG-R5608 Weight of recycled byproducts and waste in kg              (SITE 1)</t>
  </si>
  <si>
    <t>PG-R5609 Total weight of byproducts and waste in kg (SITE 2)</t>
  </si>
  <si>
    <t>PG-R5620</t>
  </si>
  <si>
    <t>TOTAL SITE WASTE</t>
  </si>
  <si>
    <t>% RECYCLING RATE 2017</t>
  </si>
  <si>
    <t>Index of ByProducts 2017</t>
  </si>
  <si>
    <t>INDEX OF BYPRODUCTS - MONTHLY 2017 TARGET</t>
  </si>
  <si>
    <t>SS/Scrap</t>
  </si>
  <si>
    <t>logistics (RSM)</t>
  </si>
  <si>
    <t>B&amp;P (ERM)</t>
  </si>
  <si>
    <t>EMR</t>
  </si>
  <si>
    <t>Weight of UK Recycled</t>
  </si>
  <si>
    <t>Total Site Waste (Recycled + Non Recycled)</t>
  </si>
  <si>
    <t xml:space="preserve">MARCH  </t>
  </si>
  <si>
    <t>Index of By Products &amp; Waste Generation (kg/hlN)</t>
  </si>
  <si>
    <t>Sept</t>
  </si>
  <si>
    <t>CONSIDER THE ENVIROCLEAR VOLUMES!!!!</t>
  </si>
  <si>
    <t>Env.Clear</t>
  </si>
  <si>
    <t>BY PRODUCTS</t>
  </si>
  <si>
    <t>Cost</t>
  </si>
  <si>
    <t>TRUB/EnviroClear</t>
  </si>
  <si>
    <t>RED OCTOBER</t>
  </si>
  <si>
    <t>SPENT YEAST</t>
  </si>
  <si>
    <t>SPENT GRAIN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</si>
</sst>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u val="double"/>
      <sz val="10"/>
      <name val="Arial"/>
      <family val="2"/>
    </font>
    <font>
      <b/>
      <sz val="8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i/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17"/>
      <name val="Arial"/>
      <family val="2"/>
    </font>
    <font>
      <i/>
      <u val="double"/>
      <sz val="10"/>
      <color indexed="17"/>
      <name val="Arial"/>
      <family val="2"/>
    </font>
    <font>
      <i/>
      <sz val="10"/>
      <color indexed="3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i/>
      <sz val="10"/>
      <color theme="7" tint="-0.24997000396251678"/>
      <name val="Arial"/>
      <family val="2"/>
    </font>
    <font>
      <b/>
      <sz val="10"/>
      <color theme="7" tint="-0.24997000396251678"/>
      <name val="Arial"/>
      <family val="2"/>
    </font>
    <font>
      <sz val="10"/>
      <color rgb="FF00B050"/>
      <name val="Arial"/>
      <family val="2"/>
    </font>
    <font>
      <i/>
      <u val="double"/>
      <sz val="10"/>
      <color rgb="FF00B050"/>
      <name val="Arial"/>
      <family val="2"/>
    </font>
    <font>
      <i/>
      <sz val="10"/>
      <color rgb="FF0070C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43" borderId="10" xfId="0" applyFill="1" applyBorder="1" applyAlignment="1">
      <alignment/>
    </xf>
    <xf numFmtId="0" fontId="2" fillId="0" borderId="0" xfId="0" applyFont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44" borderId="10" xfId="0" applyFill="1" applyBorder="1" applyAlignment="1">
      <alignment/>
    </xf>
    <xf numFmtId="0" fontId="0" fillId="39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25" xfId="0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11" xfId="0" applyFill="1" applyBorder="1" applyAlignment="1">
      <alignment/>
    </xf>
    <xf numFmtId="0" fontId="0" fillId="43" borderId="11" xfId="0" applyFill="1" applyBorder="1" applyAlignment="1">
      <alignment/>
    </xf>
    <xf numFmtId="0" fontId="0" fillId="44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46" borderId="10" xfId="0" applyFill="1" applyBorder="1" applyAlignment="1">
      <alignment/>
    </xf>
    <xf numFmtId="0" fontId="0" fillId="0" borderId="26" xfId="0" applyFill="1" applyBorder="1" applyAlignment="1">
      <alignment/>
    </xf>
    <xf numFmtId="9" fontId="0" fillId="0" borderId="0" xfId="0" applyNumberFormat="1" applyAlignment="1">
      <alignment/>
    </xf>
    <xf numFmtId="0" fontId="0" fillId="0" borderId="30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" fontId="0" fillId="34" borderId="0" xfId="0" applyNumberForma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 horizontal="right"/>
    </xf>
    <xf numFmtId="0" fontId="0" fillId="47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45" borderId="17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0" fillId="45" borderId="19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19" borderId="10" xfId="0" applyFill="1" applyBorder="1" applyAlignment="1">
      <alignment/>
    </xf>
    <xf numFmtId="0" fontId="0" fillId="9" borderId="10" xfId="0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31" xfId="0" applyFill="1" applyBorder="1" applyAlignment="1">
      <alignment/>
    </xf>
    <xf numFmtId="0" fontId="0" fillId="0" borderId="0" xfId="0" applyFont="1" applyAlignment="1">
      <alignment/>
    </xf>
    <xf numFmtId="0" fontId="0" fillId="9" borderId="10" xfId="0" applyFont="1" applyFill="1" applyBorder="1" applyAlignment="1">
      <alignment/>
    </xf>
    <xf numFmtId="0" fontId="0" fillId="48" borderId="30" xfId="0" applyFill="1" applyBorder="1" applyAlignment="1">
      <alignment horizontal="right"/>
    </xf>
    <xf numFmtId="0" fontId="0" fillId="0" borderId="30" xfId="0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0" fillId="19" borderId="17" xfId="0" applyFill="1" applyBorder="1" applyAlignment="1">
      <alignment/>
    </xf>
    <xf numFmtId="0" fontId="0" fillId="7" borderId="10" xfId="0" applyFill="1" applyBorder="1" applyAlignment="1">
      <alignment/>
    </xf>
    <xf numFmtId="17" fontId="2" fillId="0" borderId="0" xfId="0" applyNumberFormat="1" applyFont="1" applyAlignment="1">
      <alignment/>
    </xf>
    <xf numFmtId="0" fontId="0" fillId="49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48" borderId="0" xfId="0" applyFill="1" applyBorder="1" applyAlignment="1">
      <alignment horizontal="right"/>
    </xf>
    <xf numFmtId="0" fontId="0" fillId="50" borderId="11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48" borderId="13" xfId="0" applyFill="1" applyBorder="1" applyAlignment="1">
      <alignment horizontal="right"/>
    </xf>
    <xf numFmtId="0" fontId="0" fillId="51" borderId="11" xfId="0" applyFill="1" applyBorder="1" applyAlignment="1">
      <alignment/>
    </xf>
    <xf numFmtId="0" fontId="0" fillId="48" borderId="29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40" borderId="10" xfId="0" applyFont="1" applyFill="1" applyBorder="1" applyAlignment="1">
      <alignment/>
    </xf>
    <xf numFmtId="0" fontId="0" fillId="52" borderId="10" xfId="0" applyFont="1" applyFill="1" applyBorder="1" applyAlignment="1">
      <alignment horizontal="center"/>
    </xf>
    <xf numFmtId="0" fontId="0" fillId="53" borderId="10" xfId="0" applyFill="1" applyBorder="1" applyAlignment="1">
      <alignment/>
    </xf>
    <xf numFmtId="0" fontId="0" fillId="0" borderId="32" xfId="0" applyBorder="1" applyAlignment="1">
      <alignment horizontal="right"/>
    </xf>
    <xf numFmtId="0" fontId="0" fillId="48" borderId="32" xfId="0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8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8" borderId="32" xfId="0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48" borderId="12" xfId="0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54" borderId="10" xfId="0" applyFont="1" applyFill="1" applyBorder="1" applyAlignment="1">
      <alignment horizontal="center"/>
    </xf>
    <xf numFmtId="0" fontId="65" fillId="54" borderId="17" xfId="0" applyFont="1" applyFill="1" applyBorder="1" applyAlignment="1">
      <alignment horizontal="center"/>
    </xf>
    <xf numFmtId="0" fontId="65" fillId="54" borderId="19" xfId="0" applyFon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55" borderId="32" xfId="0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55" borderId="26" xfId="0" applyFill="1" applyBorder="1" applyAlignment="1">
      <alignment horizontal="center"/>
    </xf>
    <xf numFmtId="0" fontId="0" fillId="55" borderId="30" xfId="0" applyFill="1" applyBorder="1" applyAlignment="1">
      <alignment horizontal="center"/>
    </xf>
    <xf numFmtId="0" fontId="0" fillId="55" borderId="12" xfId="0" applyFill="1" applyBorder="1" applyAlignment="1">
      <alignment horizontal="center"/>
    </xf>
    <xf numFmtId="0" fontId="0" fillId="55" borderId="18" xfId="0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5" fillId="54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54" borderId="26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7" fillId="0" borderId="0" xfId="0" applyFont="1" applyAlignment="1">
      <alignment/>
    </xf>
    <xf numFmtId="0" fontId="0" fillId="35" borderId="11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67" fillId="0" borderId="0" xfId="0" applyFont="1" applyAlignment="1">
      <alignment vertical="center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2" fontId="6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36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vertical="center" wrapText="1"/>
    </xf>
    <xf numFmtId="2" fontId="65" fillId="0" borderId="36" xfId="0" applyNumberFormat="1" applyFont="1" applyBorder="1" applyAlignment="1">
      <alignment horizontal="center" vertical="center" wrapText="1"/>
    </xf>
    <xf numFmtId="2" fontId="67" fillId="0" borderId="36" xfId="0" applyNumberFormat="1" applyFont="1" applyBorder="1" applyAlignment="1">
      <alignment horizontal="center" vertical="center" wrapText="1"/>
    </xf>
    <xf numFmtId="0" fontId="0" fillId="53" borderId="17" xfId="0" applyFill="1" applyBorder="1" applyAlignment="1">
      <alignment/>
    </xf>
    <xf numFmtId="0" fontId="69" fillId="51" borderId="10" xfId="0" applyFont="1" applyFill="1" applyBorder="1" applyAlignment="1">
      <alignment/>
    </xf>
    <xf numFmtId="2" fontId="0" fillId="0" borderId="36" xfId="0" applyNumberForma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45" borderId="3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51" borderId="36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2" fillId="42" borderId="36" xfId="0" applyFont="1" applyFill="1" applyBorder="1" applyAlignment="1">
      <alignment horizontal="center" vertical="center" wrapText="1"/>
    </xf>
    <xf numFmtId="0" fontId="2" fillId="43" borderId="36" xfId="0" applyFont="1" applyFill="1" applyBorder="1" applyAlignment="1">
      <alignment horizontal="center" vertical="center" wrapText="1"/>
    </xf>
    <xf numFmtId="0" fontId="2" fillId="44" borderId="36" xfId="0" applyFont="1" applyFill="1" applyBorder="1" applyAlignment="1">
      <alignment horizontal="center" vertical="center" wrapText="1"/>
    </xf>
    <xf numFmtId="0" fontId="2" fillId="47" borderId="36" xfId="0" applyFont="1" applyFill="1" applyBorder="1" applyAlignment="1">
      <alignment horizontal="center" vertical="center" wrapText="1"/>
    </xf>
    <xf numFmtId="0" fontId="2" fillId="52" borderId="36" xfId="0" applyFont="1" applyFill="1" applyBorder="1" applyAlignment="1">
      <alignment horizontal="center" vertical="center" wrapText="1"/>
    </xf>
    <xf numFmtId="0" fontId="2" fillId="53" borderId="3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9" fillId="51" borderId="3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2" fontId="67" fillId="0" borderId="36" xfId="0" applyNumberFormat="1" applyFont="1" applyBorder="1" applyAlignment="1">
      <alignment horizontal="center"/>
    </xf>
    <xf numFmtId="0" fontId="68" fillId="54" borderId="10" xfId="0" applyFont="1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1" fillId="56" borderId="36" xfId="0" applyFont="1" applyFill="1" applyBorder="1" applyAlignment="1">
      <alignment horizontal="center" vertical="center" wrapText="1"/>
    </xf>
    <xf numFmtId="0" fontId="0" fillId="56" borderId="36" xfId="0" applyFill="1" applyBorder="1" applyAlignment="1">
      <alignment horizontal="center"/>
    </xf>
    <xf numFmtId="0" fontId="0" fillId="56" borderId="36" xfId="0" applyFill="1" applyBorder="1" applyAlignment="1">
      <alignment/>
    </xf>
    <xf numFmtId="0" fontId="65" fillId="56" borderId="36" xfId="0" applyFont="1" applyFill="1" applyBorder="1" applyAlignment="1">
      <alignment horizontal="center"/>
    </xf>
    <xf numFmtId="0" fontId="67" fillId="56" borderId="36" xfId="0" applyFont="1" applyFill="1" applyBorder="1" applyAlignment="1">
      <alignment horizontal="center" vertical="center"/>
    </xf>
    <xf numFmtId="0" fontId="2" fillId="56" borderId="36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vertical="center"/>
    </xf>
    <xf numFmtId="2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ont="1" applyAlignment="1">
      <alignment horizontal="center"/>
    </xf>
    <xf numFmtId="173" fontId="0" fillId="0" borderId="25" xfId="0" applyNumberFormat="1" applyBorder="1" applyAlignment="1">
      <alignment horizontal="center" vertical="center" wrapText="1"/>
    </xf>
    <xf numFmtId="173" fontId="0" fillId="55" borderId="25" xfId="0" applyNumberFormat="1" applyFill="1" applyBorder="1" applyAlignment="1">
      <alignment horizontal="center" vertical="center" wrapText="1"/>
    </xf>
    <xf numFmtId="173" fontId="0" fillId="0" borderId="25" xfId="0" applyNumberFormat="1" applyBorder="1" applyAlignment="1">
      <alignment vertical="center" wrapText="1"/>
    </xf>
    <xf numFmtId="173" fontId="65" fillId="0" borderId="25" xfId="0" applyNumberFormat="1" applyFont="1" applyBorder="1" applyAlignment="1">
      <alignment horizontal="center" vertical="center" wrapText="1"/>
    </xf>
    <xf numFmtId="173" fontId="67" fillId="0" borderId="25" xfId="0" applyNumberFormat="1" applyFont="1" applyBorder="1" applyAlignment="1">
      <alignment horizontal="center" vertical="center" wrapText="1"/>
    </xf>
    <xf numFmtId="1" fontId="0" fillId="55" borderId="36" xfId="0" applyNumberFormat="1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55" borderId="36" xfId="0" applyNumberFormat="1" applyFill="1" applyBorder="1" applyAlignment="1">
      <alignment horizontal="center"/>
    </xf>
    <xf numFmtId="1" fontId="67" fillId="0" borderId="3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5" fillId="0" borderId="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54" borderId="10" xfId="0" applyFont="1" applyFill="1" applyBorder="1" applyAlignment="1">
      <alignment horizontal="center"/>
    </xf>
    <xf numFmtId="0" fontId="71" fillId="54" borderId="17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16" xfId="0" applyFont="1" applyBorder="1" applyAlignment="1">
      <alignment horizontal="center"/>
    </xf>
    <xf numFmtId="0" fontId="73" fillId="51" borderId="26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7" fillId="0" borderId="13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2" fontId="67" fillId="0" borderId="25" xfId="0" applyNumberFormat="1" applyFont="1" applyBorder="1" applyAlignment="1">
      <alignment horizontal="center" vertical="center" wrapText="1"/>
    </xf>
    <xf numFmtId="0" fontId="0" fillId="57" borderId="11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65" fillId="0" borderId="36" xfId="0" applyNumberFormat="1" applyFont="1" applyBorder="1" applyAlignment="1">
      <alignment horizontal="center"/>
    </xf>
    <xf numFmtId="2" fontId="65" fillId="0" borderId="25" xfId="0" applyNumberFormat="1" applyFont="1" applyBorder="1" applyAlignment="1">
      <alignment horizontal="center" vertical="center" wrapText="1"/>
    </xf>
    <xf numFmtId="0" fontId="70" fillId="56" borderId="36" xfId="0" applyFont="1" applyFill="1" applyBorder="1" applyAlignment="1">
      <alignment horizontal="center"/>
    </xf>
    <xf numFmtId="0" fontId="70" fillId="0" borderId="3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65" fillId="54" borderId="19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1" fillId="0" borderId="17" xfId="0" applyNumberFormat="1" applyFont="1" applyBorder="1" applyAlignment="1">
      <alignment horizontal="center"/>
    </xf>
    <xf numFmtId="0" fontId="0" fillId="56" borderId="36" xfId="0" applyFont="1" applyFill="1" applyBorder="1" applyAlignment="1">
      <alignment horizontal="center"/>
    </xf>
    <xf numFmtId="0" fontId="0" fillId="48" borderId="0" xfId="0" applyFill="1" applyAlignment="1">
      <alignment horizontal="center"/>
    </xf>
    <xf numFmtId="0" fontId="7" fillId="48" borderId="0" xfId="0" applyFont="1" applyFill="1" applyAlignment="1">
      <alignment horizontal="center"/>
    </xf>
    <xf numFmtId="16" fontId="0" fillId="48" borderId="0" xfId="0" applyNumberFormat="1" applyFill="1" applyAlignment="1">
      <alignment horizontal="center"/>
    </xf>
    <xf numFmtId="0" fontId="0" fillId="48" borderId="36" xfId="0" applyFill="1" applyBorder="1" applyAlignment="1">
      <alignment horizontal="center"/>
    </xf>
    <xf numFmtId="16" fontId="0" fillId="48" borderId="0" xfId="0" applyNumberFormat="1" applyFill="1" applyAlignment="1">
      <alignment/>
    </xf>
    <xf numFmtId="0" fontId="0" fillId="48" borderId="0" xfId="0" applyFill="1" applyAlignment="1">
      <alignment/>
    </xf>
    <xf numFmtId="0" fontId="71" fillId="48" borderId="36" xfId="0" applyFont="1" applyFill="1" applyBorder="1" applyAlignment="1">
      <alignment horizontal="center"/>
    </xf>
    <xf numFmtId="6" fontId="0" fillId="48" borderId="0" xfId="0" applyNumberFormat="1" applyFill="1" applyAlignment="1">
      <alignment/>
    </xf>
    <xf numFmtId="0" fontId="73" fillId="58" borderId="36" xfId="0" applyFont="1" applyFill="1" applyBorder="1" applyAlignment="1">
      <alignment horizontal="center"/>
    </xf>
    <xf numFmtId="172" fontId="0" fillId="48" borderId="36" xfId="0" applyNumberFormat="1" applyFont="1" applyFill="1" applyBorder="1" applyAlignment="1">
      <alignment horizontal="center"/>
    </xf>
    <xf numFmtId="172" fontId="0" fillId="48" borderId="36" xfId="0" applyNumberFormat="1" applyFill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1" fontId="65" fillId="0" borderId="36" xfId="0" applyNumberFormat="1" applyFont="1" applyBorder="1" applyAlignment="1">
      <alignment horizontal="center"/>
    </xf>
    <xf numFmtId="1" fontId="65" fillId="56" borderId="36" xfId="0" applyNumberFormat="1" applyFont="1" applyFill="1" applyBorder="1" applyAlignment="1">
      <alignment horizontal="center"/>
    </xf>
    <xf numFmtId="1" fontId="67" fillId="56" borderId="36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/>
    </xf>
    <xf numFmtId="1" fontId="0" fillId="56" borderId="36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 vertical="center" wrapText="1"/>
    </xf>
    <xf numFmtId="2" fontId="0" fillId="55" borderId="25" xfId="0" applyNumberFormat="1" applyFill="1" applyBorder="1" applyAlignment="1">
      <alignment horizontal="center" vertical="center" wrapText="1"/>
    </xf>
    <xf numFmtId="0" fontId="67" fillId="55" borderId="36" xfId="0" applyFont="1" applyFill="1" applyBorder="1" applyAlignment="1">
      <alignment horizontal="center" vertical="center"/>
    </xf>
    <xf numFmtId="0" fontId="0" fillId="48" borderId="1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2017 Site Waste volumes - YTD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275"/>
          <c:w val="0.944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('2017'!$B$414:$J$414,'2017'!$N$414,'2017'!$Q$414:$R$414)</c:f>
              <c:strCache>
                <c:ptCount val="12"/>
                <c:pt idx="0">
                  <c:v>COPPER</c:v>
                </c:pt>
                <c:pt idx="1">
                  <c:v>GLASS</c:v>
                </c:pt>
                <c:pt idx="2">
                  <c:v>MALT</c:v>
                </c:pt>
                <c:pt idx="3">
                  <c:v>Site WASTE</c:v>
                </c:pt>
                <c:pt idx="4">
                  <c:v>MIX METAL</c:v>
                </c:pt>
                <c:pt idx="5">
                  <c:v>SS</c:v>
                </c:pt>
                <c:pt idx="6">
                  <c:v>CARD</c:v>
                </c:pt>
                <c:pt idx="7">
                  <c:v>WOOD</c:v>
                </c:pt>
                <c:pt idx="8">
                  <c:v>AL CANS</c:v>
                </c:pt>
                <c:pt idx="9">
                  <c:v>PLASTIC</c:v>
                </c:pt>
                <c:pt idx="10">
                  <c:v>HAZ </c:v>
                </c:pt>
                <c:pt idx="11">
                  <c:v>GREEN </c:v>
                </c:pt>
              </c:strCache>
            </c:strRef>
          </c:cat>
          <c:val>
            <c:numRef>
              <c:f>('2017'!$B$429:$J$429,'2017'!$N$429,'2017'!$Q$429:$R$429)</c:f>
              <c:numCache>
                <c:ptCount val="12"/>
                <c:pt idx="0">
                  <c:v>2.2</c:v>
                </c:pt>
                <c:pt idx="1">
                  <c:v>1352.334</c:v>
                </c:pt>
                <c:pt idx="2">
                  <c:v>135.98</c:v>
                </c:pt>
                <c:pt idx="3">
                  <c:v>211.894</c:v>
                </c:pt>
                <c:pt idx="4">
                  <c:v>46.96</c:v>
                </c:pt>
                <c:pt idx="5">
                  <c:v>28.62</c:v>
                </c:pt>
                <c:pt idx="6">
                  <c:v>341.36</c:v>
                </c:pt>
                <c:pt idx="7">
                  <c:v>49.02</c:v>
                </c:pt>
                <c:pt idx="8">
                  <c:v>74.73</c:v>
                </c:pt>
                <c:pt idx="9">
                  <c:v>90.694</c:v>
                </c:pt>
                <c:pt idx="10">
                  <c:v>25.52</c:v>
                </c:pt>
                <c:pt idx="11">
                  <c:v>6.08</c:v>
                </c:pt>
              </c:numCache>
            </c:numRef>
          </c:val>
        </c:ser>
        <c:axId val="60293270"/>
        <c:axId val="5768519"/>
      </c:barChart>
      <c:catAx>
        <c:axId val="6029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WASTE TYPE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19"/>
        <c:crosses val="autoZero"/>
        <c:auto val="1"/>
        <c:lblOffset val="100"/>
        <c:tickLblSkip val="1"/>
        <c:noMultiLvlLbl val="0"/>
      </c:catAx>
      <c:valAx>
        <c:axId val="57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WASTE TOTAL = TONNES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3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2017 PERCENTAGE RECYCLING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61"/>
          <c:w val="0.8877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'2017'!$A$415:$A$426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'2017'!$U$415:$U$426</c:f>
              <c:numCache>
                <c:ptCount val="12"/>
                <c:pt idx="0">
                  <c:v>99.57358605654643</c:v>
                </c:pt>
                <c:pt idx="1">
                  <c:v>99.85052615237905</c:v>
                </c:pt>
                <c:pt idx="2">
                  <c:v>99.71000450577111</c:v>
                </c:pt>
                <c:pt idx="3">
                  <c:v>99.49910462125237</c:v>
                </c:pt>
                <c:pt idx="4">
                  <c:v>99.7433663835815</c:v>
                </c:pt>
                <c:pt idx="5">
                  <c:v>99.9280425177138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99.95585846458083</c:v>
                </c:pt>
                <c:pt idx="11">
                  <c:v>99.29543475556662</c:v>
                </c:pt>
              </c:numCache>
            </c:numRef>
          </c:val>
          <c:smooth val="0"/>
        </c:ser>
        <c:marker val="1"/>
        <c:axId val="51916672"/>
        <c:axId val="64596865"/>
      </c:lineChart>
      <c:catAx>
        <c:axId val="5191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96865"/>
        <c:crosses val="autoZero"/>
        <c:auto val="1"/>
        <c:lblOffset val="100"/>
        <c:tickLblSkip val="1"/>
        <c:noMultiLvlLbl val="0"/>
      </c:catAx>
      <c:valAx>
        <c:axId val="6459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2018 Site Waste volumes - YTD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7325"/>
          <c:w val="0.941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('2018'!$B$414:$J$414,'2018'!$N$414,'2018'!$Q$414:$R$414)</c:f>
              <c:strCache>
                <c:ptCount val="12"/>
                <c:pt idx="0">
                  <c:v>COPPER</c:v>
                </c:pt>
                <c:pt idx="1">
                  <c:v>GLASS</c:v>
                </c:pt>
                <c:pt idx="2">
                  <c:v>MALT</c:v>
                </c:pt>
                <c:pt idx="3">
                  <c:v>Site WASTE</c:v>
                </c:pt>
                <c:pt idx="4">
                  <c:v>MIX METAL</c:v>
                </c:pt>
                <c:pt idx="5">
                  <c:v>SS</c:v>
                </c:pt>
                <c:pt idx="6">
                  <c:v>CARD</c:v>
                </c:pt>
                <c:pt idx="7">
                  <c:v>WOOD</c:v>
                </c:pt>
                <c:pt idx="8">
                  <c:v>AL CANS</c:v>
                </c:pt>
                <c:pt idx="9">
                  <c:v>PLASTIC</c:v>
                </c:pt>
                <c:pt idx="10">
                  <c:v>HAZ </c:v>
                </c:pt>
                <c:pt idx="11">
                  <c:v>GREEN </c:v>
                </c:pt>
              </c:strCache>
            </c:strRef>
          </c:cat>
          <c:val>
            <c:numRef>
              <c:f>('2018'!$B$429:$J$429,'2018'!$N$429,'2018'!$Q$429:$R$429)</c:f>
              <c:numCache>
                <c:ptCount val="12"/>
                <c:pt idx="0">
                  <c:v>0</c:v>
                </c:pt>
                <c:pt idx="1">
                  <c:v>569.37</c:v>
                </c:pt>
                <c:pt idx="2">
                  <c:v>25.58</c:v>
                </c:pt>
                <c:pt idx="3">
                  <c:v>129.92</c:v>
                </c:pt>
                <c:pt idx="4">
                  <c:v>8.26</c:v>
                </c:pt>
                <c:pt idx="5">
                  <c:v>0</c:v>
                </c:pt>
                <c:pt idx="6">
                  <c:v>137.82</c:v>
                </c:pt>
                <c:pt idx="7">
                  <c:v>7.72</c:v>
                </c:pt>
                <c:pt idx="8">
                  <c:v>24.6</c:v>
                </c:pt>
                <c:pt idx="9">
                  <c:v>34.34</c:v>
                </c:pt>
                <c:pt idx="10">
                  <c:v>12.36</c:v>
                </c:pt>
                <c:pt idx="11">
                  <c:v>0</c:v>
                </c:pt>
              </c:numCache>
            </c:numRef>
          </c:val>
        </c:ser>
        <c:axId val="44500874"/>
        <c:axId val="64963547"/>
      </c:barChart>
      <c:catAx>
        <c:axId val="4450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WASTE TYPE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63547"/>
        <c:crosses val="autoZero"/>
        <c:auto val="1"/>
        <c:lblOffset val="100"/>
        <c:tickLblSkip val="1"/>
        <c:noMultiLvlLbl val="0"/>
      </c:catAx>
      <c:valAx>
        <c:axId val="6496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WASTE TOTAL =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382</xdr:row>
      <xdr:rowOff>0</xdr:rowOff>
    </xdr:from>
    <xdr:to>
      <xdr:col>9</xdr:col>
      <xdr:colOff>342900</xdr:colOff>
      <xdr:row>386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84350"/>
          <a:ext cx="6381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0.113</cdr:y>
    </cdr:from>
    <cdr:to>
      <cdr:x>0.97625</cdr:x>
      <cdr:y>0.434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695325"/>
          <a:ext cx="5400675" cy="1981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SPENT YEAST - YTD = 8612 TONNES (40% INCREASE)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SPENT GRAINS -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YTD = 44043 TONNES (7% REDUCTION)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ENVIROCLEAR / N-VIROCYCLE - 6542 TONNES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TOTAL SITE WASTE = 61054 TONNES (9% INCREASE ON 2016)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436</xdr:row>
      <xdr:rowOff>0</xdr:rowOff>
    </xdr:from>
    <xdr:to>
      <xdr:col>9</xdr:col>
      <xdr:colOff>219075</xdr:colOff>
      <xdr:row>440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52150"/>
          <a:ext cx="6381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436</xdr:row>
      <xdr:rowOff>0</xdr:rowOff>
    </xdr:from>
    <xdr:to>
      <xdr:col>9</xdr:col>
      <xdr:colOff>219075</xdr:colOff>
      <xdr:row>440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52150"/>
          <a:ext cx="6381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447675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934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%20ES\Samlesbury%20ES\Env%20Compliance\Waste\Waste%20Data\Sept%202017\Copy%20of%20AB%20InBev%20MI%20Sept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Summary"/>
      <sheetName val="Disposal Costs"/>
      <sheetName val="Recycling Commodities"/>
      <sheetName val="Cost Rate £ Tracker"/>
      <sheetName val="Additional Costs"/>
      <sheetName val="Rebate Tracker"/>
      <sheetName val="Waste Data"/>
      <sheetName val="Disposal Diary"/>
      <sheetName val="Pivot Weight"/>
      <sheetName val="Pivot Loads"/>
      <sheetName val="Pivot Bales"/>
    </sheetNames>
    <sheetDataSet>
      <sheetData sheetId="7">
        <row r="432">
          <cell r="K432">
            <v>10.9</v>
          </cell>
        </row>
        <row r="433">
          <cell r="K433">
            <v>0.042</v>
          </cell>
        </row>
        <row r="435">
          <cell r="K435">
            <v>15.52</v>
          </cell>
        </row>
        <row r="437">
          <cell r="K437">
            <v>7.66</v>
          </cell>
        </row>
        <row r="438">
          <cell r="K438">
            <v>5.88</v>
          </cell>
        </row>
        <row r="439">
          <cell r="K439">
            <v>0.042</v>
          </cell>
        </row>
        <row r="441">
          <cell r="K441">
            <v>2.64</v>
          </cell>
        </row>
        <row r="442">
          <cell r="K442">
            <v>2.14</v>
          </cell>
        </row>
        <row r="443">
          <cell r="K443">
            <v>7.24</v>
          </cell>
        </row>
        <row r="445">
          <cell r="K445">
            <v>16.7</v>
          </cell>
        </row>
        <row r="448">
          <cell r="K448">
            <v>11.56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R200"/>
  <sheetViews>
    <sheetView zoomScale="75" zoomScaleNormal="75" zoomScalePageLayoutView="0" workbookViewId="0" topLeftCell="A169">
      <selection activeCell="H67" sqref="H67"/>
    </sheetView>
  </sheetViews>
  <sheetFormatPr defaultColWidth="9.140625" defaultRowHeight="12.75"/>
  <cols>
    <col min="15" max="15" width="12.140625" style="0" customWidth="1"/>
    <col min="16" max="16" width="12.00390625" style="0" customWidth="1"/>
    <col min="17" max="17" width="12.28125" style="0" customWidth="1"/>
  </cols>
  <sheetData>
    <row r="1" ht="13.5" thickBot="1"/>
    <row r="2" spans="1:4" ht="13.5" thickBot="1">
      <c r="A2" s="29" t="s">
        <v>16</v>
      </c>
      <c r="B2" s="30"/>
      <c r="C2" s="30"/>
      <c r="D2" s="31"/>
    </row>
    <row r="4" ht="12.75">
      <c r="A4" s="2">
        <v>40544</v>
      </c>
    </row>
    <row r="5" ht="13.5" thickBot="1"/>
    <row r="6" spans="2:16" ht="13.5" thickBot="1">
      <c r="B6" s="15" t="s">
        <v>0</v>
      </c>
      <c r="C6" s="16" t="s">
        <v>1</v>
      </c>
      <c r="D6" s="17" t="s">
        <v>2</v>
      </c>
      <c r="E6" s="18" t="s">
        <v>3</v>
      </c>
      <c r="F6" s="19" t="s">
        <v>4</v>
      </c>
      <c r="G6" s="20" t="s">
        <v>5</v>
      </c>
      <c r="H6" s="21" t="s">
        <v>6</v>
      </c>
      <c r="I6" s="22" t="s">
        <v>7</v>
      </c>
      <c r="J6" s="23" t="s">
        <v>8</v>
      </c>
      <c r="K6" s="24" t="s">
        <v>9</v>
      </c>
      <c r="L6" s="27" t="s">
        <v>14</v>
      </c>
      <c r="M6" s="1" t="s">
        <v>13</v>
      </c>
      <c r="N6" s="1" t="s">
        <v>11</v>
      </c>
      <c r="P6" t="s">
        <v>29</v>
      </c>
    </row>
    <row r="7" spans="2:17" ht="13.5" thickBot="1">
      <c r="B7" s="3">
        <v>8400</v>
      </c>
      <c r="C7" s="3">
        <v>1580</v>
      </c>
      <c r="D7" s="3">
        <v>8000</v>
      </c>
      <c r="E7" s="9">
        <v>3120</v>
      </c>
      <c r="F7" s="3">
        <v>6900</v>
      </c>
      <c r="G7" s="3">
        <v>1380</v>
      </c>
      <c r="H7" s="3">
        <v>1400</v>
      </c>
      <c r="I7" s="1">
        <v>0</v>
      </c>
      <c r="J7" s="1">
        <v>277620</v>
      </c>
      <c r="K7" s="9">
        <v>2417000</v>
      </c>
      <c r="L7" s="7">
        <v>3300</v>
      </c>
      <c r="M7" s="10">
        <v>82640</v>
      </c>
      <c r="N7" s="10">
        <v>2801280</v>
      </c>
      <c r="P7" t="s">
        <v>30</v>
      </c>
      <c r="Q7" s="3">
        <v>99.34</v>
      </c>
    </row>
    <row r="8" spans="2:17" ht="13.5" thickBot="1">
      <c r="B8" s="4">
        <v>13420</v>
      </c>
      <c r="C8" s="5">
        <v>1040</v>
      </c>
      <c r="D8" s="4">
        <v>2120</v>
      </c>
      <c r="F8" s="4">
        <v>4180</v>
      </c>
      <c r="G8" s="5">
        <v>1980</v>
      </c>
      <c r="H8" s="5">
        <v>2660</v>
      </c>
      <c r="L8" s="8">
        <v>1680</v>
      </c>
      <c r="M8" s="4">
        <v>2620</v>
      </c>
      <c r="N8" s="5">
        <v>18520</v>
      </c>
      <c r="P8" t="s">
        <v>31</v>
      </c>
      <c r="Q8" s="4">
        <v>99.34</v>
      </c>
    </row>
    <row r="9" spans="2:17" ht="13.5" thickBot="1">
      <c r="B9" s="4">
        <v>12460</v>
      </c>
      <c r="C9" s="1">
        <f>SUM(C7:C8)</f>
        <v>2620</v>
      </c>
      <c r="D9" s="5">
        <v>8400</v>
      </c>
      <c r="F9" s="5">
        <v>3140</v>
      </c>
      <c r="G9" s="1">
        <v>3360</v>
      </c>
      <c r="H9" s="1">
        <f>SUM(H7:H8)</f>
        <v>4060</v>
      </c>
      <c r="L9" s="9">
        <f>SUM(L7:L8)</f>
        <v>4980</v>
      </c>
      <c r="M9" s="4">
        <v>3120</v>
      </c>
      <c r="N9" s="1">
        <f>SUM(N7:N8)</f>
        <v>2819800</v>
      </c>
      <c r="P9" t="s">
        <v>32</v>
      </c>
      <c r="Q9" s="4">
        <v>99.55</v>
      </c>
    </row>
    <row r="10" spans="2:17" ht="13.5" thickBot="1">
      <c r="B10" s="4">
        <v>11700</v>
      </c>
      <c r="D10" s="1">
        <f>SUM(D7:D9)</f>
        <v>18520</v>
      </c>
      <c r="F10" s="1">
        <f>SUM(F7:F9)</f>
        <v>14220</v>
      </c>
      <c r="M10" s="4">
        <v>14220</v>
      </c>
      <c r="P10" t="s">
        <v>33</v>
      </c>
      <c r="Q10" s="4">
        <v>99.3</v>
      </c>
    </row>
    <row r="11" spans="2:17" ht="12.75">
      <c r="B11" s="4">
        <v>10820</v>
      </c>
      <c r="M11" s="4">
        <v>4060</v>
      </c>
      <c r="P11" t="s">
        <v>34</v>
      </c>
      <c r="Q11" s="4">
        <v>99.2</v>
      </c>
    </row>
    <row r="12" spans="2:17" ht="12.75">
      <c r="B12" s="4">
        <v>13940</v>
      </c>
      <c r="M12" s="4">
        <v>277620</v>
      </c>
      <c r="P12" t="s">
        <v>35</v>
      </c>
      <c r="Q12" s="4">
        <v>99.78</v>
      </c>
    </row>
    <row r="13" spans="2:17" ht="13.5" thickBot="1">
      <c r="B13" s="5">
        <v>11900</v>
      </c>
      <c r="G13" t="s">
        <v>17</v>
      </c>
      <c r="M13" s="5">
        <v>2417000</v>
      </c>
      <c r="P13" t="s">
        <v>36</v>
      </c>
      <c r="Q13" s="4">
        <v>99.32</v>
      </c>
    </row>
    <row r="14" spans="2:17" ht="13.5" thickBot="1">
      <c r="B14" s="1">
        <f>SUM(B7:B13)</f>
        <v>82640</v>
      </c>
      <c r="M14" s="1">
        <f>SUM(M7:M13)</f>
        <v>2801280</v>
      </c>
      <c r="P14" t="s">
        <v>37</v>
      </c>
      <c r="Q14" s="4">
        <v>99.52</v>
      </c>
    </row>
    <row r="15" spans="16:17" ht="12.75">
      <c r="P15" t="s">
        <v>38</v>
      </c>
      <c r="Q15" s="4">
        <v>99.81</v>
      </c>
    </row>
    <row r="16" spans="16:17" ht="12.75">
      <c r="P16" t="s">
        <v>39</v>
      </c>
      <c r="Q16" s="4">
        <v>99.47</v>
      </c>
    </row>
    <row r="17" spans="1:18" ht="13.5" thickBot="1">
      <c r="A17" s="2">
        <v>40575</v>
      </c>
      <c r="P17" t="s">
        <v>44</v>
      </c>
      <c r="Q17" s="4">
        <v>99.84</v>
      </c>
      <c r="R17" s="55"/>
    </row>
    <row r="18" spans="2:17" ht="13.5" thickBot="1">
      <c r="B18" s="15" t="s">
        <v>0</v>
      </c>
      <c r="C18" s="16" t="s">
        <v>1</v>
      </c>
      <c r="D18" s="17" t="s">
        <v>2</v>
      </c>
      <c r="E18" s="18" t="s">
        <v>3</v>
      </c>
      <c r="F18" s="19" t="s">
        <v>4</v>
      </c>
      <c r="G18" s="20" t="s">
        <v>5</v>
      </c>
      <c r="H18" s="21" t="s">
        <v>6</v>
      </c>
      <c r="I18" s="22" t="s">
        <v>7</v>
      </c>
      <c r="J18" s="23" t="s">
        <v>8</v>
      </c>
      <c r="K18" s="24" t="s">
        <v>9</v>
      </c>
      <c r="L18" s="27" t="s">
        <v>14</v>
      </c>
      <c r="M18" s="1" t="s">
        <v>13</v>
      </c>
      <c r="N18" s="1" t="s">
        <v>11</v>
      </c>
      <c r="P18" t="s">
        <v>45</v>
      </c>
      <c r="Q18" s="5">
        <v>99.7</v>
      </c>
    </row>
    <row r="19" spans="2:18" ht="13.5" thickBot="1">
      <c r="B19" s="3">
        <v>12260</v>
      </c>
      <c r="C19" s="7">
        <v>1040</v>
      </c>
      <c r="D19" s="3">
        <v>1660</v>
      </c>
      <c r="E19" s="3">
        <v>2620</v>
      </c>
      <c r="F19" s="7">
        <v>8160</v>
      </c>
      <c r="G19" s="3">
        <v>1280</v>
      </c>
      <c r="H19" s="3">
        <v>1600</v>
      </c>
      <c r="I19" s="1">
        <v>60</v>
      </c>
      <c r="J19" s="1">
        <v>296000</v>
      </c>
      <c r="K19" s="1">
        <v>2685540</v>
      </c>
      <c r="L19" s="9">
        <v>0</v>
      </c>
      <c r="M19" s="10">
        <v>134720</v>
      </c>
      <c r="N19" s="10">
        <v>20800</v>
      </c>
      <c r="Q19" s="5">
        <f>SUM(Q7:Q18)</f>
        <v>1194.1699999999998</v>
      </c>
      <c r="R19" t="s">
        <v>46</v>
      </c>
    </row>
    <row r="20" spans="2:14" ht="13.5" thickBot="1">
      <c r="B20" s="4">
        <v>13100</v>
      </c>
      <c r="C20" s="6">
        <v>1480</v>
      </c>
      <c r="D20" s="4">
        <v>7580</v>
      </c>
      <c r="E20" s="5">
        <v>3480</v>
      </c>
      <c r="F20" s="8">
        <v>6140</v>
      </c>
      <c r="G20" s="4">
        <v>1220</v>
      </c>
      <c r="H20" s="5">
        <v>2320</v>
      </c>
      <c r="M20" s="4">
        <v>4020</v>
      </c>
      <c r="N20" s="5">
        <v>3150160</v>
      </c>
    </row>
    <row r="21" spans="2:14" ht="13.5" thickBot="1">
      <c r="B21" s="4">
        <v>11720</v>
      </c>
      <c r="C21" s="8">
        <v>1500</v>
      </c>
      <c r="D21" s="4">
        <v>1300</v>
      </c>
      <c r="E21" s="1">
        <f>SUM(E19:E20)</f>
        <v>6100</v>
      </c>
      <c r="F21" s="9">
        <f>SUM(F19:F20)</f>
        <v>14300</v>
      </c>
      <c r="G21" s="4">
        <v>1420</v>
      </c>
      <c r="H21" s="1">
        <f>SUM(H19:H20)</f>
        <v>3920</v>
      </c>
      <c r="M21" s="4">
        <v>6100</v>
      </c>
      <c r="N21" s="1">
        <f>SUM(N19:N20)</f>
        <v>3170960</v>
      </c>
    </row>
    <row r="22" spans="2:13" ht="13.5" thickBot="1">
      <c r="B22" s="4">
        <v>29320</v>
      </c>
      <c r="C22" s="9">
        <f>SUM(C19:C21)</f>
        <v>4020</v>
      </c>
      <c r="D22" s="4">
        <v>940</v>
      </c>
      <c r="G22" s="5">
        <v>1580</v>
      </c>
      <c r="M22" s="4">
        <v>14300</v>
      </c>
    </row>
    <row r="23" spans="2:13" ht="13.5" thickBot="1">
      <c r="B23" s="4">
        <v>15380</v>
      </c>
      <c r="D23" s="4">
        <v>1260</v>
      </c>
      <c r="G23" s="1">
        <f>SUM(G19:G22)</f>
        <v>5500</v>
      </c>
      <c r="M23" s="4">
        <v>5500</v>
      </c>
    </row>
    <row r="24" spans="2:13" ht="13.5" thickBot="1">
      <c r="B24" s="4">
        <v>14740</v>
      </c>
      <c r="D24" s="5">
        <v>8060</v>
      </c>
      <c r="M24" s="4">
        <v>3920</v>
      </c>
    </row>
    <row r="25" spans="2:16" ht="13.5" thickBot="1">
      <c r="B25" s="4">
        <v>13240</v>
      </c>
      <c r="D25" s="1">
        <f>SUM(D19:D24)</f>
        <v>20800</v>
      </c>
      <c r="M25" s="4">
        <v>60</v>
      </c>
      <c r="P25" s="3">
        <v>18520</v>
      </c>
    </row>
    <row r="26" spans="2:16" ht="12.75">
      <c r="B26" s="4">
        <v>9420</v>
      </c>
      <c r="M26" s="4">
        <v>296000</v>
      </c>
      <c r="P26" s="4">
        <v>20800</v>
      </c>
    </row>
    <row r="27" spans="2:16" ht="13.5" thickBot="1">
      <c r="B27" s="5">
        <v>15540</v>
      </c>
      <c r="G27" t="s">
        <v>18</v>
      </c>
      <c r="M27" s="5">
        <v>2685540</v>
      </c>
      <c r="P27" s="4">
        <v>19600</v>
      </c>
    </row>
    <row r="28" spans="2:16" ht="13.5" thickBot="1">
      <c r="B28" s="1">
        <f>SUM(B19:B27)</f>
        <v>134720</v>
      </c>
      <c r="M28" s="1">
        <f>SUM(M19:M27)</f>
        <v>3150160</v>
      </c>
      <c r="P28" s="4">
        <v>27020</v>
      </c>
    </row>
    <row r="29" ht="12.75">
      <c r="P29" s="4">
        <v>28540</v>
      </c>
    </row>
    <row r="30" ht="12.75">
      <c r="P30" s="4">
        <v>9460</v>
      </c>
    </row>
    <row r="31" ht="12.75">
      <c r="P31" s="4">
        <v>11260</v>
      </c>
    </row>
    <row r="32" spans="1:16" ht="13.5" thickBot="1">
      <c r="A32" s="2">
        <v>40603</v>
      </c>
      <c r="P32" s="4">
        <v>17260</v>
      </c>
    </row>
    <row r="33" spans="2:16" ht="13.5" thickBot="1">
      <c r="B33" s="15" t="s">
        <v>0</v>
      </c>
      <c r="C33" s="16" t="s">
        <v>1</v>
      </c>
      <c r="D33" s="17" t="s">
        <v>2</v>
      </c>
      <c r="E33" s="18" t="s">
        <v>3</v>
      </c>
      <c r="F33" s="19" t="s">
        <v>4</v>
      </c>
      <c r="G33" s="20" t="s">
        <v>5</v>
      </c>
      <c r="H33" s="21" t="s">
        <v>6</v>
      </c>
      <c r="I33" s="22" t="s">
        <v>7</v>
      </c>
      <c r="J33" s="23" t="s">
        <v>8</v>
      </c>
      <c r="K33" s="24" t="s">
        <v>9</v>
      </c>
      <c r="L33" s="1" t="s">
        <v>10</v>
      </c>
      <c r="M33" s="1" t="s">
        <v>11</v>
      </c>
      <c r="P33" s="4">
        <v>9948</v>
      </c>
    </row>
    <row r="34" spans="2:16" ht="12.75">
      <c r="B34" s="3">
        <v>9960</v>
      </c>
      <c r="C34" s="7">
        <v>1800</v>
      </c>
      <c r="D34" s="3">
        <v>1260</v>
      </c>
      <c r="E34" s="10">
        <v>1100</v>
      </c>
      <c r="F34" s="13">
        <v>9720</v>
      </c>
      <c r="G34" s="10">
        <v>1380</v>
      </c>
      <c r="H34" s="10">
        <v>1420</v>
      </c>
      <c r="I34" s="25">
        <v>40</v>
      </c>
      <c r="J34" s="10">
        <v>76.52</v>
      </c>
      <c r="K34" s="10">
        <v>205.22</v>
      </c>
      <c r="L34" s="10">
        <v>162160</v>
      </c>
      <c r="M34" s="3">
        <v>19600</v>
      </c>
      <c r="P34" s="4">
        <v>12192</v>
      </c>
    </row>
    <row r="35" spans="2:16" ht="13.5" thickBot="1">
      <c r="B35" s="4">
        <v>9380</v>
      </c>
      <c r="C35" s="6">
        <v>1200</v>
      </c>
      <c r="D35" s="4">
        <v>8540</v>
      </c>
      <c r="E35" s="11">
        <v>1160</v>
      </c>
      <c r="F35" s="14">
        <v>7720</v>
      </c>
      <c r="G35" s="11">
        <v>1240</v>
      </c>
      <c r="H35" s="11">
        <v>2600</v>
      </c>
      <c r="I35" s="25">
        <v>1200</v>
      </c>
      <c r="J35" s="11">
        <v>64.64</v>
      </c>
      <c r="K35" s="11">
        <v>599.76</v>
      </c>
      <c r="L35" s="11">
        <v>6720</v>
      </c>
      <c r="M35" s="12">
        <v>4321200</v>
      </c>
      <c r="P35" s="4">
        <v>5736</v>
      </c>
    </row>
    <row r="36" spans="2:16" ht="13.5" thickBot="1">
      <c r="B36" s="4">
        <v>8000</v>
      </c>
      <c r="C36" s="6">
        <v>2200</v>
      </c>
      <c r="D36" s="4">
        <v>680</v>
      </c>
      <c r="E36" s="12">
        <v>740</v>
      </c>
      <c r="F36" s="9">
        <f>SUM(F34:F35)</f>
        <v>17440</v>
      </c>
      <c r="G36" s="11">
        <v>1020</v>
      </c>
      <c r="H36" s="12">
        <v>1320</v>
      </c>
      <c r="I36" s="9">
        <f>SUM(I34:I35)</f>
        <v>1240</v>
      </c>
      <c r="J36" s="11">
        <v>116.3</v>
      </c>
      <c r="K36" s="11">
        <v>710.16</v>
      </c>
      <c r="L36" s="11">
        <v>3651680</v>
      </c>
      <c r="M36" s="1">
        <f>SUM(M34:M35)</f>
        <v>4340800</v>
      </c>
      <c r="P36" s="5">
        <v>7668</v>
      </c>
    </row>
    <row r="37" spans="2:16" ht="13.5" thickBot="1">
      <c r="B37" s="4">
        <v>12200</v>
      </c>
      <c r="C37" s="8">
        <v>1520</v>
      </c>
      <c r="D37" s="4">
        <v>1120</v>
      </c>
      <c r="E37" s="5">
        <f>SUM(E34:E36)</f>
        <v>3000</v>
      </c>
      <c r="G37" s="12">
        <v>1140</v>
      </c>
      <c r="H37" s="5">
        <f>SUM(H34:H36)</f>
        <v>5340</v>
      </c>
      <c r="J37" s="11">
        <v>117.02</v>
      </c>
      <c r="K37" s="11">
        <v>1003.94</v>
      </c>
      <c r="L37" s="11">
        <v>3000</v>
      </c>
      <c r="P37" s="1">
        <f>SUM(P25:P36)</f>
        <v>188004</v>
      </c>
    </row>
    <row r="38" spans="2:12" ht="13.5" thickBot="1">
      <c r="B38" s="4">
        <v>8780</v>
      </c>
      <c r="C38" s="9">
        <f>SUM(C34:C37)</f>
        <v>6720</v>
      </c>
      <c r="D38" s="4">
        <v>6800</v>
      </c>
      <c r="G38" s="1">
        <f>SUM(G34:G37)</f>
        <v>4780</v>
      </c>
      <c r="J38" s="11">
        <v>70.82</v>
      </c>
      <c r="K38" s="11">
        <v>778.8</v>
      </c>
      <c r="L38" s="11">
        <v>17440</v>
      </c>
    </row>
    <row r="39" spans="2:12" ht="13.5" thickBot="1">
      <c r="B39" s="4">
        <v>11380</v>
      </c>
      <c r="D39" s="5">
        <v>1200</v>
      </c>
      <c r="J39" s="12">
        <v>23.24</v>
      </c>
      <c r="K39" s="11">
        <v>275.18</v>
      </c>
      <c r="L39" s="11">
        <v>4780</v>
      </c>
    </row>
    <row r="40" spans="2:12" ht="13.5" thickBot="1">
      <c r="B40" s="4">
        <v>4340</v>
      </c>
      <c r="D40" s="5">
        <f>SUM(D34:D39)</f>
        <v>19600</v>
      </c>
      <c r="J40" s="9">
        <f>SUM(J34:J39)</f>
        <v>468.53999999999996</v>
      </c>
      <c r="K40" s="11">
        <v>78.62</v>
      </c>
      <c r="L40" s="11">
        <v>5340</v>
      </c>
    </row>
    <row r="41" spans="2:12" ht="13.5" thickBot="1">
      <c r="B41" s="4">
        <v>11700</v>
      </c>
      <c r="K41" s="1">
        <f>SUM(K34:K40)</f>
        <v>3651.68</v>
      </c>
      <c r="L41" s="11">
        <v>1240</v>
      </c>
    </row>
    <row r="42" spans="2:12" ht="13.5" thickBot="1">
      <c r="B42" s="4">
        <v>10800</v>
      </c>
      <c r="L42" s="12">
        <v>468540</v>
      </c>
    </row>
    <row r="43" spans="2:12" ht="13.5" thickBot="1">
      <c r="B43" s="4">
        <v>13400</v>
      </c>
      <c r="L43" s="26">
        <f>SUM(L34:L42)</f>
        <v>4320900</v>
      </c>
    </row>
    <row r="44" spans="2:7" ht="12.75">
      <c r="B44" s="4">
        <v>10560</v>
      </c>
      <c r="G44" t="s">
        <v>12</v>
      </c>
    </row>
    <row r="45" ht="12.75">
      <c r="B45" s="4">
        <v>12040</v>
      </c>
    </row>
    <row r="46" ht="12.75">
      <c r="B46" s="4">
        <v>9100</v>
      </c>
    </row>
    <row r="47" ht="12.75">
      <c r="B47" s="4">
        <v>11840</v>
      </c>
    </row>
    <row r="48" ht="12.75">
      <c r="B48" s="4">
        <v>7100</v>
      </c>
    </row>
    <row r="49" ht="13.5" thickBot="1">
      <c r="B49" s="5">
        <v>11580</v>
      </c>
    </row>
    <row r="50" ht="13.5" thickBot="1">
      <c r="B50" s="1">
        <f>SUM(B34:B49)</f>
        <v>162160</v>
      </c>
    </row>
    <row r="52" ht="13.5" thickBot="1">
      <c r="A52" s="2">
        <v>40634</v>
      </c>
    </row>
    <row r="53" spans="2:14" ht="13.5" thickBot="1">
      <c r="B53" s="15" t="s">
        <v>0</v>
      </c>
      <c r="C53" s="16" t="s">
        <v>1</v>
      </c>
      <c r="D53" s="17" t="s">
        <v>2</v>
      </c>
      <c r="E53" s="18" t="s">
        <v>3</v>
      </c>
      <c r="F53" s="19" t="s">
        <v>4</v>
      </c>
      <c r="G53" s="20" t="s">
        <v>5</v>
      </c>
      <c r="H53" s="21" t="s">
        <v>6</v>
      </c>
      <c r="I53" s="22" t="s">
        <v>7</v>
      </c>
      <c r="J53" s="23" t="s">
        <v>8</v>
      </c>
      <c r="K53" s="24" t="s">
        <v>9</v>
      </c>
      <c r="L53" s="27" t="s">
        <v>14</v>
      </c>
      <c r="M53" s="1" t="s">
        <v>13</v>
      </c>
      <c r="N53" s="1" t="s">
        <v>11</v>
      </c>
    </row>
    <row r="54" spans="2:14" ht="13.5" thickBot="1">
      <c r="B54" s="3">
        <v>8540</v>
      </c>
      <c r="C54" s="7">
        <v>1700</v>
      </c>
      <c r="D54" s="3">
        <v>6840</v>
      </c>
      <c r="E54" s="7">
        <v>4260</v>
      </c>
      <c r="F54" s="3">
        <v>1760</v>
      </c>
      <c r="G54" s="3">
        <v>940</v>
      </c>
      <c r="H54" s="3">
        <v>3520</v>
      </c>
      <c r="I54" s="1">
        <v>0</v>
      </c>
      <c r="J54" s="1">
        <v>368000</v>
      </c>
      <c r="K54" s="1">
        <v>3337200</v>
      </c>
      <c r="L54" s="9">
        <v>2520</v>
      </c>
      <c r="M54" s="10">
        <v>97900</v>
      </c>
      <c r="N54" s="3">
        <v>27020</v>
      </c>
    </row>
    <row r="55" spans="2:14" ht="13.5" thickBot="1">
      <c r="B55" s="4">
        <v>9020</v>
      </c>
      <c r="C55" s="6">
        <v>1440</v>
      </c>
      <c r="D55" s="4">
        <v>1780</v>
      </c>
      <c r="E55" s="6">
        <v>2440</v>
      </c>
      <c r="F55" s="4">
        <v>8200</v>
      </c>
      <c r="G55" s="4">
        <v>1700</v>
      </c>
      <c r="H55" s="4">
        <v>320</v>
      </c>
      <c r="M55" s="4">
        <v>5540</v>
      </c>
      <c r="N55" s="5">
        <v>3862740</v>
      </c>
    </row>
    <row r="56" spans="2:14" ht="13.5" thickBot="1">
      <c r="B56" s="4">
        <v>8020</v>
      </c>
      <c r="C56" s="8">
        <v>2400</v>
      </c>
      <c r="D56" s="4">
        <v>7780</v>
      </c>
      <c r="E56" s="8">
        <v>1840</v>
      </c>
      <c r="F56" s="4">
        <v>6280</v>
      </c>
      <c r="G56" s="4">
        <v>900</v>
      </c>
      <c r="H56" s="5">
        <v>2840</v>
      </c>
      <c r="M56" s="4">
        <v>8540</v>
      </c>
      <c r="N56" s="1">
        <f>SUM(N54:N55)</f>
        <v>3889760</v>
      </c>
    </row>
    <row r="57" spans="2:13" ht="13.5" thickBot="1">
      <c r="B57" s="4">
        <v>7900</v>
      </c>
      <c r="C57" s="9">
        <f>SUM(C54:C56)</f>
        <v>5540</v>
      </c>
      <c r="D57" s="4">
        <v>320</v>
      </c>
      <c r="E57" s="9">
        <f>SUM(E54:E56)</f>
        <v>8540</v>
      </c>
      <c r="F57" s="4">
        <v>4640</v>
      </c>
      <c r="G57" s="5">
        <v>4160</v>
      </c>
      <c r="H57" s="1">
        <f>SUM(H54:H56)</f>
        <v>6680</v>
      </c>
      <c r="M57" s="4">
        <v>31180</v>
      </c>
    </row>
    <row r="58" spans="2:13" ht="13.5" thickBot="1">
      <c r="B58" s="4">
        <v>12640</v>
      </c>
      <c r="D58" s="4">
        <v>780</v>
      </c>
      <c r="F58" s="4">
        <v>40</v>
      </c>
      <c r="G58" s="1">
        <f>SUM(G54:G57)</f>
        <v>7700</v>
      </c>
      <c r="M58" s="4">
        <v>7700</v>
      </c>
    </row>
    <row r="59" spans="2:13" ht="12.75">
      <c r="B59" s="4">
        <v>12440</v>
      </c>
      <c r="D59" s="4">
        <v>7700</v>
      </c>
      <c r="F59" s="4">
        <v>1660</v>
      </c>
      <c r="M59" s="4">
        <v>6680</v>
      </c>
    </row>
    <row r="60" spans="2:13" ht="13.5" thickBot="1">
      <c r="B60" s="4">
        <v>12260</v>
      </c>
      <c r="D60" s="5">
        <v>1820</v>
      </c>
      <c r="F60" s="5">
        <v>8600</v>
      </c>
      <c r="M60" s="4">
        <v>368000</v>
      </c>
    </row>
    <row r="61" spans="2:13" ht="13.5" thickBot="1">
      <c r="B61" s="4">
        <v>11680</v>
      </c>
      <c r="D61" s="1">
        <f>SUM(D54:D60)</f>
        <v>27020</v>
      </c>
      <c r="F61" s="1">
        <f>SUM(F54:F60)</f>
        <v>31180</v>
      </c>
      <c r="M61" s="5">
        <v>3337200</v>
      </c>
    </row>
    <row r="62" spans="2:13" ht="13.5" thickBot="1">
      <c r="B62" s="5">
        <v>15400</v>
      </c>
      <c r="M62" s="1">
        <f>SUM(M54:M61)</f>
        <v>3862740</v>
      </c>
    </row>
    <row r="63" spans="2:7" ht="13.5" thickBot="1">
      <c r="B63" s="1">
        <f>SUM(B54:B62)</f>
        <v>97900</v>
      </c>
      <c r="G63" s="28" t="s">
        <v>15</v>
      </c>
    </row>
    <row r="67" ht="12.75">
      <c r="A67" s="2">
        <v>40664</v>
      </c>
    </row>
    <row r="69" ht="13.5" thickBot="1"/>
    <row r="70" spans="2:14" ht="13.5" thickBot="1">
      <c r="B70" s="15" t="s">
        <v>0</v>
      </c>
      <c r="C70" s="16" t="s">
        <v>1</v>
      </c>
      <c r="D70" s="17" t="s">
        <v>2</v>
      </c>
      <c r="E70" s="18" t="s">
        <v>3</v>
      </c>
      <c r="F70" s="19" t="s">
        <v>4</v>
      </c>
      <c r="G70" s="20" t="s">
        <v>5</v>
      </c>
      <c r="H70" s="21" t="s">
        <v>6</v>
      </c>
      <c r="I70" s="22" t="s">
        <v>7</v>
      </c>
      <c r="J70" s="23" t="s">
        <v>8</v>
      </c>
      <c r="K70" s="24" t="s">
        <v>9</v>
      </c>
      <c r="L70" s="27" t="s">
        <v>14</v>
      </c>
      <c r="M70" s="1" t="s">
        <v>13</v>
      </c>
      <c r="N70" s="1" t="s">
        <v>11</v>
      </c>
    </row>
    <row r="71" spans="2:14" ht="13.5" thickBot="1">
      <c r="B71" s="3">
        <v>12700</v>
      </c>
      <c r="C71" s="7">
        <v>2340</v>
      </c>
      <c r="D71" s="3">
        <v>1260</v>
      </c>
      <c r="E71" s="3">
        <v>6240</v>
      </c>
      <c r="F71" s="7">
        <v>6020</v>
      </c>
      <c r="G71" s="3">
        <v>1640</v>
      </c>
      <c r="H71" s="3">
        <v>2220</v>
      </c>
      <c r="I71" s="1">
        <v>20</v>
      </c>
      <c r="J71" s="1">
        <v>350000</v>
      </c>
      <c r="K71" s="9">
        <v>3141480</v>
      </c>
      <c r="L71" s="7">
        <v>1940</v>
      </c>
      <c r="M71" s="10">
        <v>103320</v>
      </c>
      <c r="N71" s="10">
        <v>28540</v>
      </c>
    </row>
    <row r="72" spans="2:14" ht="13.5" thickBot="1">
      <c r="B72" s="4">
        <v>13760</v>
      </c>
      <c r="C72" s="6">
        <v>1820</v>
      </c>
      <c r="D72" s="4">
        <v>5640</v>
      </c>
      <c r="E72" s="4">
        <v>1980</v>
      </c>
      <c r="F72" s="8">
        <v>7800</v>
      </c>
      <c r="G72" s="4">
        <v>1340</v>
      </c>
      <c r="H72" s="5">
        <v>2240</v>
      </c>
      <c r="L72" s="8">
        <v>1800</v>
      </c>
      <c r="M72" s="4">
        <v>5660</v>
      </c>
      <c r="N72" s="5">
        <v>3663600</v>
      </c>
    </row>
    <row r="73" spans="2:14" ht="13.5" thickBot="1">
      <c r="B73" s="4">
        <v>14740</v>
      </c>
      <c r="C73" s="8">
        <v>1500</v>
      </c>
      <c r="D73" s="4">
        <v>7680</v>
      </c>
      <c r="E73" s="4">
        <v>2240</v>
      </c>
      <c r="F73" s="9">
        <f>SUM(F71:F72)</f>
        <v>13820</v>
      </c>
      <c r="G73" s="4">
        <v>1200</v>
      </c>
      <c r="H73" s="1">
        <f>SUM(H71:H72)</f>
        <v>4460</v>
      </c>
      <c r="L73" s="9">
        <f>SUM(L71:L72)</f>
        <v>3740</v>
      </c>
      <c r="M73" s="4">
        <v>16460</v>
      </c>
      <c r="N73" s="1">
        <f>SUM(N71:N72)</f>
        <v>3692140</v>
      </c>
    </row>
    <row r="74" spans="2:13" ht="13.5" thickBot="1">
      <c r="B74" s="4">
        <v>6600</v>
      </c>
      <c r="C74" s="9">
        <f>SUM(C71:C73)</f>
        <v>5660</v>
      </c>
      <c r="D74" s="4">
        <v>880</v>
      </c>
      <c r="E74" s="4">
        <v>1660</v>
      </c>
      <c r="G74" s="4">
        <v>1580</v>
      </c>
      <c r="M74" s="4">
        <v>16460</v>
      </c>
    </row>
    <row r="75" spans="2:13" ht="13.5" thickBot="1">
      <c r="B75" s="4">
        <v>14880</v>
      </c>
      <c r="D75" s="4">
        <v>3940</v>
      </c>
      <c r="E75" s="5">
        <v>4340</v>
      </c>
      <c r="G75" s="4">
        <v>1080</v>
      </c>
      <c r="M75" s="4">
        <v>13820</v>
      </c>
    </row>
    <row r="76" spans="2:13" ht="13.5" thickBot="1">
      <c r="B76" s="4">
        <v>12940</v>
      </c>
      <c r="D76" s="4">
        <v>1420</v>
      </c>
      <c r="E76" s="1">
        <f>SUM(E71:E75)</f>
        <v>16460</v>
      </c>
      <c r="G76" s="5">
        <v>1340</v>
      </c>
      <c r="M76" s="4">
        <v>8180</v>
      </c>
    </row>
    <row r="77" spans="2:13" ht="13.5" thickBot="1">
      <c r="B77" s="4">
        <v>8760</v>
      </c>
      <c r="D77" s="4">
        <v>6260</v>
      </c>
      <c r="G77" s="1">
        <f>SUM(G71:G76)</f>
        <v>8180</v>
      </c>
      <c r="M77" s="4">
        <v>4460</v>
      </c>
    </row>
    <row r="78" spans="2:13" ht="13.5" thickBot="1">
      <c r="B78" s="4">
        <v>9780</v>
      </c>
      <c r="D78" s="5">
        <v>1460</v>
      </c>
      <c r="M78" s="4">
        <v>20</v>
      </c>
    </row>
    <row r="79" spans="2:13" ht="13.5" thickBot="1">
      <c r="B79" s="5">
        <v>9160</v>
      </c>
      <c r="D79" s="1">
        <f>SUM(D71:D78)</f>
        <v>28540</v>
      </c>
      <c r="M79" s="4">
        <v>350000</v>
      </c>
    </row>
    <row r="80" spans="2:13" ht="13.5" thickBot="1">
      <c r="B80" s="1">
        <f>SUM(B71:B79)</f>
        <v>103320</v>
      </c>
      <c r="M80" s="4">
        <v>3141480</v>
      </c>
    </row>
    <row r="81" spans="7:13" ht="13.5" thickBot="1">
      <c r="G81" s="28" t="s">
        <v>19</v>
      </c>
      <c r="M81" s="5">
        <v>3740</v>
      </c>
    </row>
    <row r="82" spans="1:13" ht="13.5" thickBot="1">
      <c r="A82" s="2">
        <v>40695</v>
      </c>
      <c r="M82" s="1">
        <f>SUM(M71:M81)</f>
        <v>3663600</v>
      </c>
    </row>
    <row r="83" ht="13.5" thickBot="1"/>
    <row r="84" spans="2:15" ht="13.5" thickBot="1">
      <c r="B84" s="15" t="s">
        <v>0</v>
      </c>
      <c r="C84" s="16" t="s">
        <v>1</v>
      </c>
      <c r="D84" s="17" t="s">
        <v>2</v>
      </c>
      <c r="E84" s="18" t="s">
        <v>3</v>
      </c>
      <c r="F84" s="19" t="s">
        <v>4</v>
      </c>
      <c r="G84" s="20" t="s">
        <v>5</v>
      </c>
      <c r="H84" s="33" t="s">
        <v>6</v>
      </c>
      <c r="I84" s="22" t="s">
        <v>7</v>
      </c>
      <c r="J84" s="23" t="s">
        <v>8</v>
      </c>
      <c r="K84" s="24" t="s">
        <v>9</v>
      </c>
      <c r="L84" s="27" t="s">
        <v>14</v>
      </c>
      <c r="M84" s="1" t="s">
        <v>13</v>
      </c>
      <c r="N84" s="1" t="s">
        <v>11</v>
      </c>
      <c r="O84" s="32" t="s">
        <v>20</v>
      </c>
    </row>
    <row r="85" spans="2:15" ht="13.5" thickBot="1">
      <c r="B85" s="3">
        <v>8620</v>
      </c>
      <c r="C85" s="7">
        <v>2060</v>
      </c>
      <c r="D85" s="3">
        <v>1560</v>
      </c>
      <c r="E85" s="7">
        <v>3280</v>
      </c>
      <c r="F85" s="3">
        <v>3900</v>
      </c>
      <c r="G85" s="7">
        <v>1060</v>
      </c>
      <c r="H85" s="3">
        <v>1080</v>
      </c>
      <c r="I85" s="1">
        <v>0</v>
      </c>
      <c r="J85" s="1">
        <v>455660</v>
      </c>
      <c r="K85" s="1">
        <v>3597860</v>
      </c>
      <c r="L85" s="9">
        <v>0</v>
      </c>
      <c r="M85" s="10">
        <v>135860</v>
      </c>
      <c r="N85" s="10">
        <v>9460</v>
      </c>
      <c r="O85" s="34">
        <v>-1380</v>
      </c>
    </row>
    <row r="86" spans="2:14" ht="13.5" thickBot="1">
      <c r="B86" s="4">
        <v>13740</v>
      </c>
      <c r="C86" s="8">
        <v>1720</v>
      </c>
      <c r="D86" s="4">
        <v>6520</v>
      </c>
      <c r="E86" s="8">
        <v>3200</v>
      </c>
      <c r="F86" s="4">
        <v>5740</v>
      </c>
      <c r="G86" s="8">
        <v>1360</v>
      </c>
      <c r="H86" s="4">
        <v>660</v>
      </c>
      <c r="M86" s="4">
        <v>3780</v>
      </c>
      <c r="N86" s="5">
        <v>4225120</v>
      </c>
    </row>
    <row r="87" spans="2:14" ht="13.5" thickBot="1">
      <c r="B87" s="4">
        <v>9960</v>
      </c>
      <c r="C87" s="8">
        <f>SUM(C85:C86)</f>
        <v>3780</v>
      </c>
      <c r="D87" s="5">
        <v>1380</v>
      </c>
      <c r="E87" s="8">
        <f>SUM(E85:E86)</f>
        <v>6480</v>
      </c>
      <c r="F87" s="5">
        <v>7340</v>
      </c>
      <c r="G87" s="8">
        <f>SUM(G85:G86)</f>
        <v>2420</v>
      </c>
      <c r="H87" s="5">
        <v>4340</v>
      </c>
      <c r="M87" s="4">
        <v>6480</v>
      </c>
      <c r="N87" s="5">
        <f>SUM(N85:N86)</f>
        <v>4234580</v>
      </c>
    </row>
    <row r="88" spans="2:13" ht="13.5" thickBot="1">
      <c r="B88" s="4">
        <v>15300</v>
      </c>
      <c r="D88" s="5">
        <f>SUM(D85:D87)</f>
        <v>9460</v>
      </c>
      <c r="F88" s="5">
        <f>SUM(F85:F87)</f>
        <v>16980</v>
      </c>
      <c r="H88" s="5">
        <f>SUM(H85:H87)</f>
        <v>6080</v>
      </c>
      <c r="M88" s="4">
        <v>16980</v>
      </c>
    </row>
    <row r="89" spans="2:13" ht="12.75">
      <c r="B89" s="4">
        <v>14600</v>
      </c>
      <c r="M89" s="4">
        <v>2420</v>
      </c>
    </row>
    <row r="90" spans="2:13" ht="12.75">
      <c r="B90" s="4">
        <v>8700</v>
      </c>
      <c r="M90" s="4">
        <v>6080</v>
      </c>
    </row>
    <row r="91" spans="2:13" ht="12.75">
      <c r="B91" s="4">
        <v>7640</v>
      </c>
      <c r="M91" s="4">
        <v>455660</v>
      </c>
    </row>
    <row r="92" spans="2:13" ht="13.5" thickBot="1">
      <c r="B92" s="4">
        <v>11040</v>
      </c>
      <c r="M92" s="5">
        <v>3597860</v>
      </c>
    </row>
    <row r="93" spans="2:13" ht="13.5" thickBot="1">
      <c r="B93" s="4">
        <v>25480</v>
      </c>
      <c r="M93" s="5">
        <f>SUM(M85:M92)</f>
        <v>4225120</v>
      </c>
    </row>
    <row r="94" ht="12.75">
      <c r="B94" s="4">
        <v>10060</v>
      </c>
    </row>
    <row r="95" ht="13.5" thickBot="1">
      <c r="B95" s="5">
        <v>10720</v>
      </c>
    </row>
    <row r="96" ht="13.5" thickBot="1">
      <c r="B96" s="5">
        <f>SUM(B85:B95)</f>
        <v>135860</v>
      </c>
    </row>
    <row r="97" ht="12.75">
      <c r="G97" s="28" t="s">
        <v>21</v>
      </c>
    </row>
    <row r="98" ht="13.5" thickBot="1">
      <c r="A98" s="2">
        <v>40725</v>
      </c>
    </row>
    <row r="99" spans="2:15" ht="13.5" thickBot="1">
      <c r="B99" s="15" t="s">
        <v>0</v>
      </c>
      <c r="C99" s="16" t="s">
        <v>1</v>
      </c>
      <c r="D99" s="17" t="s">
        <v>2</v>
      </c>
      <c r="E99" s="18" t="s">
        <v>3</v>
      </c>
      <c r="F99" s="19" t="s">
        <v>4</v>
      </c>
      <c r="G99" s="20" t="s">
        <v>5</v>
      </c>
      <c r="H99" s="33" t="s">
        <v>6</v>
      </c>
      <c r="I99" s="22" t="s">
        <v>7</v>
      </c>
      <c r="J99" s="23" t="s">
        <v>8</v>
      </c>
      <c r="K99" s="24" t="s">
        <v>9</v>
      </c>
      <c r="L99" s="27" t="s">
        <v>14</v>
      </c>
      <c r="M99" s="1" t="s">
        <v>13</v>
      </c>
      <c r="N99" s="1" t="s">
        <v>11</v>
      </c>
      <c r="O99" s="32" t="s">
        <v>20</v>
      </c>
    </row>
    <row r="100" spans="2:15" ht="13.5" thickBot="1">
      <c r="B100" s="3">
        <v>10960</v>
      </c>
      <c r="C100" s="9">
        <v>25600</v>
      </c>
      <c r="D100" s="3">
        <v>5900</v>
      </c>
      <c r="E100" s="9">
        <v>2500</v>
      </c>
      <c r="F100" s="3">
        <v>5920</v>
      </c>
      <c r="G100" s="9">
        <v>2580</v>
      </c>
      <c r="H100" s="3">
        <v>2100</v>
      </c>
      <c r="I100" s="1"/>
      <c r="J100" s="1">
        <v>229100</v>
      </c>
      <c r="K100" s="1">
        <v>1488140</v>
      </c>
      <c r="L100" s="9">
        <v>600</v>
      </c>
      <c r="M100" s="10">
        <v>81220</v>
      </c>
      <c r="N100" s="10">
        <v>1340</v>
      </c>
      <c r="O100" s="34">
        <v>1340</v>
      </c>
    </row>
    <row r="101" spans="2:14" ht="13.5" thickBot="1">
      <c r="B101" s="4">
        <v>10940</v>
      </c>
      <c r="D101" s="5">
        <v>5360</v>
      </c>
      <c r="F101" s="5">
        <v>7020</v>
      </c>
      <c r="H101" s="4">
        <v>1640</v>
      </c>
      <c r="M101" s="4">
        <v>25600</v>
      </c>
      <c r="N101" s="4">
        <v>11260</v>
      </c>
    </row>
    <row r="102" spans="2:14" ht="13.5" thickBot="1">
      <c r="B102" s="4">
        <v>14780</v>
      </c>
      <c r="D102" s="5">
        <f>SUM(D100:D101)</f>
        <v>11260</v>
      </c>
      <c r="F102" s="5">
        <f>SUM(F100:F101)</f>
        <v>12940</v>
      </c>
      <c r="H102" s="4">
        <v>1920</v>
      </c>
      <c r="M102" s="4">
        <v>2500</v>
      </c>
      <c r="N102" s="5">
        <v>1849580</v>
      </c>
    </row>
    <row r="103" spans="2:14" ht="13.5" thickBot="1">
      <c r="B103" s="4">
        <v>13820</v>
      </c>
      <c r="H103" s="5">
        <v>1840</v>
      </c>
      <c r="M103" s="4">
        <v>12940</v>
      </c>
      <c r="N103" s="1">
        <f>SUM(N100:N102)</f>
        <v>1862180</v>
      </c>
    </row>
    <row r="104" spans="2:13" ht="13.5" thickBot="1">
      <c r="B104" s="4">
        <v>10500</v>
      </c>
      <c r="H104" s="5">
        <f>SUM(H100:H103)</f>
        <v>7500</v>
      </c>
      <c r="M104" s="4">
        <v>2580</v>
      </c>
    </row>
    <row r="105" spans="2:13" ht="12.75">
      <c r="B105" s="4">
        <v>8060</v>
      </c>
      <c r="M105" s="4">
        <v>7500</v>
      </c>
    </row>
    <row r="106" spans="2:13" ht="13.5" thickBot="1">
      <c r="B106" s="5">
        <v>12160</v>
      </c>
      <c r="M106" s="4">
        <v>229100</v>
      </c>
    </row>
    <row r="107" spans="2:13" ht="13.5" thickBot="1">
      <c r="B107" s="1">
        <f>SUM(B100:B106)</f>
        <v>81220</v>
      </c>
      <c r="M107" s="5">
        <v>1488140</v>
      </c>
    </row>
    <row r="108" spans="6:13" ht="13.5" thickBot="1">
      <c r="F108" s="28" t="s">
        <v>22</v>
      </c>
      <c r="M108" s="1">
        <f>SUM(M100:M107)</f>
        <v>1849580</v>
      </c>
    </row>
    <row r="111" ht="12.75">
      <c r="A111" s="2">
        <v>40756</v>
      </c>
    </row>
    <row r="112" ht="13.5" thickBot="1"/>
    <row r="113" spans="2:15" ht="13.5" thickBot="1">
      <c r="B113" s="15" t="s">
        <v>0</v>
      </c>
      <c r="C113" s="16" t="s">
        <v>1</v>
      </c>
      <c r="D113" s="17" t="s">
        <v>2</v>
      </c>
      <c r="E113" s="18" t="s">
        <v>3</v>
      </c>
      <c r="F113" s="19" t="s">
        <v>4</v>
      </c>
      <c r="G113" s="20" t="s">
        <v>5</v>
      </c>
      <c r="H113" s="33" t="s">
        <v>6</v>
      </c>
      <c r="I113" s="22" t="s">
        <v>7</v>
      </c>
      <c r="J113" s="23" t="s">
        <v>8</v>
      </c>
      <c r="K113" s="24" t="s">
        <v>9</v>
      </c>
      <c r="L113" s="27" t="s">
        <v>14</v>
      </c>
      <c r="M113" s="1" t="s">
        <v>13</v>
      </c>
      <c r="N113" s="1" t="s">
        <v>11</v>
      </c>
      <c r="O113" s="32" t="s">
        <v>20</v>
      </c>
    </row>
    <row r="114" spans="2:15" ht="13.5" thickBot="1">
      <c r="B114" s="3">
        <v>12520</v>
      </c>
      <c r="C114" s="7">
        <v>2120</v>
      </c>
      <c r="D114" s="3">
        <v>320</v>
      </c>
      <c r="E114" s="3">
        <v>5360</v>
      </c>
      <c r="F114" s="3">
        <v>8040</v>
      </c>
      <c r="G114" s="9">
        <v>2500</v>
      </c>
      <c r="H114" s="3">
        <v>2000</v>
      </c>
      <c r="I114" s="1"/>
      <c r="J114" s="26">
        <v>265400</v>
      </c>
      <c r="K114" s="26">
        <v>3119560</v>
      </c>
      <c r="L114" s="9"/>
      <c r="M114" s="10">
        <v>152520</v>
      </c>
      <c r="N114" s="10">
        <v>3586180</v>
      </c>
      <c r="O114" s="34"/>
    </row>
    <row r="115" spans="2:14" ht="13.5" thickBot="1">
      <c r="B115" s="4">
        <v>13580</v>
      </c>
      <c r="C115" s="6">
        <v>2560</v>
      </c>
      <c r="D115" s="4">
        <v>6240</v>
      </c>
      <c r="E115" s="4">
        <v>5240</v>
      </c>
      <c r="F115" s="4">
        <v>6260</v>
      </c>
      <c r="H115" s="4">
        <v>1300</v>
      </c>
      <c r="M115" s="4">
        <v>6340</v>
      </c>
      <c r="N115" s="5">
        <v>17260</v>
      </c>
    </row>
    <row r="116" spans="2:14" ht="13.5" thickBot="1">
      <c r="B116" s="4">
        <v>13580</v>
      </c>
      <c r="C116" s="8">
        <v>1660</v>
      </c>
      <c r="D116" s="4">
        <v>4860</v>
      </c>
      <c r="E116" s="5">
        <v>2940</v>
      </c>
      <c r="F116" s="5">
        <v>5280</v>
      </c>
      <c r="H116" s="4">
        <v>1600</v>
      </c>
      <c r="M116" s="4">
        <v>13540</v>
      </c>
      <c r="N116" s="1">
        <f>SUM(N114:N115)</f>
        <v>3603440</v>
      </c>
    </row>
    <row r="117" spans="2:13" ht="13.5" thickBot="1">
      <c r="B117" s="4">
        <v>10580</v>
      </c>
      <c r="C117" s="8">
        <f>SUM(C114:C116)</f>
        <v>6340</v>
      </c>
      <c r="D117" s="5">
        <v>5840</v>
      </c>
      <c r="E117" s="5">
        <f>SUM(E114:E116)</f>
        <v>13540</v>
      </c>
      <c r="F117" s="5">
        <f>SUM(F114:F116)</f>
        <v>19580</v>
      </c>
      <c r="H117" s="5">
        <v>1840</v>
      </c>
      <c r="M117" s="4">
        <v>19580</v>
      </c>
    </row>
    <row r="118" spans="2:13" ht="13.5" thickBot="1">
      <c r="B118" s="4">
        <v>11900</v>
      </c>
      <c r="D118" s="5">
        <f>SUM(D114:D117)</f>
        <v>17260</v>
      </c>
      <c r="H118" s="5">
        <f>SUM(H114:H117)</f>
        <v>6740</v>
      </c>
      <c r="M118" s="4">
        <v>2500</v>
      </c>
    </row>
    <row r="119" spans="2:13" ht="12.75">
      <c r="B119" s="4">
        <v>11100</v>
      </c>
      <c r="M119" s="4">
        <v>6740</v>
      </c>
    </row>
    <row r="120" spans="2:13" ht="12.75">
      <c r="B120" s="4">
        <v>9260</v>
      </c>
      <c r="M120" s="4">
        <v>265400</v>
      </c>
    </row>
    <row r="121" spans="2:13" ht="13.5" thickBot="1">
      <c r="B121" s="4">
        <v>14860</v>
      </c>
      <c r="M121" s="5">
        <v>3119560</v>
      </c>
    </row>
    <row r="122" spans="2:13" ht="13.5" thickBot="1">
      <c r="B122" s="4">
        <v>8020</v>
      </c>
      <c r="M122" s="5">
        <f>SUM(M114:M121)</f>
        <v>3586180</v>
      </c>
    </row>
    <row r="123" spans="2:7" ht="12.75">
      <c r="B123" s="4">
        <v>10080</v>
      </c>
      <c r="G123" s="28" t="s">
        <v>23</v>
      </c>
    </row>
    <row r="124" ht="12.75">
      <c r="B124" s="4">
        <v>15060</v>
      </c>
    </row>
    <row r="125" ht="12.75">
      <c r="B125" s="4">
        <v>8500</v>
      </c>
    </row>
    <row r="126" ht="13.5" thickBot="1">
      <c r="B126" s="5">
        <v>13480</v>
      </c>
    </row>
    <row r="127" ht="13.5" thickBot="1">
      <c r="B127" s="5">
        <f>SUM(B114:B126)</f>
        <v>152520</v>
      </c>
    </row>
    <row r="129" spans="1:3" ht="12.75">
      <c r="A129" s="2">
        <v>40787</v>
      </c>
      <c r="C129" t="s">
        <v>24</v>
      </c>
    </row>
    <row r="130" ht="13.5" thickBot="1"/>
    <row r="131" spans="2:15" ht="13.5" thickBot="1">
      <c r="B131" s="35" t="s">
        <v>0</v>
      </c>
      <c r="C131" s="39" t="s">
        <v>1</v>
      </c>
      <c r="D131" s="42" t="s">
        <v>2</v>
      </c>
      <c r="E131" s="43" t="s">
        <v>3</v>
      </c>
      <c r="F131" s="45" t="s">
        <v>4</v>
      </c>
      <c r="G131" s="46" t="s">
        <v>5</v>
      </c>
      <c r="H131" s="47" t="s">
        <v>6</v>
      </c>
      <c r="I131" s="48" t="s">
        <v>7</v>
      </c>
      <c r="J131" s="23" t="s">
        <v>8</v>
      </c>
      <c r="K131" s="24" t="s">
        <v>9</v>
      </c>
      <c r="L131" s="49" t="s">
        <v>14</v>
      </c>
      <c r="M131" s="1" t="s">
        <v>13</v>
      </c>
      <c r="N131" s="1" t="s">
        <v>11</v>
      </c>
      <c r="O131" s="50" t="s">
        <v>20</v>
      </c>
    </row>
    <row r="132" spans="2:15" ht="13.5" thickBot="1">
      <c r="B132" s="36">
        <v>13940</v>
      </c>
      <c r="C132" s="40">
        <v>2020</v>
      </c>
      <c r="D132" s="36">
        <v>4720</v>
      </c>
      <c r="E132" s="44">
        <v>1520</v>
      </c>
      <c r="F132" s="36">
        <v>7480</v>
      </c>
      <c r="G132" s="44">
        <v>2460</v>
      </c>
      <c r="H132" s="36">
        <v>1540</v>
      </c>
      <c r="I132" s="44">
        <v>0</v>
      </c>
      <c r="J132" s="26">
        <v>313180</v>
      </c>
      <c r="K132" s="26">
        <v>4704960</v>
      </c>
      <c r="L132" s="52">
        <v>0</v>
      </c>
      <c r="M132" s="10">
        <v>112640</v>
      </c>
      <c r="N132" s="10">
        <v>5164380</v>
      </c>
      <c r="O132" s="51">
        <v>0</v>
      </c>
    </row>
    <row r="133" spans="2:14" ht="13.5" thickBot="1">
      <c r="B133" s="37">
        <v>7020</v>
      </c>
      <c r="C133" s="41">
        <v>1220</v>
      </c>
      <c r="D133" s="37">
        <v>2120</v>
      </c>
      <c r="F133" s="37">
        <v>5020</v>
      </c>
      <c r="H133" s="37">
        <v>1420</v>
      </c>
      <c r="M133" s="4">
        <v>3240</v>
      </c>
      <c r="N133" s="5">
        <v>9948</v>
      </c>
    </row>
    <row r="134" spans="2:14" ht="13.5" thickBot="1">
      <c r="B134" s="37">
        <v>13380</v>
      </c>
      <c r="C134" s="41">
        <f>SUM(C132:C133)</f>
        <v>3240</v>
      </c>
      <c r="D134" s="37">
        <v>4580</v>
      </c>
      <c r="F134" s="38">
        <v>7780</v>
      </c>
      <c r="H134" s="37">
        <v>1560</v>
      </c>
      <c r="M134" s="4">
        <v>1520</v>
      </c>
      <c r="N134" s="1">
        <f>SUM(N132:N133)</f>
        <v>5174328</v>
      </c>
    </row>
    <row r="135" spans="2:13" ht="12.75">
      <c r="B135" s="37">
        <v>8960</v>
      </c>
      <c r="D135" s="38">
        <v>5160</v>
      </c>
      <c r="F135" s="38">
        <f>SUM(F132:F134)</f>
        <v>20280</v>
      </c>
      <c r="H135" s="38">
        <v>1580</v>
      </c>
      <c r="M135" s="4">
        <v>20280</v>
      </c>
    </row>
    <row r="136" spans="2:13" ht="12.75">
      <c r="B136" s="37">
        <v>11220</v>
      </c>
      <c r="D136" s="38">
        <f>SUM(D132:D135)</f>
        <v>16580</v>
      </c>
      <c r="H136" s="38">
        <f>SUM(H132:H135)</f>
        <v>6100</v>
      </c>
      <c r="M136" s="4">
        <v>2460</v>
      </c>
    </row>
    <row r="137" spans="2:13" ht="13.5" thickBot="1">
      <c r="B137" s="37">
        <v>12840</v>
      </c>
      <c r="D137" t="s">
        <v>25</v>
      </c>
      <c r="M137" s="4">
        <v>6100</v>
      </c>
    </row>
    <row r="138" spans="2:13" ht="13.5" thickBot="1">
      <c r="B138" s="37">
        <v>8360</v>
      </c>
      <c r="D138" s="1">
        <v>9948</v>
      </c>
      <c r="M138" s="4">
        <v>313180</v>
      </c>
    </row>
    <row r="139" spans="2:13" ht="13.5" thickBot="1">
      <c r="B139" s="37">
        <v>9380</v>
      </c>
      <c r="M139" s="5">
        <v>4704960</v>
      </c>
    </row>
    <row r="140" spans="2:13" ht="13.5" thickBot="1">
      <c r="B140" s="37">
        <v>16560</v>
      </c>
      <c r="M140" s="5">
        <f>SUM(M132:M139)</f>
        <v>5164380</v>
      </c>
    </row>
    <row r="141" ht="12.75">
      <c r="B141" s="38">
        <v>10980</v>
      </c>
    </row>
    <row r="142" ht="12.75">
      <c r="B142" s="38">
        <f>SUM(B132:B141)</f>
        <v>112640</v>
      </c>
    </row>
    <row r="144" ht="12.75">
      <c r="G144" s="28" t="s">
        <v>26</v>
      </c>
    </row>
    <row r="145" ht="12.75">
      <c r="A145" s="2">
        <v>40817</v>
      </c>
    </row>
    <row r="146" ht="13.5" thickBot="1"/>
    <row r="147" spans="2:15" ht="13.5" thickBot="1">
      <c r="B147" s="15" t="s">
        <v>0</v>
      </c>
      <c r="C147" s="16" t="s">
        <v>1</v>
      </c>
      <c r="D147" s="17" t="s">
        <v>2</v>
      </c>
      <c r="E147" s="18" t="s">
        <v>3</v>
      </c>
      <c r="F147" s="19" t="s">
        <v>4</v>
      </c>
      <c r="G147" s="20" t="s">
        <v>5</v>
      </c>
      <c r="H147" s="33" t="s">
        <v>6</v>
      </c>
      <c r="I147" s="22" t="s">
        <v>7</v>
      </c>
      <c r="J147" s="23" t="s">
        <v>8</v>
      </c>
      <c r="K147" s="24" t="s">
        <v>9</v>
      </c>
      <c r="L147" s="27" t="s">
        <v>14</v>
      </c>
      <c r="M147" s="1" t="s">
        <v>13</v>
      </c>
      <c r="N147" s="1" t="s">
        <v>11</v>
      </c>
      <c r="O147" s="32" t="s">
        <v>20</v>
      </c>
    </row>
    <row r="148" spans="2:15" ht="13.5" thickBot="1">
      <c r="B148" s="3">
        <v>8600</v>
      </c>
      <c r="C148" s="7">
        <v>2140</v>
      </c>
      <c r="D148" s="3">
        <v>5060</v>
      </c>
      <c r="E148" s="9">
        <v>1180</v>
      </c>
      <c r="F148" s="3">
        <v>4220</v>
      </c>
      <c r="G148" s="9"/>
      <c r="H148" s="3">
        <v>1820</v>
      </c>
      <c r="I148" s="1"/>
      <c r="J148" s="26">
        <v>473540</v>
      </c>
      <c r="K148" s="26">
        <v>2796880</v>
      </c>
      <c r="L148" s="9">
        <v>620</v>
      </c>
      <c r="M148" s="10">
        <v>140560</v>
      </c>
      <c r="N148" s="10">
        <v>3439941</v>
      </c>
      <c r="O148" s="1"/>
    </row>
    <row r="149" spans="2:14" ht="13.5" thickBot="1">
      <c r="B149" s="4">
        <v>10860</v>
      </c>
      <c r="C149" s="8">
        <v>1880</v>
      </c>
      <c r="D149" s="4">
        <v>20</v>
      </c>
      <c r="F149" s="4">
        <v>8040</v>
      </c>
      <c r="H149" s="5">
        <v>1921</v>
      </c>
      <c r="M149" s="4">
        <v>4020</v>
      </c>
      <c r="N149" s="5">
        <v>12192</v>
      </c>
    </row>
    <row r="150" spans="2:14" ht="13.5" thickBot="1">
      <c r="B150" s="4">
        <v>12840</v>
      </c>
      <c r="C150" s="8">
        <f>SUM(C148:C149)</f>
        <v>4020</v>
      </c>
      <c r="D150" s="4">
        <v>8240</v>
      </c>
      <c r="F150" s="5">
        <v>7760</v>
      </c>
      <c r="H150" s="5">
        <f>SUM(H148:H149)</f>
        <v>3741</v>
      </c>
      <c r="M150" s="4">
        <v>1180</v>
      </c>
      <c r="N150" s="5">
        <f>SUM(N148:N149)</f>
        <v>3452133</v>
      </c>
    </row>
    <row r="151" spans="2:13" ht="13.5" thickBot="1">
      <c r="B151" s="4">
        <v>15280</v>
      </c>
      <c r="D151" s="4">
        <v>2100</v>
      </c>
      <c r="F151" s="5">
        <f>SUM(F148:F150)</f>
        <v>20020</v>
      </c>
      <c r="M151" s="4">
        <v>20020</v>
      </c>
    </row>
    <row r="152" spans="2:13" ht="13.5" thickBot="1">
      <c r="B152" s="4">
        <v>7680</v>
      </c>
      <c r="D152" s="5">
        <v>4900</v>
      </c>
      <c r="M152" s="4">
        <v>3741</v>
      </c>
    </row>
    <row r="153" spans="2:13" ht="13.5" thickBot="1">
      <c r="B153" s="4">
        <v>14980</v>
      </c>
      <c r="D153" s="5">
        <f>SUM(D148:D152)</f>
        <v>20320</v>
      </c>
      <c r="M153" s="4">
        <v>473540</v>
      </c>
    </row>
    <row r="154" spans="2:13" ht="13.5" thickBot="1">
      <c r="B154" s="4">
        <v>15320</v>
      </c>
      <c r="D154" t="s">
        <v>27</v>
      </c>
      <c r="M154" s="12">
        <v>2796880</v>
      </c>
    </row>
    <row r="155" spans="2:13" ht="13.5" thickBot="1">
      <c r="B155" s="4">
        <v>14020</v>
      </c>
      <c r="D155" s="1">
        <v>12192</v>
      </c>
      <c r="M155" s="5">
        <f>SUM(M148:M154)</f>
        <v>3439941</v>
      </c>
    </row>
    <row r="156" ht="12.75">
      <c r="B156" s="4">
        <v>10900</v>
      </c>
    </row>
    <row r="157" ht="12.75">
      <c r="B157" s="4">
        <v>15620</v>
      </c>
    </row>
    <row r="158" ht="13.5" thickBot="1">
      <c r="B158" s="5">
        <v>14460</v>
      </c>
    </row>
    <row r="159" ht="13.5" thickBot="1">
      <c r="B159" s="5">
        <f>SUM(B148:B158)</f>
        <v>140560</v>
      </c>
    </row>
    <row r="161" ht="12.75">
      <c r="G161" s="28" t="s">
        <v>28</v>
      </c>
    </row>
    <row r="164" ht="12.75">
      <c r="A164" s="2">
        <v>40848</v>
      </c>
    </row>
    <row r="166" ht="13.5" thickBot="1"/>
    <row r="167" spans="2:16" ht="13.5" thickBot="1">
      <c r="B167" s="53" t="s">
        <v>40</v>
      </c>
      <c r="C167" s="15" t="s">
        <v>0</v>
      </c>
      <c r="D167" s="16" t="s">
        <v>1</v>
      </c>
      <c r="E167" s="17" t="s">
        <v>2</v>
      </c>
      <c r="F167" s="18" t="s">
        <v>3</v>
      </c>
      <c r="G167" s="19" t="s">
        <v>4</v>
      </c>
      <c r="H167" s="20" t="s">
        <v>5</v>
      </c>
      <c r="I167" s="33" t="s">
        <v>6</v>
      </c>
      <c r="J167" s="22" t="s">
        <v>7</v>
      </c>
      <c r="K167" s="23" t="s">
        <v>8</v>
      </c>
      <c r="L167" s="24" t="s">
        <v>9</v>
      </c>
      <c r="M167" s="27" t="s">
        <v>14</v>
      </c>
      <c r="N167" s="1" t="s">
        <v>13</v>
      </c>
      <c r="O167" s="1" t="s">
        <v>11</v>
      </c>
      <c r="P167" s="32" t="s">
        <v>20</v>
      </c>
    </row>
    <row r="168" spans="2:16" ht="13.5" thickBot="1">
      <c r="B168" s="9">
        <v>2400</v>
      </c>
      <c r="C168" s="3">
        <v>10720</v>
      </c>
      <c r="D168" s="3">
        <v>3560</v>
      </c>
      <c r="E168" s="3">
        <v>4640</v>
      </c>
      <c r="F168" s="9">
        <v>3440</v>
      </c>
      <c r="G168" s="3">
        <v>4920</v>
      </c>
      <c r="H168" s="7">
        <v>2800</v>
      </c>
      <c r="I168" s="3">
        <v>2460</v>
      </c>
      <c r="J168" s="1"/>
      <c r="K168" s="1">
        <v>578030</v>
      </c>
      <c r="L168" s="1">
        <v>2724040</v>
      </c>
      <c r="M168" s="9"/>
      <c r="N168" s="10">
        <v>2400</v>
      </c>
      <c r="O168" s="10">
        <v>3479150</v>
      </c>
      <c r="P168" s="34"/>
    </row>
    <row r="169" spans="3:15" ht="13.5" thickBot="1">
      <c r="C169" s="4">
        <v>14280</v>
      </c>
      <c r="D169" s="4">
        <v>2340</v>
      </c>
      <c r="E169" s="4">
        <v>4440</v>
      </c>
      <c r="G169" s="4">
        <v>10520</v>
      </c>
      <c r="H169" s="8">
        <v>2000</v>
      </c>
      <c r="I169" s="4">
        <v>2220</v>
      </c>
      <c r="N169" s="4">
        <v>128140</v>
      </c>
      <c r="O169" s="5">
        <v>5736</v>
      </c>
    </row>
    <row r="170" spans="3:15" ht="13.5" thickBot="1">
      <c r="C170" s="4">
        <v>11100</v>
      </c>
      <c r="D170" s="5">
        <v>1940</v>
      </c>
      <c r="E170" s="5">
        <v>480</v>
      </c>
      <c r="G170" s="5">
        <v>9180</v>
      </c>
      <c r="H170" s="9">
        <f>SUM(H168:H169)</f>
        <v>4800</v>
      </c>
      <c r="I170" s="4">
        <v>2320</v>
      </c>
      <c r="N170" s="4">
        <v>7840</v>
      </c>
      <c r="O170" s="5">
        <f>SUM(O168:O169)</f>
        <v>3484886</v>
      </c>
    </row>
    <row r="171" spans="3:14" ht="13.5" thickBot="1">
      <c r="C171" s="4">
        <v>16360</v>
      </c>
      <c r="D171" s="5">
        <f>SUM(D168:D170)</f>
        <v>7840</v>
      </c>
      <c r="E171" s="1">
        <f>SUM(E168:E170)</f>
        <v>9560</v>
      </c>
      <c r="G171" s="1">
        <f>SUM(G168:G170)</f>
        <v>24620</v>
      </c>
      <c r="I171" s="5">
        <v>2280</v>
      </c>
      <c r="N171" s="4">
        <v>24620</v>
      </c>
    </row>
    <row r="172" spans="3:14" ht="13.5" thickBot="1">
      <c r="C172" s="4">
        <v>11900</v>
      </c>
      <c r="E172" t="s">
        <v>41</v>
      </c>
      <c r="I172" s="5">
        <f>SUM(I168:I171)</f>
        <v>9280</v>
      </c>
      <c r="N172" s="4">
        <v>4800</v>
      </c>
    </row>
    <row r="173" spans="3:14" ht="13.5" thickBot="1">
      <c r="C173" s="4">
        <v>14840</v>
      </c>
      <c r="E173" s="1">
        <v>5736</v>
      </c>
      <c r="N173" s="4">
        <v>9280</v>
      </c>
    </row>
    <row r="174" spans="3:14" ht="12.75">
      <c r="C174" s="4">
        <v>10720</v>
      </c>
      <c r="N174" s="4">
        <v>578030</v>
      </c>
    </row>
    <row r="175" spans="3:14" ht="13.5" thickBot="1">
      <c r="C175" s="4">
        <v>14060</v>
      </c>
      <c r="N175" s="5">
        <v>2724040</v>
      </c>
    </row>
    <row r="176" spans="3:14" ht="13.5" thickBot="1">
      <c r="C176" s="4">
        <v>13760</v>
      </c>
      <c r="N176" s="5">
        <f>SUM(N168:N175)</f>
        <v>3479150</v>
      </c>
    </row>
    <row r="177" ht="13.5" thickBot="1">
      <c r="C177" s="5">
        <v>10400</v>
      </c>
    </row>
    <row r="178" ht="13.5" thickBot="1">
      <c r="C178" s="5">
        <f>SUM(C168:C177)</f>
        <v>128140</v>
      </c>
    </row>
    <row r="180" ht="12.75">
      <c r="G180" s="28" t="s">
        <v>42</v>
      </c>
    </row>
    <row r="183" ht="12.75">
      <c r="A183" s="2">
        <v>40878</v>
      </c>
    </row>
    <row r="184" ht="13.5" thickBot="1"/>
    <row r="185" spans="2:16" ht="13.5" thickBot="1">
      <c r="B185" s="54" t="s">
        <v>40</v>
      </c>
      <c r="C185" s="15" t="s">
        <v>0</v>
      </c>
      <c r="D185" s="16" t="s">
        <v>1</v>
      </c>
      <c r="E185" s="17" t="s">
        <v>2</v>
      </c>
      <c r="F185" s="18" t="s">
        <v>3</v>
      </c>
      <c r="G185" s="19" t="s">
        <v>4</v>
      </c>
      <c r="H185" s="20" t="s">
        <v>5</v>
      </c>
      <c r="I185" s="33" t="s">
        <v>6</v>
      </c>
      <c r="J185" s="22" t="s">
        <v>7</v>
      </c>
      <c r="K185" s="23" t="s">
        <v>8</v>
      </c>
      <c r="L185" s="24" t="s">
        <v>9</v>
      </c>
      <c r="M185" s="27" t="s">
        <v>14</v>
      </c>
      <c r="N185" s="1" t="s">
        <v>13</v>
      </c>
      <c r="O185" s="1" t="s">
        <v>11</v>
      </c>
      <c r="P185" s="32" t="s">
        <v>20</v>
      </c>
    </row>
    <row r="186" spans="2:15" ht="13.5" thickBot="1">
      <c r="B186" s="9"/>
      <c r="C186" s="3">
        <v>10400</v>
      </c>
      <c r="D186" s="7">
        <v>1940</v>
      </c>
      <c r="E186" s="3">
        <v>6800</v>
      </c>
      <c r="F186" s="7">
        <v>4160</v>
      </c>
      <c r="G186" s="3">
        <v>9180</v>
      </c>
      <c r="H186" s="9">
        <v>2140</v>
      </c>
      <c r="I186" s="3">
        <v>2280</v>
      </c>
      <c r="J186" s="1"/>
      <c r="K186" s="1">
        <v>488805</v>
      </c>
      <c r="L186" s="9">
        <v>1669360</v>
      </c>
      <c r="M186" s="7">
        <v>640</v>
      </c>
      <c r="N186" s="10">
        <v>116020</v>
      </c>
      <c r="O186" s="56">
        <v>2318085</v>
      </c>
    </row>
    <row r="187" spans="3:15" ht="13.5" thickBot="1">
      <c r="C187" s="4">
        <v>15120</v>
      </c>
      <c r="D187" s="8">
        <v>1540</v>
      </c>
      <c r="E187" s="4">
        <v>4960</v>
      </c>
      <c r="F187" s="8">
        <v>6400</v>
      </c>
      <c r="G187" s="4">
        <v>7760</v>
      </c>
      <c r="I187" s="5">
        <v>2380</v>
      </c>
      <c r="M187" s="8">
        <v>260</v>
      </c>
      <c r="N187" s="4">
        <v>3480</v>
      </c>
      <c r="O187" s="57">
        <v>7668</v>
      </c>
    </row>
    <row r="188" spans="3:15" ht="13.5" thickBot="1">
      <c r="C188" s="4">
        <v>11840</v>
      </c>
      <c r="D188" s="1">
        <f>SUM(D186:D187)</f>
        <v>3480</v>
      </c>
      <c r="E188" s="5">
        <v>1020</v>
      </c>
      <c r="F188" s="1">
        <f>SUM(F186:F187)</f>
        <v>10560</v>
      </c>
      <c r="G188" s="5">
        <v>6120</v>
      </c>
      <c r="I188" s="1">
        <f>SUM(I186:I187)</f>
        <v>4660</v>
      </c>
      <c r="M188" s="8">
        <f>SUM(M186:M187)</f>
        <v>900</v>
      </c>
      <c r="N188" s="4">
        <v>10560</v>
      </c>
      <c r="O188" s="1">
        <f>SUM(O186:O187)</f>
        <v>2325753</v>
      </c>
    </row>
    <row r="189" spans="3:14" ht="13.5" thickBot="1">
      <c r="C189" s="4">
        <v>15300</v>
      </c>
      <c r="E189" s="1">
        <f>SUM(E186:E188)</f>
        <v>12780</v>
      </c>
      <c r="G189" s="1">
        <f>SUM(G186:G188)</f>
        <v>23060</v>
      </c>
      <c r="N189" s="4">
        <v>23060</v>
      </c>
    </row>
    <row r="190" spans="3:14" ht="13.5" thickBot="1">
      <c r="C190" s="4">
        <v>12520</v>
      </c>
      <c r="E190" t="s">
        <v>41</v>
      </c>
      <c r="N190" s="4">
        <v>2140</v>
      </c>
    </row>
    <row r="191" spans="3:14" ht="13.5" thickBot="1">
      <c r="C191" s="4">
        <v>12480</v>
      </c>
      <c r="E191" s="1">
        <v>7668</v>
      </c>
      <c r="N191" s="4">
        <v>4660</v>
      </c>
    </row>
    <row r="192" spans="3:14" ht="12.75">
      <c r="C192" s="4">
        <v>14620</v>
      </c>
      <c r="N192" s="4">
        <v>488805</v>
      </c>
    </row>
    <row r="193" spans="3:14" ht="13.5" thickBot="1">
      <c r="C193" s="4">
        <v>13300</v>
      </c>
      <c r="N193" s="5">
        <v>1669360</v>
      </c>
    </row>
    <row r="194" spans="3:14" ht="13.5" thickBot="1">
      <c r="C194" s="5">
        <v>10440</v>
      </c>
      <c r="N194" s="5">
        <f>SUM(N186:N193)</f>
        <v>2318085</v>
      </c>
    </row>
    <row r="195" ht="13.5" thickBot="1">
      <c r="C195" s="1">
        <f>SUM(C186:C194)</f>
        <v>116020</v>
      </c>
    </row>
    <row r="198" ht="12.75">
      <c r="G198" s="28" t="s">
        <v>43</v>
      </c>
    </row>
    <row r="200" ht="12.75">
      <c r="G200" s="28" t="s">
        <v>47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Y210"/>
  <sheetViews>
    <sheetView zoomScale="75" zoomScaleNormal="75" zoomScalePageLayoutView="0" workbookViewId="0" topLeftCell="C178">
      <selection activeCell="U213" sqref="U213"/>
    </sheetView>
  </sheetViews>
  <sheetFormatPr defaultColWidth="9.140625" defaultRowHeight="12.75"/>
  <cols>
    <col min="1" max="1" width="9.28125" style="0" bestFit="1" customWidth="1"/>
    <col min="2" max="2" width="11.140625" style="0" bestFit="1" customWidth="1"/>
    <col min="3" max="14" width="9.28125" style="0" bestFit="1" customWidth="1"/>
    <col min="15" max="15" width="12.140625" style="0" customWidth="1"/>
    <col min="16" max="16" width="12.00390625" style="0" customWidth="1"/>
    <col min="17" max="17" width="15.140625" style="0" customWidth="1"/>
    <col min="19" max="19" width="12.8515625" style="0" customWidth="1"/>
    <col min="20" max="20" width="13.00390625" style="0" customWidth="1"/>
    <col min="21" max="21" width="12.57421875" style="0" customWidth="1"/>
    <col min="22" max="22" width="14.140625" style="0" customWidth="1"/>
    <col min="23" max="23" width="11.57421875" style="0" customWidth="1"/>
    <col min="24" max="24" width="13.00390625" style="0" customWidth="1"/>
    <col min="25" max="25" width="13.140625" style="0" customWidth="1"/>
  </cols>
  <sheetData>
    <row r="1" ht="13.5" thickBot="1"/>
    <row r="2" spans="1:6" ht="13.5" thickBot="1">
      <c r="A2" s="29" t="s">
        <v>16</v>
      </c>
      <c r="B2" s="30"/>
      <c r="C2" s="30"/>
      <c r="D2" s="31"/>
      <c r="F2" t="s">
        <v>49</v>
      </c>
    </row>
    <row r="4" ht="12.75">
      <c r="A4" s="2">
        <v>40909</v>
      </c>
    </row>
    <row r="5" ht="13.5" thickBot="1"/>
    <row r="6" spans="2:18" ht="13.5" thickBot="1">
      <c r="B6" s="15" t="s">
        <v>0</v>
      </c>
      <c r="C6" s="16" t="s">
        <v>1</v>
      </c>
      <c r="D6" s="17" t="s">
        <v>2</v>
      </c>
      <c r="E6" s="43" t="s">
        <v>3</v>
      </c>
      <c r="F6" s="45" t="s">
        <v>4</v>
      </c>
      <c r="G6" s="20" t="s">
        <v>5</v>
      </c>
      <c r="H6" s="21" t="s">
        <v>6</v>
      </c>
      <c r="I6" s="22" t="s">
        <v>7</v>
      </c>
      <c r="J6" s="23" t="s">
        <v>8</v>
      </c>
      <c r="K6" s="24" t="s">
        <v>9</v>
      </c>
      <c r="L6" s="27" t="s">
        <v>14</v>
      </c>
      <c r="M6" s="3" t="s">
        <v>13</v>
      </c>
      <c r="N6" s="1" t="s">
        <v>11</v>
      </c>
      <c r="O6" s="32" t="s">
        <v>20</v>
      </c>
      <c r="R6" t="s">
        <v>48</v>
      </c>
    </row>
    <row r="7" spans="2:19" ht="13.5" thickBot="1">
      <c r="B7" s="3">
        <v>10180</v>
      </c>
      <c r="C7" s="3">
        <v>1860</v>
      </c>
      <c r="D7" s="3">
        <v>7240</v>
      </c>
      <c r="E7" s="7">
        <v>4460</v>
      </c>
      <c r="F7" s="3">
        <v>5400</v>
      </c>
      <c r="G7" s="68">
        <v>2780</v>
      </c>
      <c r="H7" s="3">
        <v>2320</v>
      </c>
      <c r="I7" s="34">
        <v>0</v>
      </c>
      <c r="J7" s="1">
        <v>187880</v>
      </c>
      <c r="K7" s="9">
        <v>1922900</v>
      </c>
      <c r="L7" s="7">
        <v>0</v>
      </c>
      <c r="M7" s="10">
        <v>101580</v>
      </c>
      <c r="N7" s="59">
        <v>2260880</v>
      </c>
      <c r="O7" s="34">
        <v>0</v>
      </c>
      <c r="R7" t="s">
        <v>30</v>
      </c>
      <c r="S7" s="3">
        <v>99.64</v>
      </c>
    </row>
    <row r="8" spans="2:19" ht="13.5" thickBot="1">
      <c r="B8" s="4">
        <v>14120</v>
      </c>
      <c r="C8" s="4">
        <v>2500</v>
      </c>
      <c r="D8" s="4">
        <v>3960</v>
      </c>
      <c r="E8" s="14">
        <v>520</v>
      </c>
      <c r="F8" s="4">
        <v>8200</v>
      </c>
      <c r="G8" s="69"/>
      <c r="H8" s="4">
        <v>2260</v>
      </c>
      <c r="L8" s="8"/>
      <c r="M8" s="4">
        <v>5980</v>
      </c>
      <c r="N8" s="57">
        <v>8112</v>
      </c>
      <c r="R8" t="s">
        <v>31</v>
      </c>
      <c r="S8" s="4">
        <v>99.79</v>
      </c>
    </row>
    <row r="9" spans="2:19" ht="13.5" thickBot="1">
      <c r="B9" s="4">
        <v>11080</v>
      </c>
      <c r="C9" s="5">
        <v>1620</v>
      </c>
      <c r="D9" s="5">
        <v>2320</v>
      </c>
      <c r="E9" s="9">
        <f>SUM(E7:E8)</f>
        <v>4980</v>
      </c>
      <c r="F9" s="4">
        <v>9860</v>
      </c>
      <c r="G9" s="70">
        <v>2780</v>
      </c>
      <c r="H9" s="5">
        <v>880</v>
      </c>
      <c r="L9" s="9">
        <v>0</v>
      </c>
      <c r="M9" s="4">
        <v>4980</v>
      </c>
      <c r="N9" s="34">
        <f>SUM(N7:N8)</f>
        <v>2268992</v>
      </c>
      <c r="R9" t="s">
        <v>32</v>
      </c>
      <c r="S9" s="4">
        <v>99.84</v>
      </c>
    </row>
    <row r="10" spans="2:19" ht="13.5" thickBot="1">
      <c r="B10" s="4">
        <v>17180</v>
      </c>
      <c r="C10" s="1">
        <f>SUM(C7:C9)</f>
        <v>5980</v>
      </c>
      <c r="D10" s="1">
        <f>SUM(D7:D9)</f>
        <v>13520</v>
      </c>
      <c r="F10" s="5">
        <v>8540</v>
      </c>
      <c r="H10" s="5">
        <f>SUM(H7:H9)</f>
        <v>5460</v>
      </c>
      <c r="M10" s="4">
        <v>1900</v>
      </c>
      <c r="R10" t="s">
        <v>33</v>
      </c>
      <c r="S10" s="4">
        <v>99.8</v>
      </c>
    </row>
    <row r="11" spans="2:19" ht="13.5" thickBot="1">
      <c r="B11" s="4">
        <v>15380</v>
      </c>
      <c r="D11" s="60">
        <v>-0.4</v>
      </c>
      <c r="E11" s="58" t="s">
        <v>50</v>
      </c>
      <c r="F11" s="1">
        <f>SUM(F7:F10)</f>
        <v>32000</v>
      </c>
      <c r="M11" s="4">
        <v>32000</v>
      </c>
      <c r="R11" t="s">
        <v>34</v>
      </c>
      <c r="S11" s="4">
        <v>99.76</v>
      </c>
    </row>
    <row r="12" spans="2:19" ht="13.5" thickBot="1">
      <c r="B12" s="4">
        <v>10880</v>
      </c>
      <c r="D12" s="1">
        <v>8112</v>
      </c>
      <c r="E12" s="1">
        <v>1900</v>
      </c>
      <c r="M12" s="4">
        <v>2780</v>
      </c>
      <c r="R12" t="s">
        <v>35</v>
      </c>
      <c r="S12" s="4">
        <v>99.66</v>
      </c>
    </row>
    <row r="13" spans="2:19" ht="12.75">
      <c r="B13" s="4">
        <v>10960</v>
      </c>
      <c r="M13" s="4">
        <v>880</v>
      </c>
      <c r="R13" t="s">
        <v>36</v>
      </c>
      <c r="S13" s="4">
        <v>100</v>
      </c>
    </row>
    <row r="14" spans="2:19" ht="13.5" thickBot="1">
      <c r="B14" s="5">
        <v>11800</v>
      </c>
      <c r="G14" t="s">
        <v>51</v>
      </c>
      <c r="M14" s="4">
        <v>187880</v>
      </c>
      <c r="R14" t="s">
        <v>37</v>
      </c>
      <c r="S14" s="4">
        <v>100</v>
      </c>
    </row>
    <row r="15" spans="2:19" ht="13.5" thickBot="1">
      <c r="B15" s="1">
        <f>SUM(B7:B14)</f>
        <v>101580</v>
      </c>
      <c r="M15" s="12">
        <v>1922900</v>
      </c>
      <c r="R15" t="s">
        <v>38</v>
      </c>
      <c r="S15" s="4">
        <v>99.8</v>
      </c>
    </row>
    <row r="16" spans="13:19" ht="13.5" thickBot="1">
      <c r="M16" s="1">
        <f>SUM(M7:M15)</f>
        <v>2260880</v>
      </c>
      <c r="R16" t="s">
        <v>39</v>
      </c>
      <c r="S16" s="4">
        <v>99.8</v>
      </c>
    </row>
    <row r="17" spans="1:19" ht="13.5" thickBot="1">
      <c r="A17" s="2">
        <v>40940</v>
      </c>
      <c r="R17" t="s">
        <v>44</v>
      </c>
      <c r="S17" s="4">
        <v>99.87</v>
      </c>
    </row>
    <row r="18" spans="2:19" ht="13.5" thickBot="1">
      <c r="B18" s="15" t="s">
        <v>0</v>
      </c>
      <c r="C18" s="16" t="s">
        <v>1</v>
      </c>
      <c r="D18" s="17" t="s">
        <v>2</v>
      </c>
      <c r="E18" s="18" t="s">
        <v>3</v>
      </c>
      <c r="F18" s="45" t="s">
        <v>4</v>
      </c>
      <c r="G18" s="20" t="s">
        <v>5</v>
      </c>
      <c r="H18" s="21" t="s">
        <v>6</v>
      </c>
      <c r="I18" s="22" t="s">
        <v>7</v>
      </c>
      <c r="J18" s="23" t="s">
        <v>8</v>
      </c>
      <c r="K18" s="24" t="s">
        <v>9</v>
      </c>
      <c r="L18" s="27" t="s">
        <v>14</v>
      </c>
      <c r="M18" s="1" t="s">
        <v>13</v>
      </c>
      <c r="N18" s="1" t="s">
        <v>11</v>
      </c>
      <c r="O18" s="32" t="s">
        <v>20</v>
      </c>
      <c r="R18" t="s">
        <v>45</v>
      </c>
      <c r="S18" s="5">
        <v>99.5</v>
      </c>
    </row>
    <row r="19" spans="2:19" ht="13.5" thickBot="1">
      <c r="B19" s="3">
        <v>11800</v>
      </c>
      <c r="C19" s="7">
        <v>1940</v>
      </c>
      <c r="D19" s="7">
        <v>6860</v>
      </c>
      <c r="E19" s="7">
        <v>520</v>
      </c>
      <c r="F19" s="3">
        <v>8540</v>
      </c>
      <c r="G19" s="56">
        <v>2180</v>
      </c>
      <c r="H19" s="3">
        <v>1580</v>
      </c>
      <c r="I19" s="1">
        <v>0</v>
      </c>
      <c r="J19" s="1">
        <v>211400</v>
      </c>
      <c r="K19" s="1">
        <v>3080400</v>
      </c>
      <c r="L19" s="9">
        <v>0</v>
      </c>
      <c r="M19" s="10">
        <v>67760</v>
      </c>
      <c r="N19" s="10">
        <v>3398280</v>
      </c>
      <c r="O19" s="34">
        <v>0</v>
      </c>
      <c r="S19" s="5">
        <f>SUM(S7:S18)</f>
        <v>1197.46</v>
      </c>
    </row>
    <row r="20" spans="2:14" ht="13.5" thickBot="1">
      <c r="B20" s="4">
        <v>15420</v>
      </c>
      <c r="C20" s="6">
        <v>2120</v>
      </c>
      <c r="D20" s="6">
        <v>4980</v>
      </c>
      <c r="E20" s="6">
        <v>2200</v>
      </c>
      <c r="F20" s="4">
        <v>4660</v>
      </c>
      <c r="G20" s="61"/>
      <c r="H20" s="5"/>
      <c r="M20" s="4">
        <v>4060</v>
      </c>
      <c r="N20" s="5">
        <v>7104</v>
      </c>
    </row>
    <row r="21" spans="2:19" ht="13.5" thickBot="1">
      <c r="B21" s="4">
        <v>7540</v>
      </c>
      <c r="C21" s="8">
        <v>0</v>
      </c>
      <c r="D21" s="1">
        <f>SUM(D19:D20)</f>
        <v>11840</v>
      </c>
      <c r="E21" s="6">
        <v>3980</v>
      </c>
      <c r="F21" s="5">
        <v>7060</v>
      </c>
      <c r="G21" s="61"/>
      <c r="H21" s="1">
        <v>1580</v>
      </c>
      <c r="M21" s="4">
        <v>10640</v>
      </c>
      <c r="N21" s="1">
        <f>SUM(N19:N20)</f>
        <v>3405384</v>
      </c>
      <c r="R21" t="s">
        <v>79</v>
      </c>
      <c r="S21">
        <v>99.83</v>
      </c>
    </row>
    <row r="22" spans="2:13" ht="13.5" thickBot="1">
      <c r="B22" s="4">
        <v>13060</v>
      </c>
      <c r="C22" s="9">
        <f>SUM(C19:C21)</f>
        <v>4060</v>
      </c>
      <c r="D22" s="62">
        <v>-0.4</v>
      </c>
      <c r="E22" s="11">
        <v>2040</v>
      </c>
      <c r="F22" s="1">
        <f>SUM(F19:F21)</f>
        <v>20260</v>
      </c>
      <c r="G22" s="5"/>
      <c r="M22" s="4">
        <v>20260</v>
      </c>
    </row>
    <row r="23" spans="2:13" ht="13.5" thickBot="1">
      <c r="B23" s="4">
        <v>11780</v>
      </c>
      <c r="D23" s="6"/>
      <c r="E23" s="12">
        <v>1900</v>
      </c>
      <c r="G23" s="1">
        <v>2180</v>
      </c>
      <c r="M23" s="4">
        <v>2180</v>
      </c>
    </row>
    <row r="24" spans="2:13" ht="13.5" thickBot="1">
      <c r="B24" s="4">
        <v>8160</v>
      </c>
      <c r="D24" s="5"/>
      <c r="E24" s="1">
        <f>SUM(E19:E23)</f>
        <v>10640</v>
      </c>
      <c r="M24" s="4">
        <v>1580</v>
      </c>
    </row>
    <row r="25" spans="2:17" ht="13.5" thickBot="1">
      <c r="B25" s="1">
        <f>SUM(B19:B24)</f>
        <v>67760</v>
      </c>
      <c r="D25" s="1">
        <v>7104</v>
      </c>
      <c r="M25" s="4">
        <v>211400</v>
      </c>
      <c r="Q25" s="3" t="s">
        <v>52</v>
      </c>
    </row>
    <row r="26" spans="2:17" ht="12.75">
      <c r="B26" s="55"/>
      <c r="M26" s="4">
        <v>3080400</v>
      </c>
      <c r="Q26" s="3">
        <v>0</v>
      </c>
    </row>
    <row r="27" spans="2:17" ht="13.5" thickBot="1">
      <c r="B27" s="55"/>
      <c r="M27" s="5">
        <v>0</v>
      </c>
      <c r="Q27" s="4">
        <v>0</v>
      </c>
    </row>
    <row r="28" spans="2:17" ht="13.5" thickBot="1">
      <c r="B28" s="55"/>
      <c r="M28" s="1">
        <f>SUM(M19:M26)</f>
        <v>3398280</v>
      </c>
      <c r="Q28" s="4">
        <v>0</v>
      </c>
    </row>
    <row r="29" spans="7:17" ht="12.75">
      <c r="G29" t="s">
        <v>53</v>
      </c>
      <c r="Q29" s="4">
        <v>0</v>
      </c>
    </row>
    <row r="30" ht="12.75">
      <c r="Q30" s="4">
        <v>0</v>
      </c>
    </row>
    <row r="31" ht="12.75">
      <c r="Q31" s="4">
        <v>0</v>
      </c>
    </row>
    <row r="32" spans="1:17" ht="13.5" thickBot="1">
      <c r="A32" s="2">
        <v>40969</v>
      </c>
      <c r="Q32" s="4">
        <v>0</v>
      </c>
    </row>
    <row r="33" spans="2:17" ht="13.5" thickBot="1">
      <c r="B33" s="15" t="s">
        <v>0</v>
      </c>
      <c r="C33" s="16" t="s">
        <v>1</v>
      </c>
      <c r="D33" s="17" t="s">
        <v>2</v>
      </c>
      <c r="E33" s="43" t="s">
        <v>3</v>
      </c>
      <c r="F33" s="45" t="s">
        <v>4</v>
      </c>
      <c r="G33" s="20" t="s">
        <v>5</v>
      </c>
      <c r="H33" s="21" t="s">
        <v>6</v>
      </c>
      <c r="I33" s="22" t="s">
        <v>7</v>
      </c>
      <c r="J33" s="23" t="s">
        <v>8</v>
      </c>
      <c r="K33" s="24" t="s">
        <v>9</v>
      </c>
      <c r="L33" s="27" t="s">
        <v>14</v>
      </c>
      <c r="M33" s="1" t="s">
        <v>10</v>
      </c>
      <c r="N33" s="1" t="s">
        <v>11</v>
      </c>
      <c r="O33" s="32" t="s">
        <v>20</v>
      </c>
      <c r="Q33" s="4">
        <v>856</v>
      </c>
    </row>
    <row r="34" spans="2:17" ht="13.5" thickBot="1">
      <c r="B34" s="3">
        <v>11520</v>
      </c>
      <c r="C34" s="7">
        <v>1960</v>
      </c>
      <c r="D34" s="7">
        <v>4860</v>
      </c>
      <c r="E34" s="64">
        <v>1040</v>
      </c>
      <c r="F34" s="64">
        <v>6980</v>
      </c>
      <c r="G34" s="59">
        <v>270</v>
      </c>
      <c r="H34" s="10">
        <v>1680</v>
      </c>
      <c r="I34" s="25">
        <v>0</v>
      </c>
      <c r="J34" s="10">
        <v>338660</v>
      </c>
      <c r="K34" s="10">
        <v>3318250</v>
      </c>
      <c r="L34" s="9">
        <v>0</v>
      </c>
      <c r="M34" s="10">
        <v>154960</v>
      </c>
      <c r="N34" s="3">
        <v>3855240</v>
      </c>
      <c r="O34" s="34">
        <v>0</v>
      </c>
      <c r="Q34" s="4">
        <v>3000</v>
      </c>
    </row>
    <row r="35" spans="2:17" ht="13.5" thickBot="1">
      <c r="B35" s="4">
        <v>11500</v>
      </c>
      <c r="C35" s="6">
        <v>2780</v>
      </c>
      <c r="D35" s="6">
        <v>5240</v>
      </c>
      <c r="E35" s="65">
        <v>4240</v>
      </c>
      <c r="F35" s="65">
        <v>8600</v>
      </c>
      <c r="G35" s="63">
        <v>4940</v>
      </c>
      <c r="H35" s="11">
        <v>1840</v>
      </c>
      <c r="I35" s="25"/>
      <c r="J35" s="11"/>
      <c r="K35" s="11"/>
      <c r="M35" s="11">
        <v>4740</v>
      </c>
      <c r="N35" s="12">
        <v>6060</v>
      </c>
      <c r="Q35" s="4">
        <v>0</v>
      </c>
    </row>
    <row r="36" spans="2:17" ht="13.5" thickBot="1">
      <c r="B36" s="4">
        <v>13340</v>
      </c>
      <c r="C36" s="6"/>
      <c r="D36" s="6"/>
      <c r="E36" s="66"/>
      <c r="F36" s="37">
        <v>6500</v>
      </c>
      <c r="G36" s="63">
        <v>2540</v>
      </c>
      <c r="H36" s="12"/>
      <c r="I36" s="9"/>
      <c r="J36" s="11"/>
      <c r="K36" s="11"/>
      <c r="M36" s="11">
        <v>5280</v>
      </c>
      <c r="N36" s="1">
        <f>SUM(N34:N35)</f>
        <v>3861300</v>
      </c>
      <c r="Q36" s="4">
        <v>0</v>
      </c>
    </row>
    <row r="37" spans="2:17" ht="13.5" thickBot="1">
      <c r="B37" s="4">
        <v>10860</v>
      </c>
      <c r="C37" s="8"/>
      <c r="D37" s="4"/>
      <c r="E37" s="5">
        <f>SUM(E34:E36)</f>
        <v>5280</v>
      </c>
      <c r="F37" s="1">
        <f>SUM(F34:F36)</f>
        <v>22080</v>
      </c>
      <c r="G37" s="12"/>
      <c r="H37" s="5">
        <f>SUM(H34:H36)</f>
        <v>3520</v>
      </c>
      <c r="J37" s="11"/>
      <c r="K37" s="11"/>
      <c r="M37" s="11">
        <v>22080</v>
      </c>
      <c r="Q37" s="4">
        <v>4100</v>
      </c>
    </row>
    <row r="38" spans="2:17" ht="13.5" thickBot="1">
      <c r="B38" s="4">
        <v>15080</v>
      </c>
      <c r="C38" s="9">
        <v>4740</v>
      </c>
      <c r="D38" s="4"/>
      <c r="G38" s="1">
        <f>SUM(G34:G37)</f>
        <v>7750</v>
      </c>
      <c r="J38" s="11"/>
      <c r="K38" s="11"/>
      <c r="M38" s="11">
        <v>7750</v>
      </c>
      <c r="Q38" s="5"/>
    </row>
    <row r="39" spans="2:13" ht="13.5" thickBot="1">
      <c r="B39" s="4">
        <v>11820</v>
      </c>
      <c r="D39" s="5"/>
      <c r="J39" s="12"/>
      <c r="K39" s="11"/>
      <c r="M39" s="11">
        <v>3520</v>
      </c>
    </row>
    <row r="40" spans="2:13" ht="13.5" thickBot="1">
      <c r="B40" s="4">
        <v>16300</v>
      </c>
      <c r="D40" s="5">
        <v>10100</v>
      </c>
      <c r="J40" s="9">
        <v>338660</v>
      </c>
      <c r="K40" s="11"/>
      <c r="M40" s="11">
        <v>338660</v>
      </c>
    </row>
    <row r="41" spans="2:13" ht="13.5" thickBot="1">
      <c r="B41" s="4">
        <v>10220</v>
      </c>
      <c r="D41" t="s">
        <v>25</v>
      </c>
      <c r="K41" s="1">
        <f>SUM(K34:K40)</f>
        <v>3318250</v>
      </c>
      <c r="M41" s="11">
        <v>3318250</v>
      </c>
    </row>
    <row r="42" spans="2:13" ht="13.5" thickBot="1">
      <c r="B42" s="4">
        <v>13520</v>
      </c>
      <c r="D42" s="1">
        <v>6060</v>
      </c>
      <c r="M42" s="12"/>
    </row>
    <row r="43" spans="2:13" ht="13.5" thickBot="1">
      <c r="B43" s="4">
        <v>15620</v>
      </c>
      <c r="M43" s="26">
        <f>SUM(M34:M42)</f>
        <v>3855240</v>
      </c>
    </row>
    <row r="44" ht="12.75">
      <c r="B44" s="4">
        <v>11660</v>
      </c>
    </row>
    <row r="45" ht="13.5" thickBot="1">
      <c r="B45" s="4">
        <v>13520</v>
      </c>
    </row>
    <row r="46" ht="13.5" thickBot="1">
      <c r="B46" s="1">
        <f>SUM(B34:B45)</f>
        <v>154960</v>
      </c>
    </row>
    <row r="47" spans="1:7" ht="12.75">
      <c r="A47" s="55"/>
      <c r="B47" s="55"/>
      <c r="G47" t="s">
        <v>54</v>
      </c>
    </row>
    <row r="48" spans="1:2" ht="12.75">
      <c r="A48" s="55"/>
      <c r="B48" s="55"/>
    </row>
    <row r="49" spans="1:2" ht="12.75">
      <c r="A49" s="55"/>
      <c r="B49" s="55"/>
    </row>
    <row r="50" spans="1:2" ht="12.75">
      <c r="A50" s="55"/>
      <c r="B50" s="55"/>
    </row>
    <row r="52" ht="13.5" thickBot="1">
      <c r="A52" s="2">
        <v>41000</v>
      </c>
    </row>
    <row r="53" spans="2:15" ht="13.5" thickBot="1">
      <c r="B53" s="15" t="s">
        <v>0</v>
      </c>
      <c r="C53" s="16" t="s">
        <v>1</v>
      </c>
      <c r="D53" s="17" t="s">
        <v>2</v>
      </c>
      <c r="E53" s="18" t="s">
        <v>3</v>
      </c>
      <c r="F53" s="19" t="s">
        <v>4</v>
      </c>
      <c r="G53" s="20" t="s">
        <v>5</v>
      </c>
      <c r="H53" s="21" t="s">
        <v>6</v>
      </c>
      <c r="I53" s="22" t="s">
        <v>7</v>
      </c>
      <c r="J53" s="23" t="s">
        <v>8</v>
      </c>
      <c r="K53" s="24" t="s">
        <v>9</v>
      </c>
      <c r="L53" s="27" t="s">
        <v>14</v>
      </c>
      <c r="M53" s="1" t="s">
        <v>13</v>
      </c>
      <c r="N53" s="1" t="s">
        <v>11</v>
      </c>
      <c r="O53" s="32" t="s">
        <v>20</v>
      </c>
    </row>
    <row r="54" spans="2:15" ht="13.5" thickBot="1">
      <c r="B54" s="3">
        <v>16420</v>
      </c>
      <c r="C54" s="7">
        <v>2460</v>
      </c>
      <c r="D54" s="3">
        <v>6560</v>
      </c>
      <c r="E54" s="3"/>
      <c r="F54" s="3">
        <v>6460</v>
      </c>
      <c r="G54" s="7">
        <v>2240</v>
      </c>
      <c r="H54" s="3">
        <v>1660</v>
      </c>
      <c r="I54" s="34"/>
      <c r="J54" s="1">
        <v>489560</v>
      </c>
      <c r="K54" s="1">
        <v>3164020</v>
      </c>
      <c r="L54" s="9"/>
      <c r="M54" s="10">
        <v>3164020</v>
      </c>
      <c r="N54" s="3">
        <v>3790810</v>
      </c>
      <c r="O54" s="34">
        <v>0</v>
      </c>
    </row>
    <row r="55" spans="2:14" ht="13.5" thickBot="1">
      <c r="B55" s="4">
        <v>15110</v>
      </c>
      <c r="C55" s="6">
        <v>2840</v>
      </c>
      <c r="D55" s="4">
        <v>620</v>
      </c>
      <c r="E55" s="4"/>
      <c r="F55" s="5">
        <v>6100</v>
      </c>
      <c r="G55" s="8">
        <v>0</v>
      </c>
      <c r="H55" s="4">
        <v>1760</v>
      </c>
      <c r="M55" s="4">
        <v>489560</v>
      </c>
      <c r="N55" s="5">
        <v>7128</v>
      </c>
    </row>
    <row r="56" spans="2:14" ht="13.5" thickBot="1">
      <c r="B56" s="4">
        <v>11880</v>
      </c>
      <c r="C56" s="8">
        <v>2580</v>
      </c>
      <c r="D56" s="4">
        <v>0</v>
      </c>
      <c r="E56" s="5"/>
      <c r="F56" s="1">
        <f>SUM(F54:F55)</f>
        <v>12560</v>
      </c>
      <c r="G56" s="9">
        <v>2240</v>
      </c>
      <c r="H56" s="4">
        <v>7180</v>
      </c>
      <c r="M56" s="4">
        <v>98470</v>
      </c>
      <c r="N56" s="1">
        <f>SUM(N54:N55)</f>
        <v>3797938</v>
      </c>
    </row>
    <row r="57" spans="2:13" ht="13.5" thickBot="1">
      <c r="B57" s="4">
        <v>2660</v>
      </c>
      <c r="C57" s="9">
        <f>SUM(C54:C56)</f>
        <v>7880</v>
      </c>
      <c r="D57" s="5">
        <v>4700</v>
      </c>
      <c r="E57" s="1"/>
      <c r="F57" s="55"/>
      <c r="G57" s="55"/>
      <c r="H57" s="11">
        <v>1700</v>
      </c>
      <c r="M57" s="4">
        <v>7880</v>
      </c>
    </row>
    <row r="58" spans="2:13" ht="13.5" thickBot="1">
      <c r="B58" s="4">
        <v>14100</v>
      </c>
      <c r="D58" s="1">
        <f>SUM(D54:D57)</f>
        <v>11880</v>
      </c>
      <c r="F58" s="55"/>
      <c r="G58" s="55"/>
      <c r="H58" s="11">
        <v>1740</v>
      </c>
      <c r="M58" s="4">
        <v>12560</v>
      </c>
    </row>
    <row r="59" spans="2:13" ht="13.5" thickBot="1">
      <c r="B59" s="4">
        <v>12380</v>
      </c>
      <c r="D59" s="55" t="s">
        <v>25</v>
      </c>
      <c r="F59" s="55"/>
      <c r="H59" s="12">
        <v>2040</v>
      </c>
      <c r="M59" s="4">
        <v>2240</v>
      </c>
    </row>
    <row r="60" spans="2:13" ht="13.5" thickBot="1">
      <c r="B60" s="4">
        <v>13640</v>
      </c>
      <c r="D60" s="1">
        <v>7128</v>
      </c>
      <c r="F60" s="55"/>
      <c r="H60" s="1">
        <f>SUM(H54:H59)</f>
        <v>16080</v>
      </c>
      <c r="M60" s="4">
        <v>16080</v>
      </c>
    </row>
    <row r="61" spans="2:13" ht="13.5" thickBot="1">
      <c r="B61" s="4">
        <v>12280</v>
      </c>
      <c r="D61" s="55"/>
      <c r="F61" s="55"/>
      <c r="M61" s="1">
        <f>SUM(M54:M60)</f>
        <v>3790810</v>
      </c>
    </row>
    <row r="62" spans="2:13" ht="13.5" thickBot="1">
      <c r="B62" s="5">
        <v>0</v>
      </c>
      <c r="M62" s="1"/>
    </row>
    <row r="63" spans="2:7" ht="13.5" thickBot="1">
      <c r="B63" s="1">
        <f>SUM(B54:B62)</f>
        <v>98470</v>
      </c>
      <c r="G63" s="28"/>
    </row>
    <row r="64" ht="12.75">
      <c r="G64" s="28" t="s">
        <v>55</v>
      </c>
    </row>
    <row r="67" ht="12.75">
      <c r="A67" s="67">
        <v>41030</v>
      </c>
    </row>
    <row r="69" ht="13.5" thickBot="1"/>
    <row r="70" spans="2:15" ht="13.5" thickBot="1">
      <c r="B70" s="15" t="s">
        <v>0</v>
      </c>
      <c r="C70" s="16" t="s">
        <v>1</v>
      </c>
      <c r="D70" s="17" t="s">
        <v>2</v>
      </c>
      <c r="E70" s="18" t="s">
        <v>3</v>
      </c>
      <c r="F70" s="19" t="s">
        <v>4</v>
      </c>
      <c r="G70" s="20" t="s">
        <v>5</v>
      </c>
      <c r="H70" s="21" t="s">
        <v>6</v>
      </c>
      <c r="I70" s="22" t="s">
        <v>7</v>
      </c>
      <c r="J70" s="23" t="s">
        <v>8</v>
      </c>
      <c r="K70" s="24" t="s">
        <v>9</v>
      </c>
      <c r="L70" s="27" t="s">
        <v>14</v>
      </c>
      <c r="M70" s="1" t="s">
        <v>13</v>
      </c>
      <c r="N70" s="1" t="s">
        <v>11</v>
      </c>
      <c r="O70" s="32" t="s">
        <v>20</v>
      </c>
    </row>
    <row r="71" spans="2:15" ht="13.5" thickBot="1">
      <c r="B71" s="3">
        <v>13740</v>
      </c>
      <c r="C71" s="7">
        <v>2260</v>
      </c>
      <c r="D71" s="3">
        <v>5460</v>
      </c>
      <c r="E71" s="3">
        <v>4000</v>
      </c>
      <c r="F71" s="3">
        <v>8760</v>
      </c>
      <c r="G71" s="7">
        <v>2220</v>
      </c>
      <c r="H71" s="3">
        <v>2140</v>
      </c>
      <c r="I71" s="34">
        <v>0</v>
      </c>
      <c r="J71" s="1">
        <v>484000</v>
      </c>
      <c r="K71" s="9">
        <v>1974340</v>
      </c>
      <c r="L71" s="7">
        <v>3200</v>
      </c>
      <c r="M71" s="10">
        <v>93800</v>
      </c>
      <c r="N71" s="10">
        <v>6168</v>
      </c>
      <c r="O71" s="34">
        <v>0</v>
      </c>
    </row>
    <row r="72" spans="2:14" ht="13.5" thickBot="1">
      <c r="B72" s="4">
        <v>16000</v>
      </c>
      <c r="C72" s="6">
        <v>2940</v>
      </c>
      <c r="D72" s="4">
        <v>4820</v>
      </c>
      <c r="E72" s="4"/>
      <c r="F72" s="4">
        <v>10240</v>
      </c>
      <c r="G72" s="8">
        <v>1980</v>
      </c>
      <c r="H72" s="5">
        <v>2360</v>
      </c>
      <c r="L72" s="8">
        <v>3700</v>
      </c>
      <c r="M72" s="4">
        <v>6880</v>
      </c>
      <c r="N72" s="5">
        <v>2607160</v>
      </c>
    </row>
    <row r="73" spans="2:14" ht="13.5" thickBot="1">
      <c r="B73" s="4">
        <v>15880</v>
      </c>
      <c r="C73" s="8">
        <v>1680</v>
      </c>
      <c r="D73" s="1">
        <f>SUM(D71:D72)</f>
        <v>10280</v>
      </c>
      <c r="E73" s="1">
        <v>4000</v>
      </c>
      <c r="F73" s="5">
        <v>7660</v>
      </c>
      <c r="G73" s="9">
        <f>SUM(G71:G72)</f>
        <v>4200</v>
      </c>
      <c r="H73" s="1">
        <v>540</v>
      </c>
      <c r="L73" s="9">
        <f>SUM(L71:L72)</f>
        <v>6900</v>
      </c>
      <c r="M73" s="4">
        <v>4000</v>
      </c>
      <c r="N73" s="1">
        <f>SUM(N71:N72)</f>
        <v>2613328</v>
      </c>
    </row>
    <row r="74" spans="2:13" ht="13.5" thickBot="1">
      <c r="B74" s="4">
        <v>11800</v>
      </c>
      <c r="C74" s="9">
        <f>SUM(C71:C73)</f>
        <v>6880</v>
      </c>
      <c r="D74" s="3"/>
      <c r="E74" s="18" t="s">
        <v>56</v>
      </c>
      <c r="F74" s="1">
        <f>SUM(F71:F73)</f>
        <v>26660</v>
      </c>
      <c r="G74" s="55"/>
      <c r="H74" s="5">
        <f>SUM(H71:H73)</f>
        <v>5040</v>
      </c>
      <c r="M74" s="4">
        <v>1340</v>
      </c>
    </row>
    <row r="75" spans="2:13" ht="13.5" thickBot="1">
      <c r="B75" s="4">
        <v>12180</v>
      </c>
      <c r="D75" s="5" t="s">
        <v>41</v>
      </c>
      <c r="E75" s="5"/>
      <c r="G75" s="55"/>
      <c r="M75" s="4">
        <v>26660</v>
      </c>
    </row>
    <row r="76" spans="2:13" ht="13.5" thickBot="1">
      <c r="B76" s="4">
        <v>12100</v>
      </c>
      <c r="D76" s="1">
        <v>6168</v>
      </c>
      <c r="E76" s="26">
        <v>1340</v>
      </c>
      <c r="G76" s="55"/>
      <c r="M76" s="4">
        <v>4200</v>
      </c>
    </row>
    <row r="77" spans="2:13" ht="12.75">
      <c r="B77" s="4">
        <v>12100</v>
      </c>
      <c r="D77" s="55"/>
      <c r="E77" s="55"/>
      <c r="G77" s="55"/>
      <c r="M77" s="4">
        <v>5040</v>
      </c>
    </row>
    <row r="78" spans="2:13" ht="12.75">
      <c r="B78" s="4"/>
      <c r="D78" s="55"/>
      <c r="M78" s="4">
        <v>0</v>
      </c>
    </row>
    <row r="79" spans="2:13" ht="13.5" thickBot="1">
      <c r="B79" s="5"/>
      <c r="D79" s="55"/>
      <c r="M79" s="4">
        <v>484000</v>
      </c>
    </row>
    <row r="80" spans="2:13" ht="13.5" thickBot="1">
      <c r="B80" s="1">
        <f>SUM(B71:B79)</f>
        <v>93800</v>
      </c>
      <c r="G80" s="28" t="s">
        <v>57</v>
      </c>
      <c r="M80" s="4">
        <v>1974340</v>
      </c>
    </row>
    <row r="81" spans="7:13" ht="13.5" thickBot="1">
      <c r="G81" s="28"/>
      <c r="M81" s="1">
        <v>6900</v>
      </c>
    </row>
    <row r="82" spans="1:13" ht="13.5" thickBot="1">
      <c r="A82" s="2">
        <v>41061</v>
      </c>
      <c r="M82" s="1">
        <f>SUM(M71:M81)</f>
        <v>2607160</v>
      </c>
    </row>
    <row r="83" ht="13.5" thickBot="1"/>
    <row r="84" spans="2:15" ht="13.5" thickBot="1">
      <c r="B84" s="15" t="s">
        <v>0</v>
      </c>
      <c r="C84" s="16" t="s">
        <v>1</v>
      </c>
      <c r="D84" s="17" t="s">
        <v>2</v>
      </c>
      <c r="E84" s="18" t="s">
        <v>3</v>
      </c>
      <c r="F84" s="19" t="s">
        <v>4</v>
      </c>
      <c r="G84" s="20" t="s">
        <v>5</v>
      </c>
      <c r="H84" s="47" t="s">
        <v>6</v>
      </c>
      <c r="I84" s="22" t="s">
        <v>7</v>
      </c>
      <c r="J84" s="23" t="s">
        <v>8</v>
      </c>
      <c r="K84" s="24" t="s">
        <v>9</v>
      </c>
      <c r="L84" s="27" t="s">
        <v>14</v>
      </c>
      <c r="M84" s="1" t="s">
        <v>13</v>
      </c>
      <c r="N84" s="1" t="s">
        <v>11</v>
      </c>
      <c r="O84" s="32" t="s">
        <v>20</v>
      </c>
    </row>
    <row r="85" spans="2:15" ht="13.5" thickBot="1">
      <c r="B85" s="3">
        <v>12720</v>
      </c>
      <c r="C85" s="3">
        <v>2900</v>
      </c>
      <c r="D85" s="68">
        <v>5040</v>
      </c>
      <c r="E85" s="7">
        <v>4920</v>
      </c>
      <c r="F85" s="3">
        <v>8460</v>
      </c>
      <c r="G85" s="1">
        <v>2320</v>
      </c>
      <c r="H85" s="3">
        <v>2140</v>
      </c>
      <c r="I85" s="34">
        <v>0</v>
      </c>
      <c r="J85" s="1">
        <v>245000</v>
      </c>
      <c r="K85" s="1">
        <v>2177650</v>
      </c>
      <c r="L85" s="9">
        <v>0</v>
      </c>
      <c r="M85" s="10">
        <v>81180</v>
      </c>
      <c r="N85" s="10">
        <v>2546430</v>
      </c>
      <c r="O85" s="34">
        <v>0</v>
      </c>
    </row>
    <row r="86" spans="2:14" ht="13.5" thickBot="1">
      <c r="B86" s="4">
        <v>12340</v>
      </c>
      <c r="C86" s="5">
        <v>3220</v>
      </c>
      <c r="D86" s="69">
        <v>6460</v>
      </c>
      <c r="E86" s="14">
        <v>2480</v>
      </c>
      <c r="F86" s="4">
        <v>5000</v>
      </c>
      <c r="G86" s="55"/>
      <c r="H86" s="4">
        <v>2260</v>
      </c>
      <c r="M86" s="4">
        <v>6120</v>
      </c>
      <c r="N86" s="5">
        <v>6900</v>
      </c>
    </row>
    <row r="87" spans="2:14" ht="13.5" thickBot="1">
      <c r="B87" s="4">
        <v>15080</v>
      </c>
      <c r="C87" s="1">
        <f>SUM(C85:C86)</f>
        <v>6120</v>
      </c>
      <c r="D87" s="5">
        <f>SUM(D85:D86)</f>
        <v>11500</v>
      </c>
      <c r="E87" s="8">
        <f>SUM(E85:E86)</f>
        <v>7400</v>
      </c>
      <c r="F87" s="5">
        <v>8900</v>
      </c>
      <c r="G87" s="55"/>
      <c r="H87" s="4">
        <v>0</v>
      </c>
      <c r="M87" s="4">
        <v>7400</v>
      </c>
      <c r="N87" s="5">
        <f>SUM(N85:N86)</f>
        <v>2553330</v>
      </c>
    </row>
    <row r="88" spans="2:13" ht="13.5" thickBot="1">
      <c r="B88" s="4">
        <v>13760</v>
      </c>
      <c r="D88" s="55" t="s">
        <v>27</v>
      </c>
      <c r="F88" s="1">
        <f>SUM(F85:F87)</f>
        <v>22360</v>
      </c>
      <c r="G88" s="55"/>
      <c r="H88" s="5">
        <v>0</v>
      </c>
      <c r="M88" s="4">
        <v>22360</v>
      </c>
    </row>
    <row r="89" spans="2:13" ht="13.5" thickBot="1">
      <c r="B89" s="4">
        <v>12080</v>
      </c>
      <c r="D89" s="1">
        <v>6900</v>
      </c>
      <c r="H89" s="5">
        <v>4400</v>
      </c>
      <c r="M89" s="4">
        <v>2320</v>
      </c>
    </row>
    <row r="90" spans="2:13" ht="12.75">
      <c r="B90" s="4">
        <v>15200</v>
      </c>
      <c r="M90" s="4">
        <v>4400</v>
      </c>
    </row>
    <row r="91" spans="2:13" ht="13.5" thickBot="1">
      <c r="B91" s="5">
        <v>0</v>
      </c>
      <c r="M91" s="4">
        <v>245000</v>
      </c>
    </row>
    <row r="92" spans="2:13" ht="13.5" thickBot="1">
      <c r="B92" s="1">
        <v>81180</v>
      </c>
      <c r="M92" s="5">
        <v>2177650</v>
      </c>
    </row>
    <row r="93" spans="2:13" ht="13.5" thickBot="1">
      <c r="B93" s="55"/>
      <c r="M93" s="5">
        <f>SUM(M85:M92)</f>
        <v>2546430</v>
      </c>
    </row>
    <row r="94" ht="12.75">
      <c r="B94" s="55"/>
    </row>
    <row r="95" spans="2:7" ht="12.75">
      <c r="B95" s="55"/>
      <c r="G95" s="28" t="s">
        <v>58</v>
      </c>
    </row>
    <row r="96" ht="12.75">
      <c r="B96" s="55"/>
    </row>
    <row r="98" ht="13.5" thickBot="1">
      <c r="A98" s="2">
        <v>41091</v>
      </c>
    </row>
    <row r="99" spans="2:15" ht="13.5" thickBot="1">
      <c r="B99" s="15" t="s">
        <v>0</v>
      </c>
      <c r="C99" s="26" t="s">
        <v>1</v>
      </c>
      <c r="D99" s="42" t="s">
        <v>2</v>
      </c>
      <c r="E99" s="43" t="s">
        <v>3</v>
      </c>
      <c r="F99" s="45" t="s">
        <v>4</v>
      </c>
      <c r="G99" s="20" t="s">
        <v>5</v>
      </c>
      <c r="H99" s="47" t="s">
        <v>6</v>
      </c>
      <c r="I99" s="22" t="s">
        <v>7</v>
      </c>
      <c r="J99" s="23" t="s">
        <v>8</v>
      </c>
      <c r="K99" s="24" t="s">
        <v>9</v>
      </c>
      <c r="L99" s="27" t="s">
        <v>14</v>
      </c>
      <c r="M99" s="1" t="s">
        <v>13</v>
      </c>
      <c r="N99" s="1" t="s">
        <v>11</v>
      </c>
      <c r="O99" s="32" t="s">
        <v>20</v>
      </c>
    </row>
    <row r="100" spans="2:15" ht="13.5" thickBot="1">
      <c r="B100" s="3">
        <v>11580</v>
      </c>
      <c r="C100" s="68">
        <v>2560</v>
      </c>
      <c r="D100" s="7">
        <v>6000</v>
      </c>
      <c r="E100" s="3">
        <v>3760</v>
      </c>
      <c r="F100" s="56"/>
      <c r="G100" s="70"/>
      <c r="H100" s="3">
        <v>2100</v>
      </c>
      <c r="I100" s="34"/>
      <c r="J100" s="1">
        <v>353680</v>
      </c>
      <c r="K100" s="1">
        <v>2550240</v>
      </c>
      <c r="L100" s="9"/>
      <c r="M100" s="10">
        <v>86170</v>
      </c>
      <c r="N100" s="10">
        <v>3369505</v>
      </c>
      <c r="O100" s="34">
        <v>0</v>
      </c>
    </row>
    <row r="101" spans="2:14" ht="13.5" thickBot="1">
      <c r="B101" s="4">
        <v>15080</v>
      </c>
      <c r="C101" s="69">
        <v>2400</v>
      </c>
      <c r="D101" s="6">
        <v>6540</v>
      </c>
      <c r="E101" s="4">
        <v>2840</v>
      </c>
      <c r="F101" s="61"/>
      <c r="H101" s="4">
        <v>2240</v>
      </c>
      <c r="M101" s="4">
        <v>4960</v>
      </c>
      <c r="N101" s="4">
        <v>0</v>
      </c>
    </row>
    <row r="102" spans="2:14" ht="13.5" thickBot="1">
      <c r="B102" s="4">
        <v>15400</v>
      </c>
      <c r="C102" s="70">
        <f>SUM(C100:C101)</f>
        <v>4960</v>
      </c>
      <c r="D102" s="8">
        <v>2080</v>
      </c>
      <c r="E102" s="4">
        <v>4300</v>
      </c>
      <c r="F102" s="57"/>
      <c r="H102" s="5">
        <v>2140</v>
      </c>
      <c r="M102" s="4">
        <v>14040</v>
      </c>
      <c r="N102" s="5"/>
    </row>
    <row r="103" spans="2:14" ht="13.5" thickBot="1">
      <c r="B103" s="4">
        <v>16470</v>
      </c>
      <c r="D103" s="71">
        <f>SUM(D100:D102)</f>
        <v>14620</v>
      </c>
      <c r="E103" s="4">
        <v>1680</v>
      </c>
      <c r="F103" s="34"/>
      <c r="H103" s="1">
        <f>SUM(H100:H102)</f>
        <v>6480</v>
      </c>
      <c r="M103" s="4">
        <v>6480</v>
      </c>
      <c r="N103" s="1">
        <v>3369505</v>
      </c>
    </row>
    <row r="104" spans="2:13" ht="13.5" thickBot="1">
      <c r="B104" s="4">
        <v>13600</v>
      </c>
      <c r="D104" s="72" t="s">
        <v>59</v>
      </c>
      <c r="E104" s="12">
        <v>1460</v>
      </c>
      <c r="M104" s="4">
        <v>353680</v>
      </c>
    </row>
    <row r="105" spans="2:13" ht="13.5" thickBot="1">
      <c r="B105" s="5">
        <v>14040</v>
      </c>
      <c r="D105" s="55"/>
      <c r="E105" s="1">
        <f>SUM(E100:E104)</f>
        <v>14040</v>
      </c>
      <c r="M105" s="4">
        <v>255</v>
      </c>
    </row>
    <row r="106" spans="2:13" ht="13.5" thickBot="1">
      <c r="B106" s="1">
        <f>SUM(B100:B105)</f>
        <v>86170</v>
      </c>
      <c r="D106" s="1" t="s">
        <v>60</v>
      </c>
      <c r="M106" s="4">
        <v>2550240</v>
      </c>
    </row>
    <row r="107" spans="4:13" ht="13.5" thickBot="1">
      <c r="D107" t="s">
        <v>40</v>
      </c>
      <c r="E107">
        <v>1460</v>
      </c>
      <c r="M107" s="5">
        <v>353680</v>
      </c>
    </row>
    <row r="108" spans="6:13" ht="13.5" thickBot="1">
      <c r="F108" s="28"/>
      <c r="M108" s="1">
        <f>SUM(M100:M107)</f>
        <v>3369505</v>
      </c>
    </row>
    <row r="109" ht="12.75">
      <c r="G109" s="28" t="s">
        <v>61</v>
      </c>
    </row>
    <row r="111" ht="12.75">
      <c r="A111" s="2">
        <v>41122</v>
      </c>
    </row>
    <row r="112" ht="13.5" thickBot="1"/>
    <row r="113" spans="2:15" ht="13.5" thickBot="1">
      <c r="B113" s="15" t="s">
        <v>0</v>
      </c>
      <c r="C113" s="16" t="s">
        <v>1</v>
      </c>
      <c r="D113" s="17" t="s">
        <v>2</v>
      </c>
      <c r="E113" s="18" t="s">
        <v>3</v>
      </c>
      <c r="F113" s="19" t="s">
        <v>4</v>
      </c>
      <c r="G113" s="20" t="s">
        <v>5</v>
      </c>
      <c r="H113" s="33" t="s">
        <v>6</v>
      </c>
      <c r="I113" s="22" t="s">
        <v>7</v>
      </c>
      <c r="J113" s="23" t="s">
        <v>8</v>
      </c>
      <c r="K113" s="24" t="s">
        <v>9</v>
      </c>
      <c r="L113" s="49" t="s">
        <v>14</v>
      </c>
      <c r="M113" s="1" t="s">
        <v>13</v>
      </c>
      <c r="N113" s="1" t="s">
        <v>11</v>
      </c>
      <c r="O113" s="32" t="s">
        <v>20</v>
      </c>
    </row>
    <row r="114" spans="2:15" ht="13.5" thickBot="1">
      <c r="B114" s="3">
        <v>11780</v>
      </c>
      <c r="C114" s="7">
        <v>1900</v>
      </c>
      <c r="D114" s="3">
        <v>7180</v>
      </c>
      <c r="E114" s="3">
        <v>3640</v>
      </c>
      <c r="F114" s="3">
        <v>7840</v>
      </c>
      <c r="G114" s="9">
        <v>2020</v>
      </c>
      <c r="H114" s="3">
        <v>2520</v>
      </c>
      <c r="I114" s="1">
        <v>0</v>
      </c>
      <c r="J114" s="26">
        <v>440000</v>
      </c>
      <c r="K114" s="71">
        <v>2861120</v>
      </c>
      <c r="L114" s="3">
        <v>3160</v>
      </c>
      <c r="M114" s="10">
        <v>141640</v>
      </c>
      <c r="N114" s="10">
        <v>3501990</v>
      </c>
      <c r="O114" s="34">
        <v>856</v>
      </c>
    </row>
    <row r="115" spans="2:14" ht="13.5" thickBot="1">
      <c r="B115" s="4">
        <v>13720</v>
      </c>
      <c r="C115" s="6">
        <v>2340</v>
      </c>
      <c r="D115" s="4">
        <v>6580</v>
      </c>
      <c r="E115" s="4">
        <v>2480</v>
      </c>
      <c r="F115" s="4">
        <v>7860</v>
      </c>
      <c r="H115" s="4">
        <v>1490</v>
      </c>
      <c r="L115" s="5">
        <v>4520</v>
      </c>
      <c r="M115" s="4">
        <v>7140</v>
      </c>
      <c r="N115" s="5">
        <v>0</v>
      </c>
    </row>
    <row r="116" spans="2:14" ht="13.5" thickBot="1">
      <c r="B116" s="4">
        <v>10700</v>
      </c>
      <c r="C116" s="8">
        <v>2900</v>
      </c>
      <c r="D116" s="4">
        <v>0</v>
      </c>
      <c r="E116" s="5">
        <v>0</v>
      </c>
      <c r="F116" s="5">
        <v>2800</v>
      </c>
      <c r="H116" s="4">
        <v>0</v>
      </c>
      <c r="L116" s="1">
        <f>SUM(L114:L115)</f>
        <v>7680</v>
      </c>
      <c r="M116" s="4">
        <v>13760</v>
      </c>
      <c r="N116" s="1">
        <v>3501990</v>
      </c>
    </row>
    <row r="117" spans="2:13" ht="13.5" thickBot="1">
      <c r="B117" s="4">
        <v>15020</v>
      </c>
      <c r="C117" s="8">
        <f>SUM(C114:C116)</f>
        <v>7140</v>
      </c>
      <c r="D117" s="5">
        <v>0</v>
      </c>
      <c r="E117" s="5">
        <f>SUM(E114:E116)</f>
        <v>6120</v>
      </c>
      <c r="F117" s="5">
        <f>SUM(F114:F116)</f>
        <v>18500</v>
      </c>
      <c r="H117" s="5">
        <v>0</v>
      </c>
      <c r="M117" s="4">
        <v>6120</v>
      </c>
    </row>
    <row r="118" spans="2:13" ht="13.5" thickBot="1">
      <c r="B118" s="4">
        <v>15340</v>
      </c>
      <c r="D118" s="5">
        <f>SUM(D114:D117)</f>
        <v>13760</v>
      </c>
      <c r="H118" s="5">
        <f>SUM(H114:H117)</f>
        <v>4010</v>
      </c>
      <c r="M118" s="4">
        <v>18500</v>
      </c>
    </row>
    <row r="119" spans="2:13" ht="12.75">
      <c r="B119" s="4">
        <v>14460</v>
      </c>
      <c r="M119" s="4">
        <v>2020</v>
      </c>
    </row>
    <row r="120" spans="2:13" ht="12.75">
      <c r="B120" s="4">
        <v>15100</v>
      </c>
      <c r="D120" t="s">
        <v>62</v>
      </c>
      <c r="M120" s="4">
        <v>4010</v>
      </c>
    </row>
    <row r="121" spans="2:13" ht="12.75">
      <c r="B121" s="4">
        <v>15260</v>
      </c>
      <c r="M121" s="4">
        <v>440000</v>
      </c>
    </row>
    <row r="122" spans="2:13" ht="12.75">
      <c r="B122" s="4">
        <v>11560</v>
      </c>
      <c r="M122" s="11">
        <v>2861120</v>
      </c>
    </row>
    <row r="123" spans="2:13" ht="13.5" thickBot="1">
      <c r="B123" s="4">
        <v>6680</v>
      </c>
      <c r="G123" s="28"/>
      <c r="M123" s="12">
        <v>7680</v>
      </c>
    </row>
    <row r="124" spans="2:13" ht="13.5" thickBot="1">
      <c r="B124" s="4">
        <v>3480</v>
      </c>
      <c r="M124" s="1">
        <f>SUM(M114:M123)</f>
        <v>3501990</v>
      </c>
    </row>
    <row r="125" ht="12.75">
      <c r="B125" s="4">
        <v>8540</v>
      </c>
    </row>
    <row r="126" spans="2:6" ht="13.5" thickBot="1">
      <c r="B126" s="5">
        <v>0</v>
      </c>
      <c r="F126" s="28" t="s">
        <v>63</v>
      </c>
    </row>
    <row r="127" ht="13.5" thickBot="1">
      <c r="B127" s="5">
        <f>SUM(B114:B126)</f>
        <v>141640</v>
      </c>
    </row>
    <row r="129" ht="12.75">
      <c r="A129" s="2">
        <v>41153</v>
      </c>
    </row>
    <row r="130" ht="13.5" thickBot="1"/>
    <row r="131" spans="2:15" ht="13.5" thickBot="1">
      <c r="B131" s="35" t="s">
        <v>0</v>
      </c>
      <c r="C131" s="39" t="s">
        <v>1</v>
      </c>
      <c r="D131" s="42" t="s">
        <v>2</v>
      </c>
      <c r="E131" s="43" t="s">
        <v>3</v>
      </c>
      <c r="F131" s="45" t="s">
        <v>4</v>
      </c>
      <c r="G131" s="46" t="s">
        <v>5</v>
      </c>
      <c r="H131" s="47" t="s">
        <v>6</v>
      </c>
      <c r="I131" s="48" t="s">
        <v>7</v>
      </c>
      <c r="J131" s="23" t="s">
        <v>8</v>
      </c>
      <c r="K131" s="24" t="s">
        <v>9</v>
      </c>
      <c r="L131" s="49" t="s">
        <v>14</v>
      </c>
      <c r="M131" s="3" t="s">
        <v>13</v>
      </c>
      <c r="N131" s="1" t="s">
        <v>11</v>
      </c>
      <c r="O131" s="50" t="s">
        <v>20</v>
      </c>
    </row>
    <row r="132" spans="2:15" ht="13.5" thickBot="1">
      <c r="B132" s="36">
        <v>10500</v>
      </c>
      <c r="C132" s="74">
        <v>2600</v>
      </c>
      <c r="D132" s="40">
        <v>3680</v>
      </c>
      <c r="E132" s="36">
        <v>4940</v>
      </c>
      <c r="F132" s="74">
        <v>3120</v>
      </c>
      <c r="G132" s="3">
        <v>2260</v>
      </c>
      <c r="H132" s="77">
        <v>3040</v>
      </c>
      <c r="I132" s="44">
        <v>0</v>
      </c>
      <c r="J132" s="26">
        <v>454600</v>
      </c>
      <c r="K132" s="71">
        <v>2870330</v>
      </c>
      <c r="L132" s="40">
        <v>8480</v>
      </c>
      <c r="M132" s="64">
        <v>104180</v>
      </c>
      <c r="N132" s="59">
        <v>3464150</v>
      </c>
      <c r="O132" s="80" t="s">
        <v>69</v>
      </c>
    </row>
    <row r="133" spans="2:14" ht="13.5" thickBot="1">
      <c r="B133" s="37">
        <v>8720</v>
      </c>
      <c r="C133" s="75">
        <v>0</v>
      </c>
      <c r="D133" s="78">
        <v>2040</v>
      </c>
      <c r="E133" s="37">
        <v>2940</v>
      </c>
      <c r="F133" s="55">
        <v>9880</v>
      </c>
      <c r="G133" s="12">
        <v>3100</v>
      </c>
      <c r="H133" s="79">
        <v>2580</v>
      </c>
      <c r="L133" s="41">
        <v>960</v>
      </c>
      <c r="M133" s="37">
        <v>2600</v>
      </c>
      <c r="N133" s="57">
        <v>6860</v>
      </c>
    </row>
    <row r="134" spans="2:14" ht="13.5" thickBot="1">
      <c r="B134" s="37">
        <v>6960</v>
      </c>
      <c r="C134" s="75">
        <v>2600</v>
      </c>
      <c r="D134" s="78">
        <v>900</v>
      </c>
      <c r="E134" s="66">
        <v>0</v>
      </c>
      <c r="F134" s="75">
        <v>0</v>
      </c>
      <c r="G134" s="1">
        <f>SUM(G132:G133)</f>
        <v>5360</v>
      </c>
      <c r="H134" s="79">
        <v>0</v>
      </c>
      <c r="L134" s="44">
        <f>SUM(L132:L133)</f>
        <v>9440</v>
      </c>
      <c r="M134" s="37">
        <v>740</v>
      </c>
      <c r="N134" s="34">
        <f>SUM(N132:N133)</f>
        <v>3471010</v>
      </c>
    </row>
    <row r="135" spans="2:13" ht="13.5" thickBot="1">
      <c r="B135" s="37">
        <v>7100</v>
      </c>
      <c r="D135" s="41">
        <v>7100</v>
      </c>
      <c r="E135" s="5">
        <f>SUM(E132:E134)</f>
        <v>7880</v>
      </c>
      <c r="F135" s="73">
        <f>SUM(F132:F134)</f>
        <v>13000</v>
      </c>
      <c r="H135" s="38">
        <v>0</v>
      </c>
      <c r="M135" s="37">
        <v>7880</v>
      </c>
    </row>
    <row r="136" spans="2:13" ht="12.75">
      <c r="B136" s="37">
        <v>7040</v>
      </c>
      <c r="D136" s="38">
        <f>SUM(D132:D135)</f>
        <v>13720</v>
      </c>
      <c r="H136" s="38">
        <f>SUM(H132:H135)</f>
        <v>5620</v>
      </c>
      <c r="M136" s="37">
        <v>2100</v>
      </c>
    </row>
    <row r="137" spans="2:13" ht="13.5" thickBot="1">
      <c r="B137" s="37">
        <v>6120</v>
      </c>
      <c r="D137" t="s">
        <v>67</v>
      </c>
      <c r="M137" s="37">
        <v>13000</v>
      </c>
    </row>
    <row r="138" spans="2:13" ht="13.5" thickBot="1">
      <c r="B138" s="37">
        <v>6400</v>
      </c>
      <c r="D138" s="9">
        <v>6860</v>
      </c>
      <c r="E138" s="76" t="s">
        <v>64</v>
      </c>
      <c r="M138" s="37">
        <v>3100</v>
      </c>
    </row>
    <row r="139" spans="2:13" ht="12.75">
      <c r="B139" s="37">
        <v>10880</v>
      </c>
      <c r="M139" s="37">
        <v>5620</v>
      </c>
    </row>
    <row r="140" spans="2:13" ht="12.75">
      <c r="B140" s="37">
        <v>8940</v>
      </c>
      <c r="D140" t="s">
        <v>65</v>
      </c>
      <c r="E140" t="s">
        <v>66</v>
      </c>
      <c r="M140" s="65">
        <v>454600</v>
      </c>
    </row>
    <row r="141" spans="2:13" ht="12.75">
      <c r="B141" s="37">
        <v>11020</v>
      </c>
      <c r="M141" s="66">
        <v>2870330</v>
      </c>
    </row>
    <row r="142" spans="2:13" ht="12.75">
      <c r="B142" s="37">
        <v>12260</v>
      </c>
      <c r="M142" s="76">
        <f>SUM(M132:M141)</f>
        <v>3464150</v>
      </c>
    </row>
    <row r="143" ht="12.75">
      <c r="B143" s="66">
        <v>8240</v>
      </c>
    </row>
    <row r="144" spans="2:7" ht="12.75">
      <c r="B144" s="76">
        <f>SUM(B132:B143)</f>
        <v>104180</v>
      </c>
      <c r="G144" s="28" t="s">
        <v>75</v>
      </c>
    </row>
    <row r="145" spans="2:7" ht="12.75">
      <c r="B145" s="55"/>
      <c r="G145" s="28"/>
    </row>
    <row r="146" spans="2:7" ht="12.75">
      <c r="B146" s="55"/>
      <c r="G146" s="28"/>
    </row>
    <row r="147" ht="12.75">
      <c r="A147" s="2">
        <v>41183</v>
      </c>
    </row>
    <row r="148" ht="13.5" thickBot="1"/>
    <row r="149" spans="2:15" ht="13.5" thickBot="1">
      <c r="B149" s="15" t="s">
        <v>0</v>
      </c>
      <c r="C149" s="16" t="s">
        <v>1</v>
      </c>
      <c r="D149" s="17" t="s">
        <v>2</v>
      </c>
      <c r="E149" s="18" t="s">
        <v>3</v>
      </c>
      <c r="F149" s="19" t="s">
        <v>4</v>
      </c>
      <c r="G149" s="20" t="s">
        <v>5</v>
      </c>
      <c r="H149" s="33" t="s">
        <v>6</v>
      </c>
      <c r="I149" s="22" t="s">
        <v>7</v>
      </c>
      <c r="J149" s="23" t="s">
        <v>8</v>
      </c>
      <c r="K149" s="24" t="s">
        <v>9</v>
      </c>
      <c r="L149" s="49" t="s">
        <v>14</v>
      </c>
      <c r="M149" s="1" t="s">
        <v>13</v>
      </c>
      <c r="N149" s="1" t="s">
        <v>11</v>
      </c>
      <c r="O149" s="32" t="s">
        <v>20</v>
      </c>
    </row>
    <row r="150" spans="2:15" ht="13.5" thickBot="1">
      <c r="B150" s="7">
        <v>7840</v>
      </c>
      <c r="C150" s="3">
        <v>2840</v>
      </c>
      <c r="D150" s="68">
        <v>8400</v>
      </c>
      <c r="E150" s="3">
        <v>2720</v>
      </c>
      <c r="F150" s="56">
        <v>7640</v>
      </c>
      <c r="G150" s="9">
        <v>2960</v>
      </c>
      <c r="H150" s="3">
        <v>1760</v>
      </c>
      <c r="I150" s="1">
        <v>0</v>
      </c>
      <c r="J150" s="26">
        <v>575640</v>
      </c>
      <c r="K150" s="71">
        <v>3013860</v>
      </c>
      <c r="L150" s="7">
        <v>2440</v>
      </c>
      <c r="M150" s="13">
        <v>117840</v>
      </c>
      <c r="N150" s="10">
        <v>3732960</v>
      </c>
      <c r="O150" s="34">
        <v>0</v>
      </c>
    </row>
    <row r="151" spans="2:14" ht="13.5" thickBot="1">
      <c r="B151" s="6">
        <v>8760</v>
      </c>
      <c r="C151" s="4">
        <v>2520</v>
      </c>
      <c r="D151" s="55">
        <v>720</v>
      </c>
      <c r="E151" s="4">
        <v>240</v>
      </c>
      <c r="F151" s="61">
        <v>6480</v>
      </c>
      <c r="H151" s="5">
        <v>0</v>
      </c>
      <c r="L151" s="8">
        <v>1740</v>
      </c>
      <c r="M151" s="6">
        <v>10300</v>
      </c>
      <c r="N151" s="5">
        <v>5680</v>
      </c>
    </row>
    <row r="152" spans="2:14" ht="13.5" thickBot="1">
      <c r="B152" s="6">
        <v>12380</v>
      </c>
      <c r="C152" s="4">
        <v>2160</v>
      </c>
      <c r="D152" s="55">
        <v>2240</v>
      </c>
      <c r="E152" s="4">
        <v>940</v>
      </c>
      <c r="F152" s="57">
        <v>5980</v>
      </c>
      <c r="H152" s="5">
        <v>1760</v>
      </c>
      <c r="L152" s="1">
        <f>SUM(L150:L151)</f>
        <v>4180</v>
      </c>
      <c r="M152" s="4">
        <v>8860</v>
      </c>
      <c r="N152" s="57">
        <f>SUM(N150:N151)</f>
        <v>3738640</v>
      </c>
    </row>
    <row r="153" spans="2:13" ht="13.5" thickBot="1">
      <c r="B153" s="6">
        <v>14440</v>
      </c>
      <c r="C153" s="12">
        <v>2780</v>
      </c>
      <c r="D153" s="55">
        <v>0</v>
      </c>
      <c r="E153" s="5">
        <v>4960</v>
      </c>
      <c r="F153" s="57">
        <f>SUM(F150:F152)</f>
        <v>20100</v>
      </c>
      <c r="M153" s="4">
        <v>2960</v>
      </c>
    </row>
    <row r="154" spans="2:13" ht="13.5" thickBot="1">
      <c r="B154" s="4">
        <v>15620</v>
      </c>
      <c r="C154" s="1">
        <f>SUM(C150:C153)</f>
        <v>10300</v>
      </c>
      <c r="D154" s="5">
        <v>0</v>
      </c>
      <c r="E154" s="1">
        <f>SUM(E150:E153)</f>
        <v>8860</v>
      </c>
      <c r="M154" s="4">
        <v>1760</v>
      </c>
    </row>
    <row r="155" spans="2:13" ht="13.5" thickBot="1">
      <c r="B155" s="4">
        <v>10220</v>
      </c>
      <c r="D155" s="5">
        <f>SUM(D150:D154)</f>
        <v>11360</v>
      </c>
      <c r="M155" s="4">
        <v>1740</v>
      </c>
    </row>
    <row r="156" spans="2:13" ht="13.5" thickBot="1">
      <c r="B156" s="4">
        <v>14420</v>
      </c>
      <c r="D156" t="s">
        <v>67</v>
      </c>
      <c r="M156" s="11">
        <v>575640</v>
      </c>
    </row>
    <row r="157" spans="2:13" ht="13.5" thickBot="1">
      <c r="B157" s="4">
        <v>14800</v>
      </c>
      <c r="D157" s="1">
        <v>5680</v>
      </c>
      <c r="M157" s="5">
        <v>3013860</v>
      </c>
    </row>
    <row r="158" spans="2:13" ht="13.5" thickBot="1">
      <c r="B158" s="4">
        <v>10560</v>
      </c>
      <c r="M158" s="5">
        <f>SUM(M150:M157)</f>
        <v>3732960</v>
      </c>
    </row>
    <row r="159" ht="12.75">
      <c r="B159" s="4">
        <v>8800</v>
      </c>
    </row>
    <row r="160" ht="13.5" thickBot="1">
      <c r="B160" s="5">
        <v>0</v>
      </c>
    </row>
    <row r="161" ht="13.5" thickBot="1">
      <c r="B161" s="5">
        <f>SUM(B150:B160)</f>
        <v>117840</v>
      </c>
    </row>
    <row r="163" ht="12.75">
      <c r="G163" s="28" t="s">
        <v>74</v>
      </c>
    </row>
    <row r="166" ht="12.75">
      <c r="A166" s="2">
        <v>41214</v>
      </c>
    </row>
    <row r="168" ht="13.5" thickBot="1"/>
    <row r="169" spans="2:17" ht="13.5" thickBot="1">
      <c r="B169" s="53" t="s">
        <v>40</v>
      </c>
      <c r="C169" s="15" t="s">
        <v>0</v>
      </c>
      <c r="D169" s="16" t="s">
        <v>1</v>
      </c>
      <c r="E169" s="17" t="s">
        <v>2</v>
      </c>
      <c r="F169" s="18" t="s">
        <v>3</v>
      </c>
      <c r="G169" s="19" t="s">
        <v>4</v>
      </c>
      <c r="H169" s="20" t="s">
        <v>5</v>
      </c>
      <c r="I169" s="33" t="s">
        <v>6</v>
      </c>
      <c r="J169" s="22" t="s">
        <v>7</v>
      </c>
      <c r="K169" s="23" t="s">
        <v>8</v>
      </c>
      <c r="L169" s="24" t="s">
        <v>9</v>
      </c>
      <c r="M169" s="27" t="s">
        <v>14</v>
      </c>
      <c r="N169" s="1" t="s">
        <v>13</v>
      </c>
      <c r="O169" s="1" t="s">
        <v>11</v>
      </c>
      <c r="P169" s="32" t="s">
        <v>20</v>
      </c>
      <c r="Q169" s="81" t="s">
        <v>70</v>
      </c>
    </row>
    <row r="170" spans="2:17" ht="13.5" thickBot="1">
      <c r="B170" s="9"/>
      <c r="C170" s="3">
        <v>13240</v>
      </c>
      <c r="D170" s="3">
        <v>2960</v>
      </c>
      <c r="E170" s="3">
        <v>8380</v>
      </c>
      <c r="F170" s="9">
        <v>4460</v>
      </c>
      <c r="G170" s="3">
        <v>5020</v>
      </c>
      <c r="H170" s="7">
        <v>2400</v>
      </c>
      <c r="I170" s="3">
        <v>2400</v>
      </c>
      <c r="J170" s="1">
        <v>0</v>
      </c>
      <c r="K170" s="1">
        <v>594790</v>
      </c>
      <c r="L170" s="1">
        <v>2650480</v>
      </c>
      <c r="M170" s="9">
        <v>0</v>
      </c>
      <c r="N170" s="10">
        <v>78540</v>
      </c>
      <c r="O170" s="10">
        <v>3349530</v>
      </c>
      <c r="P170" s="34">
        <v>0</v>
      </c>
      <c r="Q170" s="1">
        <v>680</v>
      </c>
    </row>
    <row r="171" spans="3:15" ht="13.5" thickBot="1">
      <c r="C171" s="4">
        <v>15080</v>
      </c>
      <c r="D171" s="4">
        <v>0</v>
      </c>
      <c r="E171" s="4">
        <v>0</v>
      </c>
      <c r="G171" s="4">
        <v>8480</v>
      </c>
      <c r="H171" s="8">
        <v>0</v>
      </c>
      <c r="I171" s="4">
        <v>0</v>
      </c>
      <c r="N171" s="4">
        <v>2960</v>
      </c>
      <c r="O171" s="5">
        <v>4190</v>
      </c>
    </row>
    <row r="172" spans="3:15" ht="13.5" thickBot="1">
      <c r="C172" s="4">
        <v>13620</v>
      </c>
      <c r="D172" s="5">
        <v>0</v>
      </c>
      <c r="E172" s="5">
        <v>0</v>
      </c>
      <c r="G172" s="5">
        <v>0</v>
      </c>
      <c r="H172" s="9">
        <f>SUM(H170:H171)</f>
        <v>2400</v>
      </c>
      <c r="I172" s="4">
        <v>0</v>
      </c>
      <c r="N172" s="4">
        <v>4460</v>
      </c>
      <c r="O172" s="5">
        <f>SUM(O170:O171)</f>
        <v>3353720</v>
      </c>
    </row>
    <row r="173" spans="3:14" ht="13.5" thickBot="1">
      <c r="C173" s="4">
        <v>12320</v>
      </c>
      <c r="D173" s="5">
        <f>SUM(D170:D172)</f>
        <v>2960</v>
      </c>
      <c r="E173" s="1">
        <f>SUM(E170:E172)</f>
        <v>8380</v>
      </c>
      <c r="G173" s="1">
        <f>SUM(G170:G172)</f>
        <v>13500</v>
      </c>
      <c r="I173" s="5">
        <v>0</v>
      </c>
      <c r="N173" s="4">
        <v>13500</v>
      </c>
    </row>
    <row r="174" spans="3:14" ht="13.5" thickBot="1">
      <c r="C174" s="4">
        <v>14960</v>
      </c>
      <c r="E174" t="s">
        <v>67</v>
      </c>
      <c r="I174" s="5">
        <f>SUM(I170:I173)</f>
        <v>2400</v>
      </c>
      <c r="N174" s="4">
        <v>2400</v>
      </c>
    </row>
    <row r="175" spans="3:14" ht="13.5" thickBot="1">
      <c r="C175" s="4">
        <v>9320</v>
      </c>
      <c r="E175" s="1">
        <v>4190</v>
      </c>
      <c r="N175" s="4">
        <v>2400</v>
      </c>
    </row>
    <row r="176" spans="3:14" ht="13.5" thickBot="1">
      <c r="C176" s="4">
        <v>0</v>
      </c>
      <c r="E176" s="82"/>
      <c r="N176" s="4">
        <v>594790</v>
      </c>
    </row>
    <row r="177" spans="3:14" ht="13.5" thickBot="1">
      <c r="C177" s="4">
        <v>0</v>
      </c>
      <c r="E177" s="1"/>
      <c r="N177" s="5">
        <v>2650480</v>
      </c>
    </row>
    <row r="178" spans="3:14" ht="13.5" thickBot="1">
      <c r="C178" s="4">
        <v>0</v>
      </c>
      <c r="N178" s="5">
        <f>SUM(N170:N177)</f>
        <v>3349530</v>
      </c>
    </row>
    <row r="179" ht="13.5" thickBot="1">
      <c r="C179" s="5">
        <v>0</v>
      </c>
    </row>
    <row r="180" ht="13.5" thickBot="1">
      <c r="C180" s="5">
        <f>SUM(C170:C179)</f>
        <v>78540</v>
      </c>
    </row>
    <row r="182" ht="12.75">
      <c r="G182" s="28" t="s">
        <v>73</v>
      </c>
    </row>
    <row r="185" ht="12.75">
      <c r="A185" s="2">
        <v>41244</v>
      </c>
    </row>
    <row r="186" ht="13.5" thickBot="1"/>
    <row r="187" spans="2:25" ht="13.5" thickBot="1">
      <c r="B187" s="54" t="s">
        <v>40</v>
      </c>
      <c r="C187" s="35" t="s">
        <v>0</v>
      </c>
      <c r="D187" s="16" t="s">
        <v>1</v>
      </c>
      <c r="E187" s="17" t="s">
        <v>2</v>
      </c>
      <c r="F187" s="18" t="s">
        <v>3</v>
      </c>
      <c r="G187" s="19" t="s">
        <v>4</v>
      </c>
      <c r="H187" s="20" t="s">
        <v>5</v>
      </c>
      <c r="I187" s="33" t="s">
        <v>6</v>
      </c>
      <c r="J187" s="22" t="s">
        <v>7</v>
      </c>
      <c r="K187" s="23" t="s">
        <v>8</v>
      </c>
      <c r="L187" s="24" t="s">
        <v>9</v>
      </c>
      <c r="M187" s="27" t="s">
        <v>14</v>
      </c>
      <c r="N187" s="1" t="s">
        <v>13</v>
      </c>
      <c r="O187" s="1" t="s">
        <v>11</v>
      </c>
      <c r="P187" s="32" t="s">
        <v>20</v>
      </c>
      <c r="S187" s="28" t="s">
        <v>119</v>
      </c>
      <c r="T187" s="28" t="s">
        <v>120</v>
      </c>
      <c r="U187" s="28" t="s">
        <v>121</v>
      </c>
      <c r="V187" s="28" t="s">
        <v>146</v>
      </c>
      <c r="W187" s="28" t="s">
        <v>123</v>
      </c>
      <c r="X187" s="28" t="s">
        <v>122</v>
      </c>
      <c r="Y187" s="28" t="s">
        <v>147</v>
      </c>
    </row>
    <row r="188" spans="2:25" ht="13.5" thickBot="1">
      <c r="B188" s="9"/>
      <c r="C188" s="3">
        <v>14320</v>
      </c>
      <c r="D188">
        <v>2340</v>
      </c>
      <c r="E188" s="7">
        <v>4900</v>
      </c>
      <c r="F188" s="3">
        <v>1600</v>
      </c>
      <c r="G188" s="3">
        <v>10860</v>
      </c>
      <c r="H188" s="70"/>
      <c r="I188" s="3">
        <v>2460</v>
      </c>
      <c r="J188" s="34"/>
      <c r="K188" s="1">
        <v>31892.79</v>
      </c>
      <c r="L188" s="9">
        <v>1140640</v>
      </c>
      <c r="M188" s="3">
        <v>3220</v>
      </c>
      <c r="N188" s="10">
        <v>108940</v>
      </c>
      <c r="O188" s="56">
        <v>6550</v>
      </c>
      <c r="P188" s="1">
        <v>4100</v>
      </c>
      <c r="S188">
        <v>155</v>
      </c>
      <c r="T188">
        <v>7</v>
      </c>
      <c r="U188">
        <v>3</v>
      </c>
      <c r="V188">
        <v>32</v>
      </c>
      <c r="W188">
        <v>7</v>
      </c>
      <c r="X188">
        <v>6</v>
      </c>
      <c r="Y188">
        <v>8</v>
      </c>
    </row>
    <row r="189" spans="3:25" ht="13.5" thickBot="1">
      <c r="C189" s="4">
        <v>15020</v>
      </c>
      <c r="D189">
        <v>0</v>
      </c>
      <c r="E189" s="6">
        <v>0</v>
      </c>
      <c r="F189" s="4">
        <v>4440</v>
      </c>
      <c r="G189" s="4">
        <v>9700</v>
      </c>
      <c r="I189" s="5">
        <v>2460</v>
      </c>
      <c r="M189" s="4">
        <v>8220</v>
      </c>
      <c r="N189" s="4">
        <v>2340</v>
      </c>
      <c r="O189" s="57">
        <v>1315333</v>
      </c>
      <c r="S189">
        <v>99</v>
      </c>
      <c r="T189">
        <v>8</v>
      </c>
      <c r="U189">
        <v>8</v>
      </c>
      <c r="V189">
        <v>20</v>
      </c>
      <c r="W189">
        <v>11</v>
      </c>
      <c r="X189">
        <v>16</v>
      </c>
      <c r="Y189">
        <v>7</v>
      </c>
    </row>
    <row r="190" spans="3:25" ht="13.5" thickBot="1">
      <c r="C190" s="4">
        <v>13400</v>
      </c>
      <c r="D190" s="1">
        <v>2340</v>
      </c>
      <c r="E190" s="8">
        <v>0</v>
      </c>
      <c r="F190" s="5">
        <v>0</v>
      </c>
      <c r="G190" s="5">
        <v>0</v>
      </c>
      <c r="I190" s="1">
        <f>SUM(I188:I189)</f>
        <v>4920</v>
      </c>
      <c r="M190" s="5">
        <v>3620</v>
      </c>
      <c r="N190" s="4">
        <v>6040</v>
      </c>
      <c r="O190" s="1">
        <f>SUM(O188:O189)</f>
        <v>1321883</v>
      </c>
      <c r="S190">
        <v>94</v>
      </c>
      <c r="T190">
        <v>9</v>
      </c>
      <c r="U190">
        <v>2</v>
      </c>
      <c r="V190">
        <v>22</v>
      </c>
      <c r="W190">
        <v>5</v>
      </c>
      <c r="X190">
        <v>4</v>
      </c>
      <c r="Y190">
        <v>6</v>
      </c>
    </row>
    <row r="191" spans="3:25" ht="13.5" thickBot="1">
      <c r="C191" s="4">
        <v>15020</v>
      </c>
      <c r="E191" s="1">
        <v>4900</v>
      </c>
      <c r="F191" s="1">
        <f>SUM(F188:F190)</f>
        <v>6040</v>
      </c>
      <c r="G191" s="1">
        <f>SUM(G188:G190)</f>
        <v>20560</v>
      </c>
      <c r="M191" s="1">
        <f>SUM(M188:M190)</f>
        <v>15060</v>
      </c>
      <c r="N191" s="4">
        <v>20560</v>
      </c>
      <c r="S191">
        <v>87</v>
      </c>
      <c r="T191">
        <v>4</v>
      </c>
      <c r="U191">
        <v>4</v>
      </c>
      <c r="V191">
        <v>13</v>
      </c>
      <c r="W191">
        <v>5</v>
      </c>
      <c r="X191">
        <v>4</v>
      </c>
      <c r="Y191">
        <v>7</v>
      </c>
    </row>
    <row r="192" spans="3:25" ht="13.5" thickBot="1">
      <c r="C192" s="4">
        <v>11740</v>
      </c>
      <c r="E192" t="s">
        <v>71</v>
      </c>
      <c r="N192" s="4">
        <v>4920</v>
      </c>
      <c r="S192">
        <v>142</v>
      </c>
      <c r="T192">
        <v>15</v>
      </c>
      <c r="U192">
        <v>2</v>
      </c>
      <c r="V192">
        <v>27</v>
      </c>
      <c r="W192">
        <v>8</v>
      </c>
      <c r="X192">
        <v>6</v>
      </c>
      <c r="Y192">
        <v>15</v>
      </c>
    </row>
    <row r="193" spans="3:25" ht="13.5" thickBot="1">
      <c r="C193" s="4">
        <v>13020</v>
      </c>
      <c r="E193" s="1">
        <v>2450</v>
      </c>
      <c r="N193" s="4">
        <v>31893</v>
      </c>
      <c r="S193">
        <v>104</v>
      </c>
      <c r="T193" s="1">
        <f>SUM(T188:T192)</f>
        <v>43</v>
      </c>
      <c r="U193">
        <v>5</v>
      </c>
      <c r="V193">
        <v>22</v>
      </c>
      <c r="W193">
        <v>14</v>
      </c>
      <c r="X193">
        <v>4</v>
      </c>
      <c r="Y193">
        <v>14</v>
      </c>
    </row>
    <row r="194" spans="3:25" ht="13.5" thickBot="1">
      <c r="C194" s="4">
        <v>14260</v>
      </c>
      <c r="E194" s="12">
        <v>4100</v>
      </c>
      <c r="N194" s="4">
        <v>1140640</v>
      </c>
      <c r="S194">
        <v>118</v>
      </c>
      <c r="U194">
        <v>3</v>
      </c>
      <c r="V194">
        <v>19</v>
      </c>
      <c r="W194">
        <v>6</v>
      </c>
      <c r="X194">
        <v>5</v>
      </c>
      <c r="Y194">
        <v>7</v>
      </c>
    </row>
    <row r="195" spans="3:25" ht="13.5" thickBot="1">
      <c r="C195" s="4">
        <v>12160</v>
      </c>
      <c r="E195" s="1">
        <v>6550</v>
      </c>
      <c r="F195" t="s">
        <v>72</v>
      </c>
      <c r="N195" s="5">
        <v>0</v>
      </c>
      <c r="S195">
        <v>79</v>
      </c>
      <c r="U195">
        <v>2</v>
      </c>
      <c r="V195">
        <v>13</v>
      </c>
      <c r="W195">
        <v>8</v>
      </c>
      <c r="X195" s="1">
        <f>SUM(X188:X194)</f>
        <v>45</v>
      </c>
      <c r="Y195" s="82">
        <v>6</v>
      </c>
    </row>
    <row r="196" spans="3:25" ht="13.5" thickBot="1">
      <c r="C196" s="4">
        <v>0</v>
      </c>
      <c r="N196" s="5">
        <f>SUM(N188:N195)</f>
        <v>1315333</v>
      </c>
      <c r="S196">
        <v>110</v>
      </c>
      <c r="U196" s="1">
        <f>SUM(U188:U195)</f>
        <v>29</v>
      </c>
      <c r="V196">
        <v>20</v>
      </c>
      <c r="W196">
        <v>2</v>
      </c>
      <c r="Y196" s="82">
        <v>5</v>
      </c>
    </row>
    <row r="197" spans="3:25" ht="13.5" thickBot="1">
      <c r="C197" s="5">
        <v>0</v>
      </c>
      <c r="S197" s="1">
        <f>SUM(S188:S196)</f>
        <v>988</v>
      </c>
      <c r="V197">
        <v>14</v>
      </c>
      <c r="W197">
        <v>9</v>
      </c>
      <c r="Y197" s="82">
        <v>3</v>
      </c>
    </row>
    <row r="198" spans="3:25" ht="13.5" thickBot="1">
      <c r="C198" s="1">
        <f>SUM(C188:C197)</f>
        <v>108940</v>
      </c>
      <c r="V198">
        <v>21</v>
      </c>
      <c r="W198">
        <v>5</v>
      </c>
      <c r="Y198" s="1">
        <f>SUM(Y188:Y197)</f>
        <v>78</v>
      </c>
    </row>
    <row r="199" spans="22:23" ht="13.5" thickBot="1">
      <c r="V199" s="1">
        <f>SUM(V188:V198)</f>
        <v>223</v>
      </c>
      <c r="W199">
        <v>6</v>
      </c>
    </row>
    <row r="200" spans="7:23" ht="13.5" thickBot="1">
      <c r="G200" s="28" t="s">
        <v>76</v>
      </c>
      <c r="W200" s="1">
        <f>SUM(W188:W199)</f>
        <v>86</v>
      </c>
    </row>
    <row r="202" ht="12.75">
      <c r="G202" s="28" t="s">
        <v>68</v>
      </c>
    </row>
    <row r="203" ht="12.75">
      <c r="S203">
        <v>988</v>
      </c>
    </row>
    <row r="204" ht="12.75">
      <c r="S204">
        <v>43</v>
      </c>
    </row>
    <row r="205" ht="12.75">
      <c r="S205">
        <v>29</v>
      </c>
    </row>
    <row r="206" ht="12.75">
      <c r="S206">
        <v>223</v>
      </c>
    </row>
    <row r="207" ht="12.75">
      <c r="S207">
        <v>86</v>
      </c>
    </row>
    <row r="208" ht="12.75">
      <c r="S208">
        <v>45</v>
      </c>
    </row>
    <row r="209" ht="13.5" thickBot="1">
      <c r="S209">
        <v>78</v>
      </c>
    </row>
    <row r="210" ht="13.5" thickBot="1">
      <c r="S210" s="1">
        <f>SUM(S203:S209)</f>
        <v>1492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AC283"/>
  <sheetViews>
    <sheetView zoomScale="75" zoomScaleNormal="75" zoomScalePageLayoutView="0" workbookViewId="0" topLeftCell="E46">
      <selection activeCell="AB36" sqref="AB35:AB36"/>
    </sheetView>
  </sheetViews>
  <sheetFormatPr defaultColWidth="9.140625" defaultRowHeight="12.75"/>
  <cols>
    <col min="5" max="5" width="10.7109375" style="0" customWidth="1"/>
    <col min="15" max="15" width="13.7109375" style="0" customWidth="1"/>
    <col min="16" max="16" width="14.28125" style="0" customWidth="1"/>
    <col min="18" max="18" width="13.421875" style="0" customWidth="1"/>
    <col min="28" max="28" width="12.7109375" style="0" customWidth="1"/>
  </cols>
  <sheetData>
    <row r="1" ht="13.5" thickBot="1"/>
    <row r="2" spans="1:6" ht="18.75" thickBot="1">
      <c r="A2" s="83" t="s">
        <v>77</v>
      </c>
      <c r="B2" s="84"/>
      <c r="C2" s="84"/>
      <c r="D2" s="85"/>
      <c r="E2" s="86"/>
      <c r="F2" t="s">
        <v>78</v>
      </c>
    </row>
    <row r="3" ht="13.5" thickBot="1"/>
    <row r="4" spans="1:29" ht="13.5" thickBot="1">
      <c r="A4" s="53" t="s">
        <v>40</v>
      </c>
      <c r="B4" s="15" t="s">
        <v>0</v>
      </c>
      <c r="C4" s="16" t="s">
        <v>1</v>
      </c>
      <c r="D4" s="17" t="s">
        <v>2</v>
      </c>
      <c r="E4" s="18" t="s">
        <v>81</v>
      </c>
      <c r="F4" s="19" t="s">
        <v>4</v>
      </c>
      <c r="G4" s="20" t="s">
        <v>5</v>
      </c>
      <c r="H4" s="33" t="s">
        <v>6</v>
      </c>
      <c r="I4" s="22" t="s">
        <v>7</v>
      </c>
      <c r="J4" s="23" t="s">
        <v>8</v>
      </c>
      <c r="K4" s="24" t="s">
        <v>9</v>
      </c>
      <c r="L4" s="27" t="s">
        <v>14</v>
      </c>
      <c r="M4" s="1" t="s">
        <v>13</v>
      </c>
      <c r="N4" s="1" t="s">
        <v>11</v>
      </c>
      <c r="O4" s="32" t="s">
        <v>20</v>
      </c>
      <c r="P4" s="81" t="s">
        <v>70</v>
      </c>
      <c r="S4" t="s">
        <v>119</v>
      </c>
      <c r="T4">
        <v>77740</v>
      </c>
      <c r="V4" t="s">
        <v>120</v>
      </c>
      <c r="W4">
        <v>4560</v>
      </c>
      <c r="Y4" t="s">
        <v>121</v>
      </c>
      <c r="Z4">
        <v>2460</v>
      </c>
      <c r="AB4" t="s">
        <v>136</v>
      </c>
      <c r="AC4">
        <v>10820</v>
      </c>
    </row>
    <row r="5" spans="1:29" ht="13.5" thickBot="1">
      <c r="A5" s="9">
        <v>1500</v>
      </c>
      <c r="B5" s="3">
        <v>12160</v>
      </c>
      <c r="C5" s="3">
        <v>2480</v>
      </c>
      <c r="D5" s="3">
        <v>6520</v>
      </c>
      <c r="E5" s="9">
        <v>5160</v>
      </c>
      <c r="F5" s="3">
        <v>10820</v>
      </c>
      <c r="G5" s="7">
        <v>2460</v>
      </c>
      <c r="H5" s="3">
        <v>2300</v>
      </c>
      <c r="I5" s="1"/>
      <c r="J5" s="1">
        <v>260000</v>
      </c>
      <c r="K5" s="1">
        <v>2116640</v>
      </c>
      <c r="L5" s="9">
        <v>4560</v>
      </c>
      <c r="M5" s="10">
        <v>1500</v>
      </c>
      <c r="N5" s="59">
        <v>3260</v>
      </c>
      <c r="O5" s="34">
        <v>0</v>
      </c>
      <c r="P5" s="1"/>
      <c r="T5">
        <v>82800</v>
      </c>
      <c r="W5">
        <v>3140</v>
      </c>
      <c r="Z5">
        <v>2260</v>
      </c>
      <c r="AC5">
        <v>17280</v>
      </c>
    </row>
    <row r="6" spans="2:29" ht="13.5" thickBot="1">
      <c r="B6" s="4">
        <v>12860</v>
      </c>
      <c r="C6" s="4">
        <v>2060</v>
      </c>
      <c r="D6" s="4">
        <v>0</v>
      </c>
      <c r="F6" s="4"/>
      <c r="G6" s="8"/>
      <c r="H6" s="4">
        <v>1020</v>
      </c>
      <c r="M6" s="4">
        <v>77740</v>
      </c>
      <c r="N6" s="57">
        <v>2488360</v>
      </c>
      <c r="T6">
        <v>154880</v>
      </c>
      <c r="W6">
        <v>8040</v>
      </c>
      <c r="Z6">
        <v>2280</v>
      </c>
      <c r="AC6">
        <v>14300</v>
      </c>
    </row>
    <row r="7" spans="2:29" ht="13.5" thickBot="1">
      <c r="B7" s="4">
        <v>15100</v>
      </c>
      <c r="C7" s="5">
        <v>2660</v>
      </c>
      <c r="D7" s="5">
        <v>0</v>
      </c>
      <c r="E7" s="89" t="s">
        <v>56</v>
      </c>
      <c r="F7" s="5"/>
      <c r="G7" s="9">
        <v>2460</v>
      </c>
      <c r="H7" s="4">
        <v>0</v>
      </c>
      <c r="M7" s="4">
        <v>7200</v>
      </c>
      <c r="N7" s="57">
        <f>SUM(N5:N6)</f>
        <v>2491620</v>
      </c>
      <c r="T7">
        <v>108520</v>
      </c>
      <c r="W7">
        <v>3740</v>
      </c>
      <c r="Z7">
        <v>1960</v>
      </c>
      <c r="AC7">
        <v>14140</v>
      </c>
    </row>
    <row r="8" spans="2:29" ht="13.5" thickBot="1">
      <c r="B8" s="4">
        <v>8840</v>
      </c>
      <c r="C8" s="5">
        <f>SUM(C5:C7)</f>
        <v>7200</v>
      </c>
      <c r="D8" s="1">
        <v>6520</v>
      </c>
      <c r="E8" s="87">
        <v>860</v>
      </c>
      <c r="F8" s="1">
        <v>10820</v>
      </c>
      <c r="H8" s="5">
        <v>0</v>
      </c>
      <c r="M8" s="4">
        <v>860</v>
      </c>
      <c r="T8">
        <v>135880</v>
      </c>
      <c r="W8">
        <v>9680</v>
      </c>
      <c r="Z8">
        <v>2160</v>
      </c>
      <c r="AC8">
        <v>19240</v>
      </c>
    </row>
    <row r="9" spans="2:29" ht="13.5" thickBot="1">
      <c r="B9" s="4">
        <v>13820</v>
      </c>
      <c r="D9" t="s">
        <v>71</v>
      </c>
      <c r="E9">
        <v>5160</v>
      </c>
      <c r="H9" s="5">
        <f>SUM(H5:H8)</f>
        <v>3320</v>
      </c>
      <c r="M9" s="4">
        <v>10820</v>
      </c>
      <c r="T9">
        <v>143900</v>
      </c>
      <c r="W9">
        <v>7840</v>
      </c>
      <c r="Z9">
        <v>1940</v>
      </c>
      <c r="AC9">
        <v>17451</v>
      </c>
    </row>
    <row r="10" spans="2:29" ht="13.5" thickBot="1">
      <c r="B10" s="4">
        <v>14960</v>
      </c>
      <c r="D10" s="1">
        <v>3260</v>
      </c>
      <c r="E10">
        <f>SUM(E8:E9)</f>
        <v>6020</v>
      </c>
      <c r="M10" s="4">
        <v>2460</v>
      </c>
      <c r="T10">
        <v>74360</v>
      </c>
      <c r="W10">
        <v>2040</v>
      </c>
      <c r="Z10">
        <v>5880</v>
      </c>
      <c r="AC10">
        <v>7740</v>
      </c>
    </row>
    <row r="11" spans="2:29" ht="12.75">
      <c r="B11" s="4">
        <v>0</v>
      </c>
      <c r="D11" s="82"/>
      <c r="M11" s="4">
        <v>3320</v>
      </c>
      <c r="T11">
        <v>174460</v>
      </c>
      <c r="W11">
        <v>5440</v>
      </c>
      <c r="Z11">
        <v>2040</v>
      </c>
      <c r="AC11">
        <v>27140</v>
      </c>
    </row>
    <row r="12" spans="2:29" ht="13.5" thickBot="1">
      <c r="B12" s="4">
        <v>0</v>
      </c>
      <c r="D12" s="55"/>
      <c r="M12" s="4">
        <v>260000</v>
      </c>
      <c r="T12">
        <v>133820</v>
      </c>
      <c r="W12">
        <v>8480</v>
      </c>
      <c r="Z12">
        <v>4180</v>
      </c>
      <c r="AC12">
        <v>13240</v>
      </c>
    </row>
    <row r="13" spans="2:29" ht="13.5" thickBot="1">
      <c r="B13" s="4">
        <v>0</v>
      </c>
      <c r="M13" s="4">
        <v>2116640</v>
      </c>
      <c r="O13" s="1">
        <v>2491620</v>
      </c>
      <c r="T13">
        <v>141680</v>
      </c>
      <c r="W13">
        <v>2360</v>
      </c>
      <c r="Z13">
        <v>2360</v>
      </c>
      <c r="AC13">
        <v>12100</v>
      </c>
    </row>
    <row r="14" spans="2:29" ht="13.5" thickBot="1">
      <c r="B14" s="5">
        <v>0</v>
      </c>
      <c r="M14" s="11">
        <v>3260</v>
      </c>
      <c r="O14" s="1">
        <v>0</v>
      </c>
      <c r="T14">
        <v>139220</v>
      </c>
      <c r="W14">
        <v>1780</v>
      </c>
      <c r="Z14">
        <v>1500</v>
      </c>
      <c r="AC14">
        <v>29500</v>
      </c>
    </row>
    <row r="15" spans="2:29" ht="13.5" thickBot="1">
      <c r="B15" s="5">
        <f>SUM(B5:B14)</f>
        <v>77740</v>
      </c>
      <c r="M15" s="12">
        <v>4560</v>
      </c>
      <c r="O15" s="1">
        <f>SUM(O13:O14)</f>
        <v>2491620</v>
      </c>
      <c r="P15" t="s">
        <v>83</v>
      </c>
      <c r="T15">
        <v>117800</v>
      </c>
      <c r="W15">
        <v>7180</v>
      </c>
      <c r="Z15">
        <v>4580</v>
      </c>
      <c r="AC15">
        <v>4720</v>
      </c>
    </row>
    <row r="16" spans="13:29" ht="13.5" thickBot="1">
      <c r="M16" s="1">
        <f>SUM(M5:M15)</f>
        <v>2488360</v>
      </c>
      <c r="T16" s="1">
        <f>SUM(T4:T15)</f>
        <v>1485060</v>
      </c>
      <c r="W16" s="1">
        <f>SUM(W4:W15)</f>
        <v>64280</v>
      </c>
      <c r="Z16" s="1">
        <f>SUM(Z4:Z15)</f>
        <v>33600</v>
      </c>
      <c r="AC16">
        <f>SUM(AC4:AC15)</f>
        <v>187671</v>
      </c>
    </row>
    <row r="17" ht="12.75">
      <c r="F17" s="28" t="s">
        <v>98</v>
      </c>
    </row>
    <row r="19" spans="6:26" ht="12.75">
      <c r="F19" s="92" t="s">
        <v>99</v>
      </c>
      <c r="S19" t="s">
        <v>122</v>
      </c>
      <c r="T19">
        <v>3320</v>
      </c>
      <c r="V19" t="s">
        <v>123</v>
      </c>
      <c r="W19">
        <v>6020</v>
      </c>
      <c r="Y19" t="s">
        <v>124</v>
      </c>
      <c r="Z19">
        <v>7200</v>
      </c>
    </row>
    <row r="20" spans="20:26" ht="12.75">
      <c r="T20">
        <v>2520</v>
      </c>
      <c r="W20">
        <v>7320</v>
      </c>
      <c r="Z20">
        <v>9720</v>
      </c>
    </row>
    <row r="21" spans="20:26" ht="12.75">
      <c r="T21">
        <v>2120</v>
      </c>
      <c r="W21">
        <v>4460</v>
      </c>
      <c r="Z21">
        <v>8890</v>
      </c>
    </row>
    <row r="22" spans="20:26" ht="13.5" thickBot="1">
      <c r="T22">
        <v>4720</v>
      </c>
      <c r="W22">
        <v>9460</v>
      </c>
      <c r="Z22">
        <v>7960</v>
      </c>
    </row>
    <row r="23" spans="1:26" ht="13.5" thickBot="1">
      <c r="A23" s="53" t="s">
        <v>40</v>
      </c>
      <c r="B23" s="15" t="s">
        <v>0</v>
      </c>
      <c r="C23" s="16" t="s">
        <v>1</v>
      </c>
      <c r="D23" s="17" t="s">
        <v>2</v>
      </c>
      <c r="E23" s="18" t="s">
        <v>81</v>
      </c>
      <c r="F23" s="19" t="s">
        <v>4</v>
      </c>
      <c r="G23" s="20" t="s">
        <v>5</v>
      </c>
      <c r="H23" s="33" t="s">
        <v>6</v>
      </c>
      <c r="I23" s="22" t="s">
        <v>7</v>
      </c>
      <c r="J23" s="23" t="s">
        <v>8</v>
      </c>
      <c r="K23" s="24" t="s">
        <v>9</v>
      </c>
      <c r="L23" s="27" t="s">
        <v>14</v>
      </c>
      <c r="M23" s="1" t="s">
        <v>13</v>
      </c>
      <c r="N23" s="3" t="s">
        <v>11</v>
      </c>
      <c r="O23" s="32" t="s">
        <v>20</v>
      </c>
      <c r="P23" s="81" t="s">
        <v>70</v>
      </c>
      <c r="Q23" s="88" t="s">
        <v>80</v>
      </c>
      <c r="T23">
        <v>5000</v>
      </c>
      <c r="W23">
        <v>28640</v>
      </c>
      <c r="Z23">
        <v>12590</v>
      </c>
    </row>
    <row r="24" spans="1:26" ht="13.5" thickBot="1">
      <c r="A24" s="9"/>
      <c r="B24" s="3">
        <v>14500</v>
      </c>
      <c r="C24" s="3">
        <v>4240</v>
      </c>
      <c r="D24" s="3">
        <v>9520</v>
      </c>
      <c r="E24" s="9">
        <v>3420</v>
      </c>
      <c r="F24" s="3">
        <v>4720</v>
      </c>
      <c r="G24" s="7">
        <v>2260</v>
      </c>
      <c r="H24" s="3">
        <v>2520</v>
      </c>
      <c r="I24" s="1">
        <v>0</v>
      </c>
      <c r="J24" s="1">
        <v>629960</v>
      </c>
      <c r="K24" s="1">
        <v>2945450</v>
      </c>
      <c r="L24" s="9">
        <v>3140</v>
      </c>
      <c r="M24" s="13">
        <v>82800</v>
      </c>
      <c r="N24" s="10">
        <v>9520</v>
      </c>
      <c r="O24" s="34">
        <v>460</v>
      </c>
      <c r="P24" s="1"/>
      <c r="Q24" s="1">
        <v>1040</v>
      </c>
      <c r="T24">
        <v>2540</v>
      </c>
      <c r="W24">
        <v>4000</v>
      </c>
      <c r="Z24">
        <v>11000</v>
      </c>
    </row>
    <row r="25" spans="2:26" ht="13.5" thickBot="1">
      <c r="B25" s="4">
        <v>14460</v>
      </c>
      <c r="C25" s="4">
        <v>3160</v>
      </c>
      <c r="D25" s="4"/>
      <c r="F25" s="4">
        <v>12560</v>
      </c>
      <c r="G25" s="8">
        <v>0</v>
      </c>
      <c r="H25" s="4">
        <v>0</v>
      </c>
      <c r="M25" s="6">
        <v>9720</v>
      </c>
      <c r="N25" s="4">
        <v>460</v>
      </c>
      <c r="T25">
        <v>3720</v>
      </c>
      <c r="W25">
        <v>12500</v>
      </c>
      <c r="Z25">
        <v>9560</v>
      </c>
    </row>
    <row r="26" spans="2:26" ht="13.5" thickBot="1">
      <c r="B26" s="4">
        <v>14920</v>
      </c>
      <c r="C26" s="5">
        <v>2320</v>
      </c>
      <c r="D26" s="5"/>
      <c r="E26" s="89" t="s">
        <v>56</v>
      </c>
      <c r="F26" s="5">
        <v>0</v>
      </c>
      <c r="G26" s="9">
        <v>2260</v>
      </c>
      <c r="H26" s="4">
        <v>0</v>
      </c>
      <c r="M26" s="6">
        <v>3420</v>
      </c>
      <c r="N26" s="5">
        <v>3698390</v>
      </c>
      <c r="T26">
        <v>2620</v>
      </c>
      <c r="W26">
        <v>3940</v>
      </c>
      <c r="Z26">
        <v>6680</v>
      </c>
    </row>
    <row r="27" spans="2:26" ht="13.5" thickBot="1">
      <c r="B27" s="4">
        <v>13140</v>
      </c>
      <c r="C27" s="5">
        <f>SUM(C24:C26)</f>
        <v>9720</v>
      </c>
      <c r="D27" s="1">
        <v>9520</v>
      </c>
      <c r="E27" s="87">
        <v>3900</v>
      </c>
      <c r="F27" s="1">
        <f>SUM(F24:F26)</f>
        <v>17280</v>
      </c>
      <c r="H27" s="5">
        <v>0</v>
      </c>
      <c r="M27" s="4">
        <v>3900</v>
      </c>
      <c r="N27" s="1">
        <f>SUM(N24:N26)</f>
        <v>3708370</v>
      </c>
      <c r="O27" s="90" t="s">
        <v>85</v>
      </c>
      <c r="T27">
        <v>4420</v>
      </c>
      <c r="W27">
        <v>8200</v>
      </c>
      <c r="Z27">
        <v>2740</v>
      </c>
    </row>
    <row r="28" spans="2:26" ht="13.5" thickBot="1">
      <c r="B28" s="4">
        <v>12540</v>
      </c>
      <c r="D28" t="s">
        <v>71</v>
      </c>
      <c r="E28">
        <v>3420</v>
      </c>
      <c r="H28" s="5">
        <v>2520</v>
      </c>
      <c r="M28" s="4">
        <v>17280</v>
      </c>
      <c r="T28">
        <v>7100</v>
      </c>
      <c r="W28">
        <v>2560</v>
      </c>
      <c r="Z28">
        <v>11006</v>
      </c>
    </row>
    <row r="29" spans="2:26" ht="13.5" thickBot="1">
      <c r="B29" s="4">
        <v>13240</v>
      </c>
      <c r="D29" s="1">
        <v>4760</v>
      </c>
      <c r="E29">
        <f>SUM(E27:E28)</f>
        <v>7320</v>
      </c>
      <c r="M29" s="4">
        <v>2260</v>
      </c>
      <c r="T29">
        <v>3280</v>
      </c>
      <c r="W29">
        <v>8540</v>
      </c>
      <c r="Z29">
        <v>10780</v>
      </c>
    </row>
    <row r="30" spans="2:26" ht="13.5" thickBot="1">
      <c r="B30" s="4">
        <v>0</v>
      </c>
      <c r="D30" s="82"/>
      <c r="M30" s="4">
        <v>2560</v>
      </c>
      <c r="T30">
        <v>4150</v>
      </c>
      <c r="W30">
        <v>9340</v>
      </c>
      <c r="Z30">
        <v>4500</v>
      </c>
    </row>
    <row r="31" spans="2:26" ht="13.5" thickBot="1">
      <c r="B31" s="4">
        <v>0</v>
      </c>
      <c r="D31" s="55"/>
      <c r="M31" s="4">
        <v>629960</v>
      </c>
      <c r="T31" s="1">
        <f>SUM(T19:T30)</f>
        <v>45510</v>
      </c>
      <c r="W31" s="1">
        <f>SUM(W19:W30)</f>
        <v>104980</v>
      </c>
      <c r="Z31" s="1">
        <f>SUM(Z19:Z30)</f>
        <v>102626</v>
      </c>
    </row>
    <row r="32" spans="2:13" ht="12.75">
      <c r="B32" s="4">
        <v>0</v>
      </c>
      <c r="M32" s="4">
        <v>2945450</v>
      </c>
    </row>
    <row r="33" spans="2:13" ht="13.5" thickBot="1">
      <c r="B33" s="5">
        <v>0</v>
      </c>
      <c r="M33" s="12">
        <v>1040</v>
      </c>
    </row>
    <row r="34" spans="2:26" ht="13.5" thickBot="1">
      <c r="B34" s="5">
        <f>SUM(B24:B33)</f>
        <v>82800</v>
      </c>
      <c r="M34" s="1">
        <f>SUM(M24:M33)</f>
        <v>3698390</v>
      </c>
      <c r="O34" s="1">
        <v>3698390</v>
      </c>
      <c r="S34" t="s">
        <v>125</v>
      </c>
      <c r="T34">
        <v>2116640</v>
      </c>
      <c r="V34" t="s">
        <v>126</v>
      </c>
      <c r="W34">
        <v>260000</v>
      </c>
      <c r="Y34" t="s">
        <v>127</v>
      </c>
      <c r="Z34">
        <v>3979480</v>
      </c>
    </row>
    <row r="35" spans="13:23" ht="13.5" thickBot="1">
      <c r="M35" s="26">
        <v>4760</v>
      </c>
      <c r="N35" t="s">
        <v>82</v>
      </c>
      <c r="O35" s="1">
        <v>9520</v>
      </c>
      <c r="P35" t="s">
        <v>83</v>
      </c>
      <c r="T35">
        <v>2945450</v>
      </c>
      <c r="W35">
        <v>629960</v>
      </c>
    </row>
    <row r="36" spans="6:23" ht="13.5" thickBot="1">
      <c r="F36" s="28" t="s">
        <v>84</v>
      </c>
      <c r="M36" s="5">
        <f>SUM(M34:M35)</f>
        <v>3703150</v>
      </c>
      <c r="N36" s="90" t="s">
        <v>86</v>
      </c>
      <c r="O36" s="1">
        <f>SUM(O34:O35)</f>
        <v>3707910</v>
      </c>
      <c r="T36">
        <v>3189120</v>
      </c>
      <c r="W36">
        <v>437000</v>
      </c>
    </row>
    <row r="37" spans="20:23" ht="12.75">
      <c r="T37">
        <v>1437700</v>
      </c>
      <c r="W37">
        <v>428000</v>
      </c>
    </row>
    <row r="38" spans="20:23" ht="12.75">
      <c r="T38">
        <v>2771520</v>
      </c>
      <c r="W38">
        <v>476000</v>
      </c>
    </row>
    <row r="39" spans="6:23" ht="12.75">
      <c r="F39" s="28" t="s">
        <v>88</v>
      </c>
      <c r="G39" s="28"/>
      <c r="H39" s="28"/>
      <c r="T39">
        <v>3031960</v>
      </c>
      <c r="W39">
        <v>544520</v>
      </c>
    </row>
    <row r="40" spans="20:23" ht="12.75">
      <c r="T40">
        <v>3688720</v>
      </c>
      <c r="W40">
        <v>417000</v>
      </c>
    </row>
    <row r="41" spans="20:23" ht="12.75">
      <c r="T41">
        <v>2224740</v>
      </c>
      <c r="W41">
        <v>447000</v>
      </c>
    </row>
    <row r="42" spans="20:23" ht="13.5" thickBot="1">
      <c r="T42">
        <v>1683800</v>
      </c>
      <c r="W42">
        <v>348000</v>
      </c>
    </row>
    <row r="43" spans="1:23" ht="13.5" thickBot="1">
      <c r="A43" s="53" t="s">
        <v>40</v>
      </c>
      <c r="B43" s="15" t="s">
        <v>0</v>
      </c>
      <c r="C43" s="16" t="s">
        <v>1</v>
      </c>
      <c r="D43" s="17" t="s">
        <v>2</v>
      </c>
      <c r="E43" s="18" t="s">
        <v>81</v>
      </c>
      <c r="F43" s="19" t="s">
        <v>4</v>
      </c>
      <c r="G43" s="20" t="s">
        <v>5</v>
      </c>
      <c r="H43" s="33" t="s">
        <v>6</v>
      </c>
      <c r="I43" s="22" t="s">
        <v>7</v>
      </c>
      <c r="J43" s="23" t="s">
        <v>8</v>
      </c>
      <c r="K43" s="24" t="s">
        <v>9</v>
      </c>
      <c r="L43" s="49" t="s">
        <v>14</v>
      </c>
      <c r="M43" s="1" t="s">
        <v>13</v>
      </c>
      <c r="N43" s="3" t="s">
        <v>11</v>
      </c>
      <c r="O43" s="32" t="s">
        <v>20</v>
      </c>
      <c r="P43" s="81" t="s">
        <v>70</v>
      </c>
      <c r="Q43" s="88" t="s">
        <v>80</v>
      </c>
      <c r="T43">
        <v>3632020</v>
      </c>
      <c r="W43">
        <v>338260</v>
      </c>
    </row>
    <row r="44" spans="1:23" ht="13.5" thickBot="1">
      <c r="A44" s="9">
        <v>0</v>
      </c>
      <c r="B44" s="7">
        <v>13440</v>
      </c>
      <c r="C44" s="3">
        <v>2280</v>
      </c>
      <c r="D44" s="56">
        <v>6200</v>
      </c>
      <c r="E44" s="9">
        <v>3000</v>
      </c>
      <c r="F44" s="3">
        <v>7440</v>
      </c>
      <c r="G44" s="7">
        <v>2280</v>
      </c>
      <c r="H44" s="3">
        <v>2120</v>
      </c>
      <c r="I44" s="1">
        <v>0</v>
      </c>
      <c r="J44" s="1">
        <v>437000</v>
      </c>
      <c r="K44" s="9">
        <v>3189120</v>
      </c>
      <c r="L44" s="3">
        <v>3940</v>
      </c>
      <c r="M44" s="91">
        <v>154880</v>
      </c>
      <c r="N44" s="10">
        <v>4900</v>
      </c>
      <c r="O44" s="34">
        <v>4900</v>
      </c>
      <c r="P44" s="1">
        <v>0</v>
      </c>
      <c r="Q44" s="1">
        <v>0</v>
      </c>
      <c r="T44">
        <v>2418120</v>
      </c>
      <c r="W44">
        <v>576000</v>
      </c>
    </row>
    <row r="45" spans="2:23" ht="13.5" thickBot="1">
      <c r="B45" s="6">
        <v>14220</v>
      </c>
      <c r="C45" s="4">
        <v>2330</v>
      </c>
      <c r="D45" s="61">
        <v>6660</v>
      </c>
      <c r="F45" s="4">
        <v>5300</v>
      </c>
      <c r="G45" s="8"/>
      <c r="H45" s="4"/>
      <c r="L45" s="5">
        <v>4100</v>
      </c>
      <c r="M45" s="55">
        <v>8890</v>
      </c>
      <c r="N45" s="4">
        <v>6430</v>
      </c>
      <c r="T45">
        <v>1431840</v>
      </c>
      <c r="W45">
        <v>206000</v>
      </c>
    </row>
    <row r="46" spans="2:23" ht="13.5" thickBot="1">
      <c r="B46" s="6">
        <v>13420</v>
      </c>
      <c r="C46" s="4">
        <v>2200</v>
      </c>
      <c r="D46" s="57">
        <v>0</v>
      </c>
      <c r="E46" s="89" t="s">
        <v>56</v>
      </c>
      <c r="F46" s="5">
        <v>1560</v>
      </c>
      <c r="G46" s="9">
        <v>2280</v>
      </c>
      <c r="H46" s="4"/>
      <c r="L46" s="1">
        <f>SUM(L44:L45)</f>
        <v>8040</v>
      </c>
      <c r="M46" s="6">
        <v>0</v>
      </c>
      <c r="N46" s="5">
        <v>3813220</v>
      </c>
      <c r="T46" s="1">
        <f>SUM(T34:T45)</f>
        <v>30571630</v>
      </c>
      <c r="W46" s="1">
        <f>SUM(W34:W45)</f>
        <v>5107740</v>
      </c>
    </row>
    <row r="47" spans="2:15" ht="13.5" thickBot="1">
      <c r="B47" s="6">
        <v>12580</v>
      </c>
      <c r="C47" s="5">
        <v>2080</v>
      </c>
      <c r="D47" s="34">
        <f>SUM(D44:D46)</f>
        <v>12860</v>
      </c>
      <c r="E47" s="87">
        <v>1460</v>
      </c>
      <c r="F47" s="1">
        <f>SUM(F44:F46)</f>
        <v>14300</v>
      </c>
      <c r="H47" s="5"/>
      <c r="M47" s="4">
        <v>3000</v>
      </c>
      <c r="N47" s="1">
        <f>SUM(N44:N46)</f>
        <v>3824550</v>
      </c>
      <c r="O47" s="90" t="s">
        <v>85</v>
      </c>
    </row>
    <row r="48" spans="2:13" ht="13.5" thickBot="1">
      <c r="B48" s="4">
        <v>13100</v>
      </c>
      <c r="C48" s="1">
        <f>SUM(C44:C47)</f>
        <v>8890</v>
      </c>
      <c r="D48" t="s">
        <v>71</v>
      </c>
      <c r="H48" s="5">
        <v>2120</v>
      </c>
      <c r="M48" s="4">
        <v>1460</v>
      </c>
    </row>
    <row r="49" spans="2:28" ht="13.5" thickBot="1">
      <c r="B49" s="4">
        <v>15440</v>
      </c>
      <c r="D49" s="1">
        <v>6430</v>
      </c>
      <c r="M49" s="4">
        <v>2280</v>
      </c>
      <c r="S49" t="s">
        <v>128</v>
      </c>
      <c r="T49">
        <v>460</v>
      </c>
      <c r="V49" t="s">
        <v>129</v>
      </c>
      <c r="W49">
        <v>6520</v>
      </c>
      <c r="Y49" t="s">
        <v>130</v>
      </c>
      <c r="AB49" t="s">
        <v>131</v>
      </c>
    </row>
    <row r="50" spans="2:23" ht="12.75">
      <c r="B50" s="4">
        <v>15400</v>
      </c>
      <c r="D50" s="82"/>
      <c r="M50" s="4">
        <v>2120</v>
      </c>
      <c r="T50">
        <v>4900</v>
      </c>
      <c r="W50">
        <v>9520</v>
      </c>
    </row>
    <row r="51" spans="2:23" ht="12.75">
      <c r="B51" s="4">
        <v>14340</v>
      </c>
      <c r="D51" s="55"/>
      <c r="M51" s="4">
        <v>437000</v>
      </c>
      <c r="T51">
        <v>1220</v>
      </c>
      <c r="W51">
        <v>12860</v>
      </c>
    </row>
    <row r="52" spans="2:23" ht="12.75">
      <c r="B52" s="4">
        <v>14180</v>
      </c>
      <c r="M52" s="4">
        <v>3189120</v>
      </c>
      <c r="T52">
        <v>840</v>
      </c>
      <c r="W52">
        <v>12400</v>
      </c>
    </row>
    <row r="53" spans="2:23" ht="13.5" thickBot="1">
      <c r="B53" s="4">
        <v>13980</v>
      </c>
      <c r="M53" s="12">
        <v>8040</v>
      </c>
      <c r="T53">
        <v>840</v>
      </c>
      <c r="W53">
        <v>5260</v>
      </c>
    </row>
    <row r="54" spans="2:25" ht="13.5" thickBot="1">
      <c r="B54" s="5">
        <v>14780</v>
      </c>
      <c r="M54" s="1">
        <f>SUM(M44:M53)</f>
        <v>3806790</v>
      </c>
      <c r="O54" s="1">
        <v>3819650</v>
      </c>
      <c r="T54">
        <v>260</v>
      </c>
      <c r="W54">
        <v>13000</v>
      </c>
      <c r="Y54" t="s">
        <v>132</v>
      </c>
    </row>
    <row r="55" spans="2:23" ht="13.5" thickBot="1">
      <c r="B55" s="1">
        <f>SUM(B44:B54)</f>
        <v>154880</v>
      </c>
      <c r="M55" s="26">
        <v>6430</v>
      </c>
      <c r="N55" t="s">
        <v>82</v>
      </c>
      <c r="O55" s="1">
        <v>-4900</v>
      </c>
      <c r="P55" t="s">
        <v>83</v>
      </c>
      <c r="T55">
        <v>1300</v>
      </c>
      <c r="W55">
        <v>5200</v>
      </c>
    </row>
    <row r="56" spans="6:23" ht="13.5" thickBot="1">
      <c r="F56" s="28" t="s">
        <v>100</v>
      </c>
      <c r="M56" s="5">
        <f>SUM(M54:M55)</f>
        <v>3813220</v>
      </c>
      <c r="N56" s="90" t="s">
        <v>86</v>
      </c>
      <c r="O56" s="1">
        <f>SUM(O54:O55)</f>
        <v>3814750</v>
      </c>
      <c r="P56" t="s">
        <v>86</v>
      </c>
      <c r="T56" s="1">
        <f>SUM(T49:T55)</f>
        <v>9820</v>
      </c>
      <c r="W56">
        <v>13800</v>
      </c>
    </row>
    <row r="57" spans="13:23" ht="13.5" thickBot="1">
      <c r="M57" s="11">
        <v>6430</v>
      </c>
      <c r="N57" t="s">
        <v>87</v>
      </c>
      <c r="W57">
        <v>12540</v>
      </c>
    </row>
    <row r="58" spans="13:23" ht="13.5" thickBot="1">
      <c r="M58" s="1">
        <f>SUM(M56:M57)</f>
        <v>3819650</v>
      </c>
      <c r="N58" t="s">
        <v>86</v>
      </c>
      <c r="W58">
        <v>17140</v>
      </c>
    </row>
    <row r="59" spans="6:23" ht="12.75">
      <c r="F59" s="28" t="s">
        <v>88</v>
      </c>
      <c r="G59" s="28"/>
      <c r="H59" s="28"/>
      <c r="W59">
        <v>3840</v>
      </c>
    </row>
    <row r="60" ht="13.5" thickBot="1">
      <c r="W60">
        <v>12680</v>
      </c>
    </row>
    <row r="61" ht="13.5" thickBot="1">
      <c r="W61" s="1">
        <f>SUM(W49:W60)</f>
        <v>124760</v>
      </c>
    </row>
    <row r="65" ht="13.5" thickBot="1"/>
    <row r="66" spans="1:17" ht="13.5" thickBot="1">
      <c r="A66" s="53" t="s">
        <v>40</v>
      </c>
      <c r="B66" s="15" t="s">
        <v>0</v>
      </c>
      <c r="C66" s="16" t="s">
        <v>1</v>
      </c>
      <c r="D66" s="17" t="s">
        <v>2</v>
      </c>
      <c r="E66" s="18" t="s">
        <v>81</v>
      </c>
      <c r="F66" s="19" t="s">
        <v>4</v>
      </c>
      <c r="G66" s="20" t="s">
        <v>5</v>
      </c>
      <c r="H66" s="33" t="s">
        <v>6</v>
      </c>
      <c r="I66" s="22" t="s">
        <v>7</v>
      </c>
      <c r="J66" s="23" t="s">
        <v>8</v>
      </c>
      <c r="K66" s="24" t="s">
        <v>9</v>
      </c>
      <c r="L66" s="49" t="s">
        <v>14</v>
      </c>
      <c r="M66" s="1" t="s">
        <v>13</v>
      </c>
      <c r="N66" s="3" t="s">
        <v>11</v>
      </c>
      <c r="O66" s="32" t="s">
        <v>20</v>
      </c>
      <c r="P66" s="81" t="s">
        <v>70</v>
      </c>
      <c r="Q66" s="88" t="s">
        <v>80</v>
      </c>
    </row>
    <row r="67" spans="1:17" ht="13.5" thickBot="1">
      <c r="A67" s="9">
        <v>0</v>
      </c>
      <c r="B67" s="7">
        <v>12620</v>
      </c>
      <c r="C67" s="3">
        <v>2160</v>
      </c>
      <c r="D67" s="56">
        <v>6380</v>
      </c>
      <c r="E67" s="9">
        <v>4900</v>
      </c>
      <c r="F67" s="3">
        <v>8380</v>
      </c>
      <c r="G67" s="7">
        <v>1960</v>
      </c>
      <c r="H67" s="3">
        <v>2680</v>
      </c>
      <c r="I67" s="1">
        <v>0</v>
      </c>
      <c r="J67" s="1">
        <v>428000</v>
      </c>
      <c r="K67" s="9">
        <v>1437700</v>
      </c>
      <c r="L67" s="3">
        <v>3740</v>
      </c>
      <c r="M67" s="91">
        <v>108520</v>
      </c>
      <c r="N67" s="10">
        <v>2018890</v>
      </c>
      <c r="O67" s="34">
        <v>1220</v>
      </c>
      <c r="P67" s="1">
        <v>0</v>
      </c>
      <c r="Q67" s="1">
        <v>200</v>
      </c>
    </row>
    <row r="68" spans="2:14" ht="13.5" thickBot="1">
      <c r="B68" s="6">
        <v>14320</v>
      </c>
      <c r="C68" s="4">
        <v>2920</v>
      </c>
      <c r="D68" s="61">
        <v>6020</v>
      </c>
      <c r="E68">
        <v>4560</v>
      </c>
      <c r="F68" s="4">
        <v>5760</v>
      </c>
      <c r="G68" s="8">
        <v>0</v>
      </c>
      <c r="H68" s="4">
        <v>2040</v>
      </c>
      <c r="L68" s="5">
        <v>0</v>
      </c>
      <c r="M68" s="55">
        <v>7960</v>
      </c>
      <c r="N68" s="4">
        <v>12400</v>
      </c>
    </row>
    <row r="69" spans="2:14" ht="13.5" thickBot="1">
      <c r="B69" s="6">
        <v>13360</v>
      </c>
      <c r="C69" s="4">
        <v>2880</v>
      </c>
      <c r="D69" s="57">
        <v>0</v>
      </c>
      <c r="E69" s="89">
        <f>SUM(E67:E68)</f>
        <v>9460</v>
      </c>
      <c r="F69" s="5">
        <v>0</v>
      </c>
      <c r="G69" s="9">
        <f>SUM(G67:G68)</f>
        <v>1960</v>
      </c>
      <c r="H69" s="4">
        <v>0</v>
      </c>
      <c r="L69" s="1">
        <f>SUM(L67:L68)</f>
        <v>3740</v>
      </c>
      <c r="M69" s="6">
        <v>9490</v>
      </c>
      <c r="N69" s="5">
        <v>1220</v>
      </c>
    </row>
    <row r="70" spans="2:15" ht="13.5" thickBot="1">
      <c r="B70" s="6">
        <v>11040</v>
      </c>
      <c r="C70" s="5">
        <v>0</v>
      </c>
      <c r="D70" s="34">
        <f>SUM(D67:D69)</f>
        <v>12400</v>
      </c>
      <c r="E70" s="87"/>
      <c r="F70" s="1">
        <f>SUM(F67:F69)</f>
        <v>14140</v>
      </c>
      <c r="H70" s="5">
        <v>0</v>
      </c>
      <c r="M70" s="4">
        <v>14140</v>
      </c>
      <c r="N70" s="1">
        <f>SUM(N67:N69)</f>
        <v>2032510</v>
      </c>
      <c r="O70" s="92" t="s">
        <v>89</v>
      </c>
    </row>
    <row r="71" spans="2:13" ht="13.5" thickBot="1">
      <c r="B71" s="4">
        <v>14460</v>
      </c>
      <c r="C71" s="1">
        <f>SUM(C67:C70)</f>
        <v>7960</v>
      </c>
      <c r="H71" s="5">
        <f>SUM(H67:H70)</f>
        <v>4720</v>
      </c>
      <c r="M71" s="4">
        <v>1960</v>
      </c>
    </row>
    <row r="72" spans="2:13" ht="13.5" thickBot="1">
      <c r="B72" s="4">
        <v>14060</v>
      </c>
      <c r="D72" s="1">
        <v>6200</v>
      </c>
      <c r="M72" s="4">
        <v>4720</v>
      </c>
    </row>
    <row r="73" spans="2:13" ht="12.75">
      <c r="B73" s="4">
        <v>10240</v>
      </c>
      <c r="D73" s="82"/>
      <c r="M73" s="4">
        <v>428000</v>
      </c>
    </row>
    <row r="74" spans="2:13" ht="12.75">
      <c r="B74" s="4">
        <v>9520</v>
      </c>
      <c r="D74" s="55"/>
      <c r="M74" s="4">
        <v>1437700</v>
      </c>
    </row>
    <row r="75" spans="2:13" ht="12.75">
      <c r="B75" s="4">
        <v>8900</v>
      </c>
      <c r="M75" s="4">
        <v>200</v>
      </c>
    </row>
    <row r="76" spans="2:13" ht="13.5" thickBot="1">
      <c r="B76" s="4">
        <v>0</v>
      </c>
      <c r="M76" s="12">
        <v>0</v>
      </c>
    </row>
    <row r="77" spans="2:15" ht="13.5" thickBot="1">
      <c r="B77" s="5">
        <v>0</v>
      </c>
      <c r="M77" s="1">
        <v>0</v>
      </c>
      <c r="O77" s="1">
        <v>2025090</v>
      </c>
    </row>
    <row r="78" spans="2:16" ht="13.5" thickBot="1">
      <c r="B78" s="1">
        <f>SUM(B67:B77)</f>
        <v>108520</v>
      </c>
      <c r="M78" s="26">
        <v>6200</v>
      </c>
      <c r="N78" t="s">
        <v>82</v>
      </c>
      <c r="O78" s="1">
        <v>6200</v>
      </c>
      <c r="P78" t="s">
        <v>83</v>
      </c>
    </row>
    <row r="79" spans="6:16" ht="13.5" thickBot="1">
      <c r="F79" s="28" t="s">
        <v>93</v>
      </c>
      <c r="M79" s="5">
        <f>SUM(M67:M78)</f>
        <v>2018890</v>
      </c>
      <c r="N79" s="90" t="s">
        <v>86</v>
      </c>
      <c r="O79" s="1">
        <f>SUM(O77:O78)</f>
        <v>2031290</v>
      </c>
      <c r="P79" t="s">
        <v>86</v>
      </c>
    </row>
    <row r="80" spans="13:14" ht="13.5" thickBot="1">
      <c r="M80" s="11">
        <v>12400</v>
      </c>
      <c r="N80" t="s">
        <v>87</v>
      </c>
    </row>
    <row r="81" spans="13:14" ht="13.5" thickBot="1">
      <c r="M81" s="1">
        <f>SUM(M79:M80)</f>
        <v>2031290</v>
      </c>
      <c r="N81" t="s">
        <v>86</v>
      </c>
    </row>
    <row r="82" spans="6:8" ht="12.75">
      <c r="F82" s="28" t="s">
        <v>90</v>
      </c>
      <c r="G82" s="28"/>
      <c r="H82" s="28"/>
    </row>
    <row r="86" ht="13.5" thickBot="1"/>
    <row r="87" spans="1:17" ht="13.5" thickBot="1">
      <c r="A87" s="53" t="s">
        <v>40</v>
      </c>
      <c r="B87" s="15" t="s">
        <v>0</v>
      </c>
      <c r="C87" s="16" t="s">
        <v>1</v>
      </c>
      <c r="D87" s="42" t="s">
        <v>2</v>
      </c>
      <c r="E87" s="43" t="s">
        <v>81</v>
      </c>
      <c r="F87" s="19" t="s">
        <v>4</v>
      </c>
      <c r="G87" s="20" t="s">
        <v>5</v>
      </c>
      <c r="H87" s="33" t="s">
        <v>6</v>
      </c>
      <c r="I87" s="22" t="s">
        <v>7</v>
      </c>
      <c r="J87" s="23" t="s">
        <v>8</v>
      </c>
      <c r="K87" s="24" t="s">
        <v>9</v>
      </c>
      <c r="L87" s="49" t="s">
        <v>14</v>
      </c>
      <c r="M87" s="1" t="s">
        <v>13</v>
      </c>
      <c r="N87" s="3" t="s">
        <v>11</v>
      </c>
      <c r="O87" s="32" t="s">
        <v>20</v>
      </c>
      <c r="P87" s="81" t="s">
        <v>70</v>
      </c>
      <c r="Q87" s="88" t="s">
        <v>80</v>
      </c>
    </row>
    <row r="88" spans="1:17" ht="13.5" thickBot="1">
      <c r="A88" s="9">
        <v>0</v>
      </c>
      <c r="B88" s="7">
        <v>15320</v>
      </c>
      <c r="C88" s="3">
        <v>2350</v>
      </c>
      <c r="D88" s="3">
        <v>5260</v>
      </c>
      <c r="E88" s="56">
        <v>8120</v>
      </c>
      <c r="F88" s="56">
        <v>5960</v>
      </c>
      <c r="G88" s="7">
        <v>2160</v>
      </c>
      <c r="H88" s="3">
        <v>2480</v>
      </c>
      <c r="I88" s="1">
        <v>0</v>
      </c>
      <c r="J88" s="1">
        <v>476000</v>
      </c>
      <c r="K88" s="9">
        <v>2771520</v>
      </c>
      <c r="L88" s="3">
        <v>2800</v>
      </c>
      <c r="M88" s="91">
        <v>135880</v>
      </c>
      <c r="N88" s="10">
        <v>3453660</v>
      </c>
      <c r="O88" s="34">
        <v>0</v>
      </c>
      <c r="P88" s="1">
        <v>0</v>
      </c>
      <c r="Q88" s="1">
        <v>0</v>
      </c>
    </row>
    <row r="89" spans="2:14" ht="13.5" thickBot="1">
      <c r="B89" s="6">
        <v>15340</v>
      </c>
      <c r="C89" s="4">
        <v>10240</v>
      </c>
      <c r="D89" s="4">
        <v>0</v>
      </c>
      <c r="E89" s="61">
        <v>3080</v>
      </c>
      <c r="F89" s="61">
        <v>5280</v>
      </c>
      <c r="G89" s="8">
        <v>0</v>
      </c>
      <c r="H89" s="4">
        <v>2520</v>
      </c>
      <c r="L89" s="4">
        <v>1540</v>
      </c>
      <c r="M89" s="55">
        <v>12590</v>
      </c>
      <c r="N89" s="4">
        <v>2630</v>
      </c>
    </row>
    <row r="90" spans="2:14" ht="13.5" thickBot="1">
      <c r="B90" s="6">
        <v>12660</v>
      </c>
      <c r="C90" s="4">
        <v>0</v>
      </c>
      <c r="D90" s="4">
        <v>0</v>
      </c>
      <c r="E90" s="94">
        <v>4160</v>
      </c>
      <c r="F90" s="57">
        <v>8000</v>
      </c>
      <c r="G90" s="9">
        <f>SUM(G88:G89)</f>
        <v>2160</v>
      </c>
      <c r="H90" s="4">
        <v>0</v>
      </c>
      <c r="L90" s="4">
        <v>900</v>
      </c>
      <c r="M90" s="55">
        <v>0</v>
      </c>
      <c r="N90" s="5">
        <v>0</v>
      </c>
    </row>
    <row r="91" spans="2:15" ht="13.5" thickBot="1">
      <c r="B91" s="6">
        <v>14160</v>
      </c>
      <c r="C91" s="5">
        <v>0</v>
      </c>
      <c r="D91" s="5">
        <v>0</v>
      </c>
      <c r="E91" s="95">
        <v>2380</v>
      </c>
      <c r="F91" s="34">
        <f>SUM(F88:F90)</f>
        <v>19240</v>
      </c>
      <c r="H91" s="5">
        <v>0</v>
      </c>
      <c r="L91" s="12">
        <v>4440</v>
      </c>
      <c r="M91" s="61">
        <v>22480</v>
      </c>
      <c r="N91" s="1">
        <f>SUM(N88:N90)</f>
        <v>3456290</v>
      </c>
      <c r="O91" s="92" t="s">
        <v>89</v>
      </c>
    </row>
    <row r="92" spans="2:13" ht="13.5" thickBot="1">
      <c r="B92" s="4">
        <v>14540</v>
      </c>
      <c r="C92" s="1">
        <f>SUM(C88:C91)</f>
        <v>12590</v>
      </c>
      <c r="D92" s="1">
        <f>SUM(D88:D91)</f>
        <v>5260</v>
      </c>
      <c r="E92" s="57">
        <v>4740</v>
      </c>
      <c r="H92" s="5">
        <f>SUM(H88:H91)</f>
        <v>5000</v>
      </c>
      <c r="L92" s="1">
        <f>SUM(L88:L91)</f>
        <v>9680</v>
      </c>
      <c r="M92" s="4">
        <v>6160</v>
      </c>
    </row>
    <row r="93" spans="2:13" ht="13.5" thickBot="1">
      <c r="B93" s="4">
        <v>13480</v>
      </c>
      <c r="D93" s="55"/>
      <c r="E93" s="1">
        <f>SUM(E88:E92)</f>
        <v>22480</v>
      </c>
      <c r="M93" s="4">
        <v>19240</v>
      </c>
    </row>
    <row r="94" spans="2:13" ht="13.5" thickBot="1">
      <c r="B94" s="4">
        <v>10820</v>
      </c>
      <c r="D94" s="96">
        <v>0.5</v>
      </c>
      <c r="E94" s="93" t="s">
        <v>56</v>
      </c>
      <c r="M94" s="4">
        <v>2160</v>
      </c>
    </row>
    <row r="95" spans="2:13" ht="13.5" thickBot="1">
      <c r="B95" s="4">
        <v>13220</v>
      </c>
      <c r="D95" s="1">
        <v>2630</v>
      </c>
      <c r="E95" s="3">
        <v>4480</v>
      </c>
      <c r="M95" s="4">
        <v>5000</v>
      </c>
    </row>
    <row r="96" spans="2:13" ht="13.5" thickBot="1">
      <c r="B96" s="4">
        <v>14000</v>
      </c>
      <c r="E96" s="5">
        <v>1680</v>
      </c>
      <c r="G96" s="92"/>
      <c r="M96" s="4">
        <v>476000</v>
      </c>
    </row>
    <row r="97" spans="2:13" ht="13.5" thickBot="1">
      <c r="B97" s="4">
        <v>12340</v>
      </c>
      <c r="E97" s="1">
        <f>SUM(E95:E96)</f>
        <v>6160</v>
      </c>
      <c r="M97" s="12">
        <v>2771520</v>
      </c>
    </row>
    <row r="98" spans="2:15" ht="13.5" thickBot="1">
      <c r="B98" s="5">
        <v>0</v>
      </c>
      <c r="M98" s="1">
        <f>SUM(M88:M97)</f>
        <v>3451030</v>
      </c>
      <c r="O98" s="1">
        <v>3456290</v>
      </c>
    </row>
    <row r="99" spans="2:16" ht="13.5" thickBot="1">
      <c r="B99" s="1">
        <f>SUM(B88:B98)</f>
        <v>135880</v>
      </c>
      <c r="M99" s="26">
        <v>2630</v>
      </c>
      <c r="N99" t="s">
        <v>82</v>
      </c>
      <c r="O99" s="1">
        <v>0</v>
      </c>
      <c r="P99" t="s">
        <v>83</v>
      </c>
    </row>
    <row r="100" spans="6:16" ht="13.5" thickBot="1">
      <c r="F100" s="28" t="s">
        <v>91</v>
      </c>
      <c r="M100" s="5">
        <f>SUM(M98:M99)</f>
        <v>3453660</v>
      </c>
      <c r="N100" s="90" t="s">
        <v>86</v>
      </c>
      <c r="O100" s="1">
        <v>3456290</v>
      </c>
      <c r="P100" t="s">
        <v>86</v>
      </c>
    </row>
    <row r="101" spans="13:14" ht="13.5" thickBot="1">
      <c r="M101" s="11">
        <v>2630</v>
      </c>
      <c r="N101" t="s">
        <v>87</v>
      </c>
    </row>
    <row r="102" spans="13:14" ht="13.5" thickBot="1">
      <c r="M102" s="1">
        <f>SUM(M100:M101)</f>
        <v>3456290</v>
      </c>
      <c r="N102" t="s">
        <v>86</v>
      </c>
    </row>
    <row r="103" spans="6:8" ht="12.75">
      <c r="F103" s="28" t="s">
        <v>92</v>
      </c>
      <c r="G103" s="28"/>
      <c r="H103" s="28"/>
    </row>
    <row r="111" ht="13.5" thickBot="1"/>
    <row r="112" spans="1:17" ht="13.5" thickBot="1">
      <c r="A112" s="53" t="s">
        <v>40</v>
      </c>
      <c r="B112" s="15" t="s">
        <v>0</v>
      </c>
      <c r="C112" s="16" t="s">
        <v>1</v>
      </c>
      <c r="D112" s="42" t="s">
        <v>2</v>
      </c>
      <c r="E112" s="43" t="s">
        <v>81</v>
      </c>
      <c r="F112" s="19" t="s">
        <v>4</v>
      </c>
      <c r="G112" s="20" t="s">
        <v>5</v>
      </c>
      <c r="H112" s="33" t="s">
        <v>6</v>
      </c>
      <c r="I112" s="22" t="s">
        <v>7</v>
      </c>
      <c r="J112" s="23" t="s">
        <v>8</v>
      </c>
      <c r="K112" s="24" t="s">
        <v>9</v>
      </c>
      <c r="L112" s="49" t="s">
        <v>14</v>
      </c>
      <c r="M112" s="1" t="s">
        <v>13</v>
      </c>
      <c r="N112" s="3" t="s">
        <v>11</v>
      </c>
      <c r="O112" s="32" t="s">
        <v>20</v>
      </c>
      <c r="P112" s="81" t="s">
        <v>70</v>
      </c>
      <c r="Q112" s="88" t="s">
        <v>80</v>
      </c>
    </row>
    <row r="113" spans="1:17" ht="13.5" thickBot="1">
      <c r="A113" s="9">
        <v>0</v>
      </c>
      <c r="B113" s="7">
        <v>13100</v>
      </c>
      <c r="C113" s="3">
        <v>3600</v>
      </c>
      <c r="D113" s="3">
        <v>6140</v>
      </c>
      <c r="E113" s="56">
        <v>1860</v>
      </c>
      <c r="F113" s="56">
        <v>5722</v>
      </c>
      <c r="G113" s="7">
        <v>1940</v>
      </c>
      <c r="H113" s="3">
        <v>2540</v>
      </c>
      <c r="I113" s="1">
        <v>0</v>
      </c>
      <c r="J113" s="1">
        <v>544520</v>
      </c>
      <c r="K113" s="9">
        <v>3031960</v>
      </c>
      <c r="L113" s="3">
        <v>2620</v>
      </c>
      <c r="M113" s="91">
        <v>143900</v>
      </c>
      <c r="N113" s="10">
        <v>3763811</v>
      </c>
      <c r="O113" s="34">
        <v>840</v>
      </c>
      <c r="P113" s="1">
        <v>0</v>
      </c>
      <c r="Q113" s="1">
        <v>0</v>
      </c>
    </row>
    <row r="114" spans="2:14" ht="13.5" thickBot="1">
      <c r="B114" s="6">
        <v>14980</v>
      </c>
      <c r="C114" s="4">
        <v>2120</v>
      </c>
      <c r="D114" s="4">
        <v>6860</v>
      </c>
      <c r="E114" s="61"/>
      <c r="F114" s="61">
        <v>5764</v>
      </c>
      <c r="G114" s="8">
        <v>0</v>
      </c>
      <c r="H114" s="4"/>
      <c r="L114" s="4">
        <v>980</v>
      </c>
      <c r="M114" s="55">
        <v>11000</v>
      </c>
      <c r="N114" s="4">
        <v>6500</v>
      </c>
    </row>
    <row r="115" spans="2:14" ht="13.5" thickBot="1">
      <c r="B115" s="6">
        <v>15040</v>
      </c>
      <c r="C115" s="4">
        <v>2540</v>
      </c>
      <c r="D115" s="4">
        <v>0</v>
      </c>
      <c r="E115" s="94"/>
      <c r="F115" s="57">
        <v>5965</v>
      </c>
      <c r="G115" s="9">
        <f>SUM(G113:G114)</f>
        <v>1940</v>
      </c>
      <c r="H115" s="4"/>
      <c r="L115" s="4">
        <v>4240</v>
      </c>
      <c r="M115" s="55">
        <v>6500</v>
      </c>
      <c r="N115" s="5">
        <v>840</v>
      </c>
    </row>
    <row r="116" spans="2:15" ht="13.5" thickBot="1">
      <c r="B116" s="6">
        <v>15040</v>
      </c>
      <c r="C116" s="5">
        <v>2740</v>
      </c>
      <c r="D116" s="5">
        <v>0</v>
      </c>
      <c r="E116" s="95"/>
      <c r="F116" s="34">
        <f>SUM(F113:F115)</f>
        <v>17451</v>
      </c>
      <c r="H116" s="5"/>
      <c r="L116" s="12">
        <v>0</v>
      </c>
      <c r="M116" s="61">
        <v>1860</v>
      </c>
      <c r="N116" s="1">
        <f>SUM(N113:N115)</f>
        <v>3771151</v>
      </c>
      <c r="O116" s="92" t="s">
        <v>89</v>
      </c>
    </row>
    <row r="117" spans="2:13" ht="13.5" thickBot="1">
      <c r="B117" s="4">
        <v>10840</v>
      </c>
      <c r="C117" s="1">
        <f>SUM(C113:C116)</f>
        <v>11000</v>
      </c>
      <c r="D117" s="1">
        <f>SUM(D113:D116)</f>
        <v>13000</v>
      </c>
      <c r="E117" s="57"/>
      <c r="H117" s="5">
        <v>2540</v>
      </c>
      <c r="L117" s="1">
        <f>SUM(L113:L116)</f>
        <v>7840</v>
      </c>
      <c r="M117" s="4">
        <v>2140</v>
      </c>
    </row>
    <row r="118" spans="2:13" ht="13.5" thickBot="1">
      <c r="B118" s="4">
        <v>12960</v>
      </c>
      <c r="D118" s="55"/>
      <c r="E118" s="1">
        <v>1860</v>
      </c>
      <c r="M118" s="4">
        <v>17451</v>
      </c>
    </row>
    <row r="119" spans="2:13" ht="13.5" thickBot="1">
      <c r="B119" s="4">
        <v>12860</v>
      </c>
      <c r="D119" s="96"/>
      <c r="E119" s="93"/>
      <c r="M119" s="4">
        <v>1940</v>
      </c>
    </row>
    <row r="120" spans="2:13" ht="13.5" thickBot="1">
      <c r="B120" s="4">
        <v>10520</v>
      </c>
      <c r="D120" s="1">
        <v>6500</v>
      </c>
      <c r="E120" s="3">
        <v>1720</v>
      </c>
      <c r="M120" s="4">
        <v>2540</v>
      </c>
    </row>
    <row r="121" spans="2:13" ht="13.5" thickBot="1">
      <c r="B121" s="4">
        <v>14080</v>
      </c>
      <c r="E121" s="5">
        <v>420</v>
      </c>
      <c r="G121" s="92"/>
      <c r="M121" s="4">
        <v>544520</v>
      </c>
    </row>
    <row r="122" spans="2:13" ht="13.5" thickBot="1">
      <c r="B122" s="4">
        <v>13740</v>
      </c>
      <c r="E122" s="1">
        <f>SUM(E120:E121)</f>
        <v>2140</v>
      </c>
      <c r="M122" s="12">
        <v>3031960</v>
      </c>
    </row>
    <row r="123" spans="2:15" ht="13.5" thickBot="1">
      <c r="B123" s="5">
        <v>10740</v>
      </c>
      <c r="M123" s="1">
        <v>0</v>
      </c>
      <c r="O123" s="1">
        <v>3763811</v>
      </c>
    </row>
    <row r="124" spans="2:16" ht="13.5" thickBot="1">
      <c r="B124" s="1">
        <f>SUM(B113:B123)</f>
        <v>143900</v>
      </c>
      <c r="M124" s="26">
        <f>SUM(M113:M122)</f>
        <v>3763811</v>
      </c>
      <c r="N124" t="s">
        <v>82</v>
      </c>
      <c r="O124" s="1">
        <v>6500</v>
      </c>
      <c r="P124" t="s">
        <v>83</v>
      </c>
    </row>
    <row r="125" spans="6:16" ht="13.5" thickBot="1">
      <c r="F125" s="28" t="s">
        <v>94</v>
      </c>
      <c r="M125" s="5">
        <v>3763811</v>
      </c>
      <c r="N125" s="90" t="s">
        <v>86</v>
      </c>
      <c r="O125" s="1">
        <f>SUM(O123:O124)</f>
        <v>3770311</v>
      </c>
      <c r="P125" t="s">
        <v>86</v>
      </c>
    </row>
    <row r="126" spans="13:14" ht="13.5" thickBot="1">
      <c r="M126" s="11">
        <v>6500</v>
      </c>
      <c r="N126" t="s">
        <v>87</v>
      </c>
    </row>
    <row r="127" spans="13:14" ht="13.5" thickBot="1">
      <c r="M127" s="1">
        <v>3770311</v>
      </c>
      <c r="N127" t="s">
        <v>86</v>
      </c>
    </row>
    <row r="128" spans="6:8" ht="12.75">
      <c r="F128" s="28" t="s">
        <v>95</v>
      </c>
      <c r="G128" s="28"/>
      <c r="H128" s="28"/>
    </row>
    <row r="136" ht="13.5" thickBot="1"/>
    <row r="137" spans="1:17" ht="13.5" thickBot="1">
      <c r="A137" s="53" t="s">
        <v>40</v>
      </c>
      <c r="B137" s="15" t="s">
        <v>0</v>
      </c>
      <c r="C137" s="16" t="s">
        <v>1</v>
      </c>
      <c r="D137" s="42" t="s">
        <v>2</v>
      </c>
      <c r="E137" s="43" t="s">
        <v>81</v>
      </c>
      <c r="F137" s="19" t="s">
        <v>4</v>
      </c>
      <c r="G137" s="20" t="s">
        <v>5</v>
      </c>
      <c r="H137" s="33" t="s">
        <v>6</v>
      </c>
      <c r="I137" s="22" t="s">
        <v>7</v>
      </c>
      <c r="J137" s="23" t="s">
        <v>8</v>
      </c>
      <c r="K137" s="24" t="s">
        <v>9</v>
      </c>
      <c r="L137" s="49" t="s">
        <v>14</v>
      </c>
      <c r="M137" s="1" t="s">
        <v>13</v>
      </c>
      <c r="N137" s="3" t="s">
        <v>11</v>
      </c>
      <c r="O137" s="32" t="s">
        <v>20</v>
      </c>
      <c r="P137" s="81" t="s">
        <v>70</v>
      </c>
      <c r="Q137" s="88" t="s">
        <v>80</v>
      </c>
    </row>
    <row r="138" spans="1:17" ht="13.5" thickBot="1">
      <c r="A138" s="9"/>
      <c r="B138" s="7">
        <v>13800</v>
      </c>
      <c r="C138" s="3">
        <v>4820</v>
      </c>
      <c r="D138" s="3">
        <v>5200</v>
      </c>
      <c r="E138" s="56">
        <v>6840</v>
      </c>
      <c r="F138" s="56">
        <v>7740</v>
      </c>
      <c r="G138" s="7">
        <v>4220</v>
      </c>
      <c r="H138" s="3">
        <v>440</v>
      </c>
      <c r="I138" s="1"/>
      <c r="J138" s="1">
        <v>417000</v>
      </c>
      <c r="K138" s="9">
        <v>3688720</v>
      </c>
      <c r="L138" s="7">
        <v>2040</v>
      </c>
      <c r="M138" s="10">
        <v>74360</v>
      </c>
      <c r="N138" s="59">
        <v>4224120</v>
      </c>
      <c r="O138" s="34">
        <v>840</v>
      </c>
      <c r="P138" s="1">
        <v>0</v>
      </c>
      <c r="Q138" s="1">
        <v>0</v>
      </c>
    </row>
    <row r="139" spans="2:14" ht="13.5" thickBot="1">
      <c r="B139" s="6">
        <v>11660</v>
      </c>
      <c r="C139" s="4">
        <v>2960</v>
      </c>
      <c r="D139" s="4"/>
      <c r="E139" s="61">
        <v>4320</v>
      </c>
      <c r="F139" s="61"/>
      <c r="G139" s="8">
        <v>1660</v>
      </c>
      <c r="H139" s="4">
        <v>3280</v>
      </c>
      <c r="L139" s="6"/>
      <c r="M139" s="4">
        <v>9560</v>
      </c>
      <c r="N139" s="61">
        <v>2600</v>
      </c>
    </row>
    <row r="140" spans="2:14" ht="13.5" thickBot="1">
      <c r="B140" s="6">
        <v>11620</v>
      </c>
      <c r="C140" s="4">
        <v>1780</v>
      </c>
      <c r="D140" s="4"/>
      <c r="E140" s="94">
        <v>0</v>
      </c>
      <c r="F140" s="57"/>
      <c r="G140" s="9">
        <f>SUM(G138:G139)</f>
        <v>5880</v>
      </c>
      <c r="H140" s="4">
        <v>0</v>
      </c>
      <c r="L140" s="6"/>
      <c r="M140" s="4">
        <v>2600</v>
      </c>
      <c r="N140" s="57">
        <v>0</v>
      </c>
    </row>
    <row r="141" spans="2:15" ht="13.5" thickBot="1">
      <c r="B141" s="6">
        <v>13660</v>
      </c>
      <c r="C141" s="5">
        <v>0</v>
      </c>
      <c r="D141" s="5"/>
      <c r="E141" s="95">
        <v>0</v>
      </c>
      <c r="F141" s="34">
        <v>7740</v>
      </c>
      <c r="H141" s="5">
        <v>0</v>
      </c>
      <c r="L141" s="14"/>
      <c r="M141" s="4">
        <v>11160</v>
      </c>
      <c r="N141" s="34">
        <f>SUM(N138:N140)</f>
        <v>4226720</v>
      </c>
      <c r="O141" s="92" t="s">
        <v>89</v>
      </c>
    </row>
    <row r="142" spans="2:13" ht="13.5" thickBot="1">
      <c r="B142" s="4">
        <v>3560</v>
      </c>
      <c r="C142" s="1">
        <f>SUM(C138:C141)</f>
        <v>9560</v>
      </c>
      <c r="D142" s="1">
        <v>5200</v>
      </c>
      <c r="E142" s="57">
        <v>0</v>
      </c>
      <c r="H142" s="5">
        <f>SUM(H138:H141)</f>
        <v>3720</v>
      </c>
      <c r="L142" s="9">
        <v>2040</v>
      </c>
      <c r="M142" s="4">
        <v>1340</v>
      </c>
    </row>
    <row r="143" spans="2:13" ht="13.5" thickBot="1">
      <c r="B143" s="4">
        <v>7300</v>
      </c>
      <c r="D143" s="55"/>
      <c r="E143" s="1">
        <f>SUM(E138:E142)</f>
        <v>11160</v>
      </c>
      <c r="M143" s="4">
        <v>7740</v>
      </c>
    </row>
    <row r="144" spans="2:13" ht="13.5" thickBot="1">
      <c r="B144" s="4">
        <v>6340</v>
      </c>
      <c r="D144" s="96"/>
      <c r="E144" s="93" t="s">
        <v>96</v>
      </c>
      <c r="M144" s="4">
        <v>5880</v>
      </c>
    </row>
    <row r="145" spans="2:13" ht="13.5" thickBot="1">
      <c r="B145" s="4">
        <v>6420</v>
      </c>
      <c r="D145" s="1">
        <v>2600</v>
      </c>
      <c r="E145" s="3">
        <v>1340</v>
      </c>
      <c r="M145" s="4">
        <v>3720</v>
      </c>
    </row>
    <row r="146" spans="2:13" ht="13.5" thickBot="1">
      <c r="B146" s="4">
        <v>0</v>
      </c>
      <c r="E146" s="5"/>
      <c r="G146" s="92"/>
      <c r="M146" s="4">
        <v>417000</v>
      </c>
    </row>
    <row r="147" spans="2:13" ht="13.5" thickBot="1">
      <c r="B147" s="4">
        <v>0</v>
      </c>
      <c r="E147" s="1"/>
      <c r="M147" s="11">
        <v>3688720</v>
      </c>
    </row>
    <row r="148" spans="2:15" ht="13.5" thickBot="1">
      <c r="B148" s="5">
        <v>0</v>
      </c>
      <c r="M148" s="5">
        <v>2040</v>
      </c>
      <c r="O148" s="1"/>
    </row>
    <row r="149" spans="2:16" ht="13.5" thickBot="1">
      <c r="B149" s="1">
        <f>SUM(B138:B148)</f>
        <v>74360</v>
      </c>
      <c r="M149" s="12">
        <f>SUM(M138:M148)</f>
        <v>4224120</v>
      </c>
      <c r="N149" t="s">
        <v>82</v>
      </c>
      <c r="O149" s="1">
        <v>4226720</v>
      </c>
      <c r="P149" t="s">
        <v>83</v>
      </c>
    </row>
    <row r="150" spans="6:16" ht="13.5" thickBot="1">
      <c r="F150" s="28" t="s">
        <v>97</v>
      </c>
      <c r="M150" s="5">
        <v>4224120</v>
      </c>
      <c r="N150" s="90" t="s">
        <v>86</v>
      </c>
      <c r="O150" s="1">
        <v>4226720</v>
      </c>
      <c r="P150" t="s">
        <v>86</v>
      </c>
    </row>
    <row r="151" spans="13:14" ht="13.5" thickBot="1">
      <c r="M151" s="11">
        <v>4226720</v>
      </c>
      <c r="N151" t="s">
        <v>87</v>
      </c>
    </row>
    <row r="152" spans="13:14" ht="13.5" thickBot="1">
      <c r="M152" s="1">
        <v>4226720</v>
      </c>
      <c r="N152" t="s">
        <v>86</v>
      </c>
    </row>
    <row r="153" spans="6:8" ht="12.75">
      <c r="F153" s="28" t="s">
        <v>92</v>
      </c>
      <c r="G153" s="28"/>
      <c r="H153" s="28"/>
    </row>
    <row r="159" ht="13.5" thickBot="1"/>
    <row r="160" spans="1:19" ht="13.5" thickBot="1">
      <c r="A160" s="53" t="s">
        <v>40</v>
      </c>
      <c r="B160" s="35" t="s">
        <v>0</v>
      </c>
      <c r="C160" s="16" t="s">
        <v>1</v>
      </c>
      <c r="D160" s="42" t="s">
        <v>2</v>
      </c>
      <c r="E160" s="43" t="s">
        <v>81</v>
      </c>
      <c r="F160" s="19" t="s">
        <v>4</v>
      </c>
      <c r="G160" s="20" t="s">
        <v>5</v>
      </c>
      <c r="H160" s="33" t="s">
        <v>6</v>
      </c>
      <c r="I160" s="22" t="s">
        <v>7</v>
      </c>
      <c r="J160" s="23" t="s">
        <v>8</v>
      </c>
      <c r="K160" s="24" t="s">
        <v>9</v>
      </c>
      <c r="L160" s="49" t="s">
        <v>14</v>
      </c>
      <c r="M160" s="3" t="s">
        <v>13</v>
      </c>
      <c r="N160" s="3" t="s">
        <v>11</v>
      </c>
      <c r="O160" s="32" t="s">
        <v>20</v>
      </c>
      <c r="P160" s="81" t="s">
        <v>70</v>
      </c>
      <c r="Q160" s="97" t="s">
        <v>80</v>
      </c>
      <c r="R160" s="98" t="s">
        <v>101</v>
      </c>
      <c r="S160" s="55"/>
    </row>
    <row r="161" spans="1:19" ht="13.5" thickBot="1">
      <c r="A161" s="9"/>
      <c r="B161" s="3">
        <v>10340</v>
      </c>
      <c r="C161" s="56">
        <v>1880</v>
      </c>
      <c r="D161" s="3">
        <v>1400</v>
      </c>
      <c r="E161" s="56">
        <v>3940</v>
      </c>
      <c r="F161" s="56">
        <v>11440</v>
      </c>
      <c r="G161" s="7">
        <v>2040</v>
      </c>
      <c r="H161" s="3">
        <v>2620</v>
      </c>
      <c r="I161" s="1">
        <v>5320</v>
      </c>
      <c r="J161" s="1">
        <v>447000</v>
      </c>
      <c r="K161" s="9">
        <v>2224740</v>
      </c>
      <c r="L161" s="7">
        <v>3480</v>
      </c>
      <c r="M161" s="10">
        <v>174460</v>
      </c>
      <c r="N161" s="59">
        <v>2908280</v>
      </c>
      <c r="O161" s="34">
        <v>260</v>
      </c>
      <c r="P161" s="1">
        <v>0</v>
      </c>
      <c r="Q161" s="9">
        <v>0</v>
      </c>
      <c r="R161" s="1">
        <v>2000</v>
      </c>
      <c r="S161" s="55"/>
    </row>
    <row r="162" spans="2:14" ht="13.5" thickBot="1">
      <c r="B162" s="4">
        <v>2980</v>
      </c>
      <c r="C162" s="61">
        <v>2140</v>
      </c>
      <c r="D162" s="4">
        <v>4660</v>
      </c>
      <c r="E162" s="61"/>
      <c r="F162" s="61">
        <v>7600</v>
      </c>
      <c r="G162" s="8">
        <v>0</v>
      </c>
      <c r="H162" s="4"/>
      <c r="L162" s="6">
        <v>1960</v>
      </c>
      <c r="M162" s="4">
        <v>6680</v>
      </c>
      <c r="N162" s="61">
        <v>260</v>
      </c>
    </row>
    <row r="163" spans="2:14" ht="13.5" thickBot="1">
      <c r="B163" s="4">
        <v>6040</v>
      </c>
      <c r="C163" s="61">
        <v>2660</v>
      </c>
      <c r="D163" s="4">
        <v>760</v>
      </c>
      <c r="E163" s="94"/>
      <c r="F163" s="57">
        <v>8100</v>
      </c>
      <c r="G163" s="9">
        <f>SUM(G161:G162)</f>
        <v>2040</v>
      </c>
      <c r="H163" s="4"/>
      <c r="L163" s="6">
        <v>0</v>
      </c>
      <c r="M163" s="4">
        <v>6900</v>
      </c>
      <c r="N163" s="57">
        <v>6900</v>
      </c>
    </row>
    <row r="164" spans="2:15" ht="13.5" thickBot="1">
      <c r="B164" s="4">
        <v>10600</v>
      </c>
      <c r="C164" s="57">
        <v>0</v>
      </c>
      <c r="D164" s="5">
        <v>6980</v>
      </c>
      <c r="E164" s="95"/>
      <c r="F164" s="34">
        <f>SUM(F161:F163)</f>
        <v>27140</v>
      </c>
      <c r="H164" s="5"/>
      <c r="L164" s="14">
        <v>0</v>
      </c>
      <c r="M164" s="4">
        <v>3940</v>
      </c>
      <c r="N164" s="34">
        <f>SUM(N161:N163)</f>
        <v>2915440</v>
      </c>
      <c r="O164" s="92" t="s">
        <v>89</v>
      </c>
    </row>
    <row r="165" spans="2:13" ht="13.5" thickBot="1">
      <c r="B165" s="4">
        <v>9780</v>
      </c>
      <c r="C165" s="34">
        <f>SUM(C161:C164)</f>
        <v>6680</v>
      </c>
      <c r="D165" s="1">
        <f>SUM(D161:D164)</f>
        <v>13800</v>
      </c>
      <c r="E165" s="57"/>
      <c r="H165" s="5">
        <v>2620</v>
      </c>
      <c r="L165" s="9">
        <f>SUM(L161:L164)</f>
        <v>5440</v>
      </c>
      <c r="M165" s="4">
        <v>27140</v>
      </c>
    </row>
    <row r="166" spans="2:13" ht="13.5" thickBot="1">
      <c r="B166" s="4">
        <v>9680</v>
      </c>
      <c r="D166" s="55"/>
      <c r="E166" s="1">
        <v>3940</v>
      </c>
      <c r="M166" s="4">
        <v>2040</v>
      </c>
    </row>
    <row r="167" spans="2:13" ht="13.5" thickBot="1">
      <c r="B167" s="4">
        <v>4720</v>
      </c>
      <c r="D167" s="96"/>
      <c r="E167" s="93" t="s">
        <v>96</v>
      </c>
      <c r="M167" s="4">
        <v>2620</v>
      </c>
    </row>
    <row r="168" spans="2:13" ht="13.5" thickBot="1">
      <c r="B168" s="4">
        <v>1100</v>
      </c>
      <c r="D168" s="1">
        <v>6900</v>
      </c>
      <c r="E168" s="3"/>
      <c r="M168" s="4">
        <v>5320</v>
      </c>
    </row>
    <row r="169" spans="2:13" ht="13.5" thickBot="1">
      <c r="B169" s="4">
        <v>12700</v>
      </c>
      <c r="E169" s="5"/>
      <c r="G169" s="92"/>
      <c r="M169" s="4">
        <v>447000</v>
      </c>
    </row>
    <row r="170" spans="2:13" ht="13.5" thickBot="1">
      <c r="B170" s="4">
        <v>13020</v>
      </c>
      <c r="E170" s="1">
        <v>0</v>
      </c>
      <c r="M170" s="11">
        <v>2224740</v>
      </c>
    </row>
    <row r="171" spans="2:15" ht="13.5" thickBot="1">
      <c r="B171" s="4">
        <v>15300</v>
      </c>
      <c r="M171" s="4">
        <v>5440</v>
      </c>
      <c r="O171" s="1">
        <v>-260</v>
      </c>
    </row>
    <row r="172" spans="2:16" ht="13.5" thickBot="1">
      <c r="B172" s="4">
        <v>12140</v>
      </c>
      <c r="M172" s="12">
        <v>2000</v>
      </c>
      <c r="O172" s="1">
        <v>2915440</v>
      </c>
      <c r="P172" t="s">
        <v>83</v>
      </c>
    </row>
    <row r="173" spans="2:16" ht="13.5" thickBot="1">
      <c r="B173" s="11">
        <v>14040</v>
      </c>
      <c r="F173" s="28" t="s">
        <v>102</v>
      </c>
      <c r="M173" s="5">
        <f>SUM(M161:M172)</f>
        <v>2908280</v>
      </c>
      <c r="N173" s="92" t="s">
        <v>82</v>
      </c>
      <c r="O173" s="1">
        <v>2915180</v>
      </c>
      <c r="P173" t="s">
        <v>86</v>
      </c>
    </row>
    <row r="174" spans="2:14" ht="13.5" thickBot="1">
      <c r="B174" s="11">
        <v>13380</v>
      </c>
      <c r="M174" s="11">
        <v>99.75</v>
      </c>
      <c r="N174" t="s">
        <v>86</v>
      </c>
    </row>
    <row r="175" spans="2:14" ht="13.5" thickBot="1">
      <c r="B175" s="11">
        <v>13760</v>
      </c>
      <c r="M175" s="1">
        <v>2915180</v>
      </c>
      <c r="N175" t="s">
        <v>87</v>
      </c>
    </row>
    <row r="176" spans="2:14" ht="13.5" thickBot="1">
      <c r="B176" s="11">
        <v>14660</v>
      </c>
      <c r="F176" s="28" t="s">
        <v>92</v>
      </c>
      <c r="G176" s="28"/>
      <c r="H176" s="28"/>
      <c r="M176" s="1">
        <v>99.99</v>
      </c>
      <c r="N176" t="s">
        <v>86</v>
      </c>
    </row>
    <row r="177" ht="13.5" thickBot="1">
      <c r="B177" s="12">
        <v>10220</v>
      </c>
    </row>
    <row r="178" ht="13.5" thickBot="1">
      <c r="B178" s="1">
        <f>SUM(B161:B177)</f>
        <v>174460</v>
      </c>
    </row>
    <row r="183" ht="13.5" thickBot="1"/>
    <row r="184" spans="1:18" ht="13.5" thickBot="1">
      <c r="A184" s="53" t="s">
        <v>40</v>
      </c>
      <c r="B184" s="35" t="s">
        <v>0</v>
      </c>
      <c r="C184" s="16" t="s">
        <v>1</v>
      </c>
      <c r="D184" s="42" t="s">
        <v>2</v>
      </c>
      <c r="E184" s="43" t="s">
        <v>81</v>
      </c>
      <c r="F184" s="19" t="s">
        <v>4</v>
      </c>
      <c r="G184" s="20" t="s">
        <v>5</v>
      </c>
      <c r="H184" s="33" t="s">
        <v>6</v>
      </c>
      <c r="I184" s="22" t="s">
        <v>7</v>
      </c>
      <c r="J184" s="23" t="s">
        <v>8</v>
      </c>
      <c r="K184" s="24" t="s">
        <v>9</v>
      </c>
      <c r="L184" s="49" t="s">
        <v>14</v>
      </c>
      <c r="M184" s="3" t="s">
        <v>13</v>
      </c>
      <c r="N184" s="3" t="s">
        <v>11</v>
      </c>
      <c r="O184" s="32" t="s">
        <v>20</v>
      </c>
      <c r="P184" s="81" t="s">
        <v>70</v>
      </c>
      <c r="Q184" s="97" t="s">
        <v>80</v>
      </c>
      <c r="R184" s="98" t="s">
        <v>101</v>
      </c>
    </row>
    <row r="185" spans="1:18" ht="13.5" thickBot="1">
      <c r="A185" s="9">
        <v>0</v>
      </c>
      <c r="B185" s="3">
        <v>12200</v>
      </c>
      <c r="C185" s="56">
        <v>2740</v>
      </c>
      <c r="D185" s="3">
        <v>3960</v>
      </c>
      <c r="E185" s="56">
        <v>3840</v>
      </c>
      <c r="F185" s="56">
        <v>8360</v>
      </c>
      <c r="G185" s="7">
        <v>2340</v>
      </c>
      <c r="H185" s="3">
        <v>3500</v>
      </c>
      <c r="I185" s="1">
        <v>0</v>
      </c>
      <c r="J185" s="1">
        <v>348000</v>
      </c>
      <c r="K185" s="9">
        <v>1683800</v>
      </c>
      <c r="L185" s="7">
        <v>4560</v>
      </c>
      <c r="M185" s="10">
        <v>133820</v>
      </c>
      <c r="N185" s="59">
        <v>2213150</v>
      </c>
      <c r="O185" s="34">
        <v>0</v>
      </c>
      <c r="P185" s="1">
        <v>0</v>
      </c>
      <c r="Q185" s="9">
        <v>0</v>
      </c>
      <c r="R185" s="1">
        <v>0</v>
      </c>
    </row>
    <row r="186" spans="2:14" ht="13.5" thickBot="1">
      <c r="B186" s="4">
        <v>13520</v>
      </c>
      <c r="C186" s="61"/>
      <c r="D186" s="4">
        <v>1440</v>
      </c>
      <c r="E186" s="61"/>
      <c r="F186" s="61">
        <v>4880</v>
      </c>
      <c r="G186" s="8">
        <v>1840</v>
      </c>
      <c r="H186" s="4">
        <v>920</v>
      </c>
      <c r="L186" s="6">
        <v>1000</v>
      </c>
      <c r="M186" s="4">
        <v>2740</v>
      </c>
      <c r="N186" s="61">
        <v>6270</v>
      </c>
    </row>
    <row r="187" spans="2:14" ht="13.5" thickBot="1">
      <c r="B187" s="4">
        <v>12760</v>
      </c>
      <c r="C187" s="61"/>
      <c r="D187" s="4">
        <v>6020</v>
      </c>
      <c r="E187" s="94"/>
      <c r="F187" s="57">
        <v>0</v>
      </c>
      <c r="G187" s="9">
        <f>SUM(G185:G186)</f>
        <v>4180</v>
      </c>
      <c r="H187" s="4">
        <v>0</v>
      </c>
      <c r="L187" s="6">
        <v>2920</v>
      </c>
      <c r="M187" s="4">
        <v>6270</v>
      </c>
      <c r="N187" s="57">
        <v>0</v>
      </c>
    </row>
    <row r="188" spans="2:15" ht="13.5" thickBot="1">
      <c r="B188" s="4">
        <v>14920</v>
      </c>
      <c r="C188" s="57"/>
      <c r="D188" s="5">
        <v>1120</v>
      </c>
      <c r="E188" s="95"/>
      <c r="F188" s="34">
        <v>13240</v>
      </c>
      <c r="H188" s="5">
        <v>0</v>
      </c>
      <c r="L188" s="14">
        <v>0</v>
      </c>
      <c r="M188" s="4">
        <v>3840</v>
      </c>
      <c r="N188" s="34">
        <f>SUM(N185:N187)</f>
        <v>2219420</v>
      </c>
      <c r="O188" s="92" t="s">
        <v>89</v>
      </c>
    </row>
    <row r="189" spans="2:13" ht="13.5" thickBot="1">
      <c r="B189" s="4">
        <v>12520</v>
      </c>
      <c r="C189" s="34">
        <v>2740</v>
      </c>
      <c r="D189" s="1">
        <f>SUM(D185:D188)</f>
        <v>12540</v>
      </c>
      <c r="E189" s="57"/>
      <c r="H189" s="5">
        <f>SUM(H185:H188)</f>
        <v>4420</v>
      </c>
      <c r="L189" s="9">
        <f>SUM(L185:L188)</f>
        <v>8480</v>
      </c>
      <c r="M189" s="4">
        <v>4360</v>
      </c>
    </row>
    <row r="190" spans="2:13" ht="13.5" thickBot="1">
      <c r="B190" s="4">
        <v>13120</v>
      </c>
      <c r="D190" s="55"/>
      <c r="E190" s="1">
        <v>3840</v>
      </c>
      <c r="M190" s="4">
        <v>13240</v>
      </c>
    </row>
    <row r="191" spans="2:13" ht="13.5" thickBot="1">
      <c r="B191" s="4">
        <v>13620</v>
      </c>
      <c r="D191" s="96"/>
      <c r="E191" s="93" t="s">
        <v>96</v>
      </c>
      <c r="M191" s="4">
        <v>4180</v>
      </c>
    </row>
    <row r="192" spans="2:13" ht="13.5" thickBot="1">
      <c r="B192" s="4">
        <v>12080</v>
      </c>
      <c r="D192" s="9">
        <v>6270</v>
      </c>
      <c r="E192" s="3">
        <v>1400</v>
      </c>
      <c r="M192" s="4">
        <v>4420</v>
      </c>
    </row>
    <row r="193" spans="2:13" ht="13.5" thickBot="1">
      <c r="B193" s="4">
        <v>14420</v>
      </c>
      <c r="E193" s="5">
        <v>2020</v>
      </c>
      <c r="G193" s="92"/>
      <c r="M193" s="4">
        <v>348000</v>
      </c>
    </row>
    <row r="194" spans="2:13" ht="13.5" thickBot="1">
      <c r="B194" s="4">
        <v>14660</v>
      </c>
      <c r="E194" s="1">
        <v>940</v>
      </c>
      <c r="M194" s="11">
        <v>1683800</v>
      </c>
    </row>
    <row r="195" spans="2:15" ht="13.5" thickBot="1">
      <c r="B195" s="4"/>
      <c r="E195" s="5">
        <f>SUM(E192:E194)</f>
        <v>4360</v>
      </c>
      <c r="M195" s="4">
        <v>8480</v>
      </c>
      <c r="O195" s="1">
        <v>2219420</v>
      </c>
    </row>
    <row r="196" spans="2:16" ht="13.5" thickBot="1">
      <c r="B196" s="4"/>
      <c r="M196" s="12">
        <v>0</v>
      </c>
      <c r="O196" s="1">
        <v>2219420</v>
      </c>
      <c r="P196" t="s">
        <v>83</v>
      </c>
    </row>
    <row r="197" spans="2:16" ht="13.5" thickBot="1">
      <c r="B197" s="11"/>
      <c r="F197" s="28" t="s">
        <v>103</v>
      </c>
      <c r="M197" s="5">
        <f>SUM(M185:M196)</f>
        <v>2213150</v>
      </c>
      <c r="N197" s="92" t="s">
        <v>82</v>
      </c>
      <c r="O197" s="1">
        <v>2219420</v>
      </c>
      <c r="P197" t="s">
        <v>86</v>
      </c>
    </row>
    <row r="198" spans="2:14" ht="13.5" thickBot="1">
      <c r="B198" s="11"/>
      <c r="M198" s="11">
        <v>2213150</v>
      </c>
      <c r="N198" t="s">
        <v>86</v>
      </c>
    </row>
    <row r="199" spans="2:14" ht="13.5" thickBot="1">
      <c r="B199" s="11"/>
      <c r="M199" s="1">
        <v>2219420</v>
      </c>
      <c r="N199" t="s">
        <v>87</v>
      </c>
    </row>
    <row r="200" spans="2:14" ht="13.5" thickBot="1">
      <c r="B200" s="11"/>
      <c r="F200" s="28" t="s">
        <v>92</v>
      </c>
      <c r="G200" s="28"/>
      <c r="H200" s="28"/>
      <c r="M200" s="1">
        <v>2219420</v>
      </c>
      <c r="N200" t="s">
        <v>86</v>
      </c>
    </row>
    <row r="201" ht="13.5" thickBot="1">
      <c r="B201" s="12"/>
    </row>
    <row r="202" ht="13.5" thickBot="1">
      <c r="B202" s="1">
        <v>133820</v>
      </c>
    </row>
    <row r="208" ht="13.5" thickBot="1"/>
    <row r="209" spans="1:18" ht="13.5" thickBot="1">
      <c r="A209" s="53" t="s">
        <v>40</v>
      </c>
      <c r="B209" s="35" t="s">
        <v>0</v>
      </c>
      <c r="C209" s="16" t="s">
        <v>1</v>
      </c>
      <c r="D209" s="42" t="s">
        <v>2</v>
      </c>
      <c r="E209" s="43" t="s">
        <v>81</v>
      </c>
      <c r="F209" s="19" t="s">
        <v>4</v>
      </c>
      <c r="G209" s="20" t="s">
        <v>5</v>
      </c>
      <c r="H209" s="33" t="s">
        <v>6</v>
      </c>
      <c r="I209" s="22" t="s">
        <v>7</v>
      </c>
      <c r="J209" s="23" t="s">
        <v>8</v>
      </c>
      <c r="K209" s="24" t="s">
        <v>9</v>
      </c>
      <c r="L209" s="49" t="s">
        <v>14</v>
      </c>
      <c r="M209" s="3" t="s">
        <v>13</v>
      </c>
      <c r="N209" s="3" t="s">
        <v>11</v>
      </c>
      <c r="O209" s="32" t="s">
        <v>20</v>
      </c>
      <c r="P209" s="81" t="s">
        <v>70</v>
      </c>
      <c r="Q209" s="97" t="s">
        <v>80</v>
      </c>
      <c r="R209" s="98" t="s">
        <v>101</v>
      </c>
    </row>
    <row r="210" spans="1:18" ht="13.5" thickBot="1">
      <c r="A210" s="9"/>
      <c r="B210" s="3">
        <v>13440</v>
      </c>
      <c r="C210" s="56">
        <v>2140</v>
      </c>
      <c r="D210" s="3">
        <v>3900</v>
      </c>
      <c r="E210" s="56"/>
      <c r="F210" s="56">
        <v>5180</v>
      </c>
      <c r="G210" s="7">
        <v>2360</v>
      </c>
      <c r="H210" s="3">
        <v>2740</v>
      </c>
      <c r="I210" s="1"/>
      <c r="J210" s="1">
        <v>338260</v>
      </c>
      <c r="K210" s="9">
        <v>3632020</v>
      </c>
      <c r="L210" s="7">
        <v>2360</v>
      </c>
      <c r="M210" s="10">
        <v>141680</v>
      </c>
      <c r="N210" s="59">
        <v>4158016</v>
      </c>
      <c r="O210" s="34">
        <v>1300</v>
      </c>
      <c r="P210" s="1">
        <v>0</v>
      </c>
      <c r="Q210" s="9">
        <v>0</v>
      </c>
      <c r="R210" s="1">
        <v>0</v>
      </c>
    </row>
    <row r="211" spans="2:14" ht="13.5" thickBot="1">
      <c r="B211" s="4">
        <v>14360</v>
      </c>
      <c r="C211" s="61">
        <v>2800</v>
      </c>
      <c r="D211" s="4">
        <v>4480</v>
      </c>
      <c r="E211" s="61"/>
      <c r="F211" s="61">
        <v>6920</v>
      </c>
      <c r="G211" s="8"/>
      <c r="H211" s="4">
        <v>2060</v>
      </c>
      <c r="L211" s="6"/>
      <c r="M211" s="4">
        <v>11006</v>
      </c>
      <c r="N211" s="61">
        <v>8570</v>
      </c>
    </row>
    <row r="212" spans="2:14" ht="13.5" thickBot="1">
      <c r="B212" s="4">
        <v>13040</v>
      </c>
      <c r="C212" s="61">
        <v>2860</v>
      </c>
      <c r="D212" s="4">
        <v>340</v>
      </c>
      <c r="E212" s="94"/>
      <c r="F212" s="57">
        <v>0</v>
      </c>
      <c r="G212" s="9">
        <v>2360</v>
      </c>
      <c r="H212" s="4">
        <v>2300</v>
      </c>
      <c r="L212" s="6"/>
      <c r="M212" s="4">
        <v>8570</v>
      </c>
      <c r="N212" s="57">
        <v>1300</v>
      </c>
    </row>
    <row r="213" spans="2:15" ht="13.5" thickBot="1">
      <c r="B213" s="4">
        <v>8740</v>
      </c>
      <c r="C213" s="57">
        <v>3206</v>
      </c>
      <c r="D213" s="5">
        <v>8420</v>
      </c>
      <c r="E213" s="95"/>
      <c r="F213" s="34">
        <f>SUM(F210:F212)</f>
        <v>12100</v>
      </c>
      <c r="H213" s="5">
        <v>0</v>
      </c>
      <c r="L213" s="14"/>
      <c r="M213" s="4">
        <v>2560</v>
      </c>
      <c r="N213" s="34">
        <f>SUM(N210:N212)</f>
        <v>4167886</v>
      </c>
      <c r="O213" s="92" t="s">
        <v>89</v>
      </c>
    </row>
    <row r="214" spans="2:13" ht="13.5" thickBot="1">
      <c r="B214" s="4">
        <v>10240</v>
      </c>
      <c r="C214" s="34">
        <f>SUM(C210:C213)</f>
        <v>11006</v>
      </c>
      <c r="D214" s="1">
        <f>SUM(D210:D213)</f>
        <v>17140</v>
      </c>
      <c r="E214" s="57"/>
      <c r="H214" s="5">
        <f>SUM(H210:H213)</f>
        <v>7100</v>
      </c>
      <c r="L214" s="9">
        <v>2360</v>
      </c>
      <c r="M214" s="4">
        <v>12100</v>
      </c>
    </row>
    <row r="215" spans="2:13" ht="13.5" thickBot="1">
      <c r="B215" s="4">
        <v>8120</v>
      </c>
      <c r="D215" s="55"/>
      <c r="E215" s="1"/>
      <c r="M215" s="4">
        <v>2360</v>
      </c>
    </row>
    <row r="216" spans="2:13" ht="13.5" thickBot="1">
      <c r="B216" s="4">
        <v>14540</v>
      </c>
      <c r="D216" s="96"/>
      <c r="E216" s="93" t="s">
        <v>96</v>
      </c>
      <c r="M216" s="4">
        <v>7100</v>
      </c>
    </row>
    <row r="217" spans="2:13" ht="13.5" thickBot="1">
      <c r="B217" s="4">
        <v>15280</v>
      </c>
      <c r="D217" s="9">
        <v>8570</v>
      </c>
      <c r="E217" s="3">
        <v>2560</v>
      </c>
      <c r="M217" s="4">
        <v>2360</v>
      </c>
    </row>
    <row r="218" spans="2:13" ht="13.5" thickBot="1">
      <c r="B218" s="4">
        <v>16100</v>
      </c>
      <c r="E218" s="5">
        <v>0</v>
      </c>
      <c r="G218" s="92"/>
      <c r="M218" s="4">
        <v>3632020</v>
      </c>
    </row>
    <row r="219" spans="2:13" ht="13.5" thickBot="1">
      <c r="B219" s="4">
        <v>14480</v>
      </c>
      <c r="E219" s="1">
        <v>2560</v>
      </c>
      <c r="M219" s="11">
        <v>338260</v>
      </c>
    </row>
    <row r="220" spans="2:15" ht="13.5" thickBot="1">
      <c r="B220" s="4">
        <v>13340</v>
      </c>
      <c r="E220" s="5"/>
      <c r="M220" s="4">
        <v>0</v>
      </c>
      <c r="O220" s="1">
        <v>4167886</v>
      </c>
    </row>
    <row r="221" spans="2:16" ht="13.5" thickBot="1">
      <c r="B221" s="4"/>
      <c r="M221" s="12">
        <v>0</v>
      </c>
      <c r="O221" s="1">
        <v>-1300</v>
      </c>
      <c r="P221" t="s">
        <v>83</v>
      </c>
    </row>
    <row r="222" spans="2:16" ht="13.5" thickBot="1">
      <c r="B222" s="11"/>
      <c r="F222" s="99" t="s">
        <v>105</v>
      </c>
      <c r="M222" s="5">
        <f>SUM(M210:M221)</f>
        <v>4158016</v>
      </c>
      <c r="N222" s="92" t="s">
        <v>82</v>
      </c>
      <c r="O222" s="1">
        <v>4166586</v>
      </c>
      <c r="P222" t="s">
        <v>86</v>
      </c>
    </row>
    <row r="223" spans="2:14" ht="13.5" thickBot="1">
      <c r="B223" s="11"/>
      <c r="M223" s="11"/>
      <c r="N223" t="s">
        <v>86</v>
      </c>
    </row>
    <row r="224" spans="2:14" ht="13.5" thickBot="1">
      <c r="B224" s="11"/>
      <c r="M224" s="1"/>
      <c r="N224" t="s">
        <v>87</v>
      </c>
    </row>
    <row r="225" spans="2:14" ht="13.5" thickBot="1">
      <c r="B225" s="11"/>
      <c r="F225" s="28" t="s">
        <v>104</v>
      </c>
      <c r="G225" s="28"/>
      <c r="H225" s="28"/>
      <c r="M225" s="1"/>
      <c r="N225" t="s">
        <v>86</v>
      </c>
    </row>
    <row r="226" ht="13.5" thickBot="1">
      <c r="B226" s="12"/>
    </row>
    <row r="227" ht="13.5" thickBot="1">
      <c r="B227" s="1">
        <v>141680</v>
      </c>
    </row>
    <row r="235" ht="13.5" thickBot="1"/>
    <row r="236" spans="1:19" ht="13.5" thickBot="1">
      <c r="A236" s="53" t="s">
        <v>40</v>
      </c>
      <c r="B236" s="35" t="s">
        <v>0</v>
      </c>
      <c r="C236" s="16" t="s">
        <v>1</v>
      </c>
      <c r="D236" s="42" t="s">
        <v>2</v>
      </c>
      <c r="E236" s="43" t="s">
        <v>81</v>
      </c>
      <c r="F236" s="19" t="s">
        <v>4</v>
      </c>
      <c r="G236" s="20" t="s">
        <v>5</v>
      </c>
      <c r="H236" s="33" t="s">
        <v>6</v>
      </c>
      <c r="I236" s="22" t="s">
        <v>7</v>
      </c>
      <c r="J236" s="23" t="s">
        <v>8</v>
      </c>
      <c r="K236" s="24" t="s">
        <v>9</v>
      </c>
      <c r="L236" s="49" t="s">
        <v>14</v>
      </c>
      <c r="M236" s="3" t="s">
        <v>13</v>
      </c>
      <c r="N236" s="3" t="s">
        <v>11</v>
      </c>
      <c r="O236" s="32" t="s">
        <v>20</v>
      </c>
      <c r="P236" s="81" t="s">
        <v>70</v>
      </c>
      <c r="Q236" s="97" t="s">
        <v>80</v>
      </c>
      <c r="R236" s="98" t="s">
        <v>101</v>
      </c>
      <c r="S236" s="100" t="s">
        <v>106</v>
      </c>
    </row>
    <row r="237" spans="1:19" ht="13.5" thickBot="1">
      <c r="A237" s="9">
        <v>2160</v>
      </c>
      <c r="B237" s="3">
        <v>12620</v>
      </c>
      <c r="C237" s="56">
        <v>2800</v>
      </c>
      <c r="D237" s="3">
        <v>2840</v>
      </c>
      <c r="E237" s="68">
        <v>5700</v>
      </c>
      <c r="F237" s="3">
        <v>7820</v>
      </c>
      <c r="G237" s="68">
        <v>1500</v>
      </c>
      <c r="H237" s="3">
        <v>3280</v>
      </c>
      <c r="I237" s="1">
        <v>0</v>
      </c>
      <c r="J237" s="1">
        <v>576000</v>
      </c>
      <c r="K237" s="9">
        <v>2418120</v>
      </c>
      <c r="L237" s="7">
        <v>1780</v>
      </c>
      <c r="M237" s="10">
        <v>2160</v>
      </c>
      <c r="N237" s="59">
        <v>3208040</v>
      </c>
      <c r="O237" s="34">
        <v>0</v>
      </c>
      <c r="P237" s="1">
        <v>0</v>
      </c>
      <c r="Q237" s="9">
        <v>0</v>
      </c>
      <c r="R237" s="1">
        <v>0</v>
      </c>
      <c r="S237" s="87">
        <v>13340</v>
      </c>
    </row>
    <row r="238" spans="2:14" ht="13.5" thickBot="1">
      <c r="B238" s="4">
        <v>11100</v>
      </c>
      <c r="C238" s="61">
        <v>2120</v>
      </c>
      <c r="D238" s="4">
        <v>820</v>
      </c>
      <c r="E238" s="55"/>
      <c r="F238" s="4">
        <v>9320</v>
      </c>
      <c r="G238" s="69">
        <v>0</v>
      </c>
      <c r="H238" s="4">
        <v>0</v>
      </c>
      <c r="L238" s="6"/>
      <c r="M238" s="4">
        <v>139220</v>
      </c>
      <c r="N238" s="61">
        <v>3840</v>
      </c>
    </row>
    <row r="239" spans="2:14" ht="13.5" thickBot="1">
      <c r="B239" s="4">
        <v>14000</v>
      </c>
      <c r="C239" s="61">
        <v>2560</v>
      </c>
      <c r="D239" s="4">
        <v>4020</v>
      </c>
      <c r="E239" s="102"/>
      <c r="F239" s="4">
        <v>6760</v>
      </c>
      <c r="G239" s="70">
        <f>SUM(G237:G238)</f>
        <v>1500</v>
      </c>
      <c r="H239" s="4">
        <v>0</v>
      </c>
      <c r="L239" s="6"/>
      <c r="M239" s="4">
        <v>10780</v>
      </c>
      <c r="N239" s="57">
        <v>0</v>
      </c>
    </row>
    <row r="240" spans="2:15" ht="13.5" thickBot="1">
      <c r="B240" s="4">
        <v>11440</v>
      </c>
      <c r="C240" s="57">
        <v>3300</v>
      </c>
      <c r="D240" s="5">
        <v>0</v>
      </c>
      <c r="E240" s="101"/>
      <c r="F240" s="5">
        <v>5600</v>
      </c>
      <c r="H240" s="5">
        <v>0</v>
      </c>
      <c r="L240" s="14"/>
      <c r="M240" s="4">
        <v>3840</v>
      </c>
      <c r="N240" s="34">
        <f>SUM(N237:N239)</f>
        <v>3211880</v>
      </c>
      <c r="O240" s="92" t="s">
        <v>89</v>
      </c>
    </row>
    <row r="241" spans="2:13" ht="13.5" thickBot="1">
      <c r="B241" s="4">
        <v>8760</v>
      </c>
      <c r="C241" s="34">
        <f>SUM(C237:C240)</f>
        <v>10780</v>
      </c>
      <c r="D241" s="1">
        <f>SUM(D237:D240)</f>
        <v>7680</v>
      </c>
      <c r="E241" s="57"/>
      <c r="F241" s="1">
        <f>SUM(F237:F240)</f>
        <v>29500</v>
      </c>
      <c r="H241" s="5">
        <f>SUM(H237:H240)</f>
        <v>3280</v>
      </c>
      <c r="L241" s="9">
        <v>1780</v>
      </c>
      <c r="M241" s="4">
        <v>5700</v>
      </c>
    </row>
    <row r="242" spans="2:13" ht="13.5" thickBot="1">
      <c r="B242" s="4">
        <v>13780</v>
      </c>
      <c r="D242" s="55"/>
      <c r="E242" s="1">
        <v>5700</v>
      </c>
      <c r="M242" s="4">
        <v>2840</v>
      </c>
    </row>
    <row r="243" spans="2:13" ht="13.5" thickBot="1">
      <c r="B243" s="4">
        <v>12640</v>
      </c>
      <c r="D243" s="96"/>
      <c r="E243" s="93" t="s">
        <v>96</v>
      </c>
      <c r="M243" s="4">
        <v>29500</v>
      </c>
    </row>
    <row r="244" spans="2:13" ht="13.5" thickBot="1">
      <c r="B244" s="4">
        <v>13780</v>
      </c>
      <c r="D244" s="9">
        <v>3840</v>
      </c>
      <c r="E244" s="3">
        <v>2840</v>
      </c>
      <c r="M244" s="4">
        <v>1500</v>
      </c>
    </row>
    <row r="245" spans="2:13" ht="13.5" thickBot="1">
      <c r="B245" s="4">
        <v>14100</v>
      </c>
      <c r="E245" s="5">
        <v>0</v>
      </c>
      <c r="G245" s="92"/>
      <c r="M245" s="4">
        <v>3280</v>
      </c>
    </row>
    <row r="246" spans="2:13" ht="13.5" thickBot="1">
      <c r="B246" s="4">
        <v>13420</v>
      </c>
      <c r="E246" s="1">
        <v>2840</v>
      </c>
      <c r="M246" s="11">
        <v>576000</v>
      </c>
    </row>
    <row r="247" spans="2:15" ht="13.5" thickBot="1">
      <c r="B247" s="4">
        <v>13580</v>
      </c>
      <c r="E247" s="55"/>
      <c r="M247" s="4">
        <v>2418120</v>
      </c>
      <c r="O247" s="1">
        <v>3211880</v>
      </c>
    </row>
    <row r="248" spans="2:16" ht="13.5" thickBot="1">
      <c r="B248" s="4">
        <v>0</v>
      </c>
      <c r="M248" s="11">
        <v>1760</v>
      </c>
      <c r="O248" s="1">
        <v>3211880</v>
      </c>
      <c r="P248" t="s">
        <v>83</v>
      </c>
    </row>
    <row r="249" spans="2:16" ht="13.5" thickBot="1">
      <c r="B249" s="11">
        <v>0</v>
      </c>
      <c r="F249" s="99" t="s">
        <v>107</v>
      </c>
      <c r="M249" s="5">
        <v>13340</v>
      </c>
      <c r="N249" s="92"/>
      <c r="O249" s="1">
        <v>3211880</v>
      </c>
      <c r="P249" t="s">
        <v>86</v>
      </c>
    </row>
    <row r="250" spans="2:14" ht="13.5" thickBot="1">
      <c r="B250" s="11">
        <v>0</v>
      </c>
      <c r="M250" s="11">
        <f>SUM(M237:M249)</f>
        <v>3208040</v>
      </c>
      <c r="N250" s="92" t="s">
        <v>82</v>
      </c>
    </row>
    <row r="251" spans="2:13" ht="13.5" thickBot="1">
      <c r="B251" s="11">
        <v>0</v>
      </c>
      <c r="M251" s="1"/>
    </row>
    <row r="252" spans="2:14" ht="13.5" thickBot="1">
      <c r="B252" s="11">
        <v>0</v>
      </c>
      <c r="F252" s="28" t="s">
        <v>92</v>
      </c>
      <c r="G252" s="28"/>
      <c r="H252" s="28"/>
      <c r="M252" s="1">
        <v>3211880</v>
      </c>
      <c r="N252" s="92" t="s">
        <v>87</v>
      </c>
    </row>
    <row r="253" ht="13.5" thickBot="1">
      <c r="B253" s="12">
        <v>0</v>
      </c>
    </row>
    <row r="254" ht="13.5" thickBot="1">
      <c r="B254" s="1">
        <f>SUM(B237:B253)</f>
        <v>139220</v>
      </c>
    </row>
    <row r="259" ht="13.5" thickBot="1"/>
    <row r="260" spans="1:19" ht="13.5" thickBot="1">
      <c r="A260" s="53" t="s">
        <v>40</v>
      </c>
      <c r="B260" s="35" t="s">
        <v>0</v>
      </c>
      <c r="C260" s="16" t="s">
        <v>1</v>
      </c>
      <c r="D260" s="42" t="s">
        <v>2</v>
      </c>
      <c r="E260" s="43" t="s">
        <v>81</v>
      </c>
      <c r="F260" s="19" t="s">
        <v>4</v>
      </c>
      <c r="G260" s="20" t="s">
        <v>5</v>
      </c>
      <c r="H260" s="33" t="s">
        <v>6</v>
      </c>
      <c r="I260" s="22" t="s">
        <v>7</v>
      </c>
      <c r="J260" s="23" t="s">
        <v>8</v>
      </c>
      <c r="K260" s="24" t="s">
        <v>9</v>
      </c>
      <c r="L260" s="49" t="s">
        <v>14</v>
      </c>
      <c r="M260" s="3" t="s">
        <v>13</v>
      </c>
      <c r="N260" s="3" t="s">
        <v>11</v>
      </c>
      <c r="O260" s="32" t="s">
        <v>20</v>
      </c>
      <c r="P260" s="81" t="s">
        <v>70</v>
      </c>
      <c r="Q260" s="97" t="s">
        <v>80</v>
      </c>
      <c r="R260" s="98" t="s">
        <v>101</v>
      </c>
      <c r="S260" s="103" t="s">
        <v>106</v>
      </c>
    </row>
    <row r="261" spans="1:19" ht="13.5" thickBot="1">
      <c r="A261" s="9">
        <v>0</v>
      </c>
      <c r="B261" s="3">
        <v>15200</v>
      </c>
      <c r="C261" s="56">
        <v>2560</v>
      </c>
      <c r="D261" s="3">
        <v>8100</v>
      </c>
      <c r="E261" s="56">
        <v>4320</v>
      </c>
      <c r="F261" s="56">
        <v>5000</v>
      </c>
      <c r="G261" s="7">
        <v>2580</v>
      </c>
      <c r="H261" s="3">
        <v>3000</v>
      </c>
      <c r="I261" s="1">
        <v>0</v>
      </c>
      <c r="J261" s="1">
        <v>206000</v>
      </c>
      <c r="K261" s="9">
        <v>1431840</v>
      </c>
      <c r="L261" s="7">
        <v>3180</v>
      </c>
      <c r="M261" s="10">
        <v>117800</v>
      </c>
      <c r="N261" s="59">
        <v>2005550</v>
      </c>
      <c r="O261" s="34">
        <v>0</v>
      </c>
      <c r="P261" s="1">
        <v>0</v>
      </c>
      <c r="Q261" s="9">
        <v>0</v>
      </c>
      <c r="R261" s="9">
        <v>0</v>
      </c>
      <c r="S261" s="3">
        <v>19680</v>
      </c>
    </row>
    <row r="262" spans="2:19" ht="13.5" thickBot="1">
      <c r="B262" s="4">
        <v>12580</v>
      </c>
      <c r="C262" s="61">
        <v>1940</v>
      </c>
      <c r="D262" s="4">
        <v>4580</v>
      </c>
      <c r="E262" s="61">
        <v>5020</v>
      </c>
      <c r="F262" s="61">
        <v>6800</v>
      </c>
      <c r="G262" s="8">
        <v>2000</v>
      </c>
      <c r="H262" s="4">
        <v>1150</v>
      </c>
      <c r="L262" s="6">
        <v>1060</v>
      </c>
      <c r="M262" s="4">
        <v>4500</v>
      </c>
      <c r="N262" s="61">
        <v>6340</v>
      </c>
      <c r="S262" s="4">
        <v>19680</v>
      </c>
    </row>
    <row r="263" spans="2:19" ht="13.5" thickBot="1">
      <c r="B263" s="4">
        <v>14500</v>
      </c>
      <c r="C263" s="61">
        <v>0</v>
      </c>
      <c r="D263" s="4">
        <v>0</v>
      </c>
      <c r="E263" s="94">
        <v>0</v>
      </c>
      <c r="F263" s="57">
        <v>8620</v>
      </c>
      <c r="G263" s="9">
        <f>SUM(G261:G262)</f>
        <v>4580</v>
      </c>
      <c r="H263" s="4">
        <v>0</v>
      </c>
      <c r="L263" s="6">
        <v>600</v>
      </c>
      <c r="M263" s="4">
        <v>6340</v>
      </c>
      <c r="N263" s="57">
        <v>0</v>
      </c>
      <c r="S263" s="4">
        <v>19900</v>
      </c>
    </row>
    <row r="264" spans="2:19" ht="13.5" thickBot="1">
      <c r="B264" s="4">
        <v>14600</v>
      </c>
      <c r="C264" s="57">
        <v>0</v>
      </c>
      <c r="D264" s="5">
        <v>0</v>
      </c>
      <c r="E264" s="95">
        <v>0</v>
      </c>
      <c r="F264" s="34">
        <v>4720</v>
      </c>
      <c r="H264" s="5">
        <v>0</v>
      </c>
      <c r="L264" s="14">
        <v>2340</v>
      </c>
      <c r="M264" s="4">
        <v>9340</v>
      </c>
      <c r="N264" s="34">
        <f>SUM(N261:N263)</f>
        <v>2011890</v>
      </c>
      <c r="O264" s="92" t="s">
        <v>89</v>
      </c>
      <c r="S264" s="11">
        <v>18820</v>
      </c>
    </row>
    <row r="265" spans="2:19" ht="13.5" thickBot="1">
      <c r="B265" s="4">
        <v>12000</v>
      </c>
      <c r="C265" s="34">
        <f>SUM(C261:C264)</f>
        <v>4500</v>
      </c>
      <c r="D265" s="1">
        <f>SUM(D261:D264)</f>
        <v>12680</v>
      </c>
      <c r="E265" s="57">
        <v>0</v>
      </c>
      <c r="H265" s="5">
        <f>SUM(H261:H264)</f>
        <v>4150</v>
      </c>
      <c r="L265" s="9">
        <f>SUM(L261:L264)</f>
        <v>7180</v>
      </c>
      <c r="M265" s="4">
        <v>4720</v>
      </c>
      <c r="S265" s="11">
        <v>19000</v>
      </c>
    </row>
    <row r="266" spans="2:19" ht="13.5" thickBot="1">
      <c r="B266" s="4">
        <v>12520</v>
      </c>
      <c r="D266" s="55"/>
      <c r="E266" s="1">
        <f>SUM(E261:E265)</f>
        <v>9340</v>
      </c>
      <c r="M266" s="4">
        <v>4580</v>
      </c>
      <c r="S266" s="11">
        <v>18960</v>
      </c>
    </row>
    <row r="267" spans="2:19" ht="13.5" thickBot="1">
      <c r="B267" s="4">
        <v>14740</v>
      </c>
      <c r="D267" s="96"/>
      <c r="E267" s="93" t="s">
        <v>96</v>
      </c>
      <c r="M267" s="4">
        <v>4150</v>
      </c>
      <c r="S267" s="11">
        <v>18880</v>
      </c>
    </row>
    <row r="268" spans="2:19" ht="13.5" thickBot="1">
      <c r="B268" s="4">
        <v>9780</v>
      </c>
      <c r="D268" s="9">
        <v>6340</v>
      </c>
      <c r="E268" s="3">
        <v>0</v>
      </c>
      <c r="M268" s="4">
        <v>206000</v>
      </c>
      <c r="S268" s="11">
        <v>18860</v>
      </c>
    </row>
    <row r="269" spans="2:19" ht="13.5" thickBot="1">
      <c r="B269" s="4">
        <v>11880</v>
      </c>
      <c r="E269" s="5">
        <v>0</v>
      </c>
      <c r="G269" s="92"/>
      <c r="M269" s="4">
        <v>1431840</v>
      </c>
      <c r="S269" s="11">
        <v>14900</v>
      </c>
    </row>
    <row r="270" spans="2:19" ht="13.5" thickBot="1">
      <c r="B270" s="4">
        <v>0</v>
      </c>
      <c r="E270" s="1">
        <v>0</v>
      </c>
      <c r="M270" s="11">
        <v>7180</v>
      </c>
      <c r="S270" s="11">
        <v>18880</v>
      </c>
    </row>
    <row r="271" spans="2:19" ht="13.5" thickBot="1">
      <c r="B271" s="4">
        <v>0</v>
      </c>
      <c r="E271" s="55"/>
      <c r="M271" s="4">
        <v>209100</v>
      </c>
      <c r="O271" s="1">
        <v>2011890</v>
      </c>
      <c r="S271" s="11">
        <v>18880</v>
      </c>
    </row>
    <row r="272" spans="2:19" ht="13.5" thickBot="1">
      <c r="B272" s="4">
        <v>0</v>
      </c>
      <c r="M272" s="12">
        <v>0</v>
      </c>
      <c r="O272" s="1">
        <v>2011890</v>
      </c>
      <c r="P272" t="s">
        <v>83</v>
      </c>
      <c r="S272" s="12">
        <v>2660</v>
      </c>
    </row>
    <row r="273" spans="2:19" ht="13.5" thickBot="1">
      <c r="B273" s="11">
        <v>0</v>
      </c>
      <c r="F273" s="99" t="s">
        <v>43</v>
      </c>
      <c r="M273" s="5">
        <f>SUM(M261:M272)</f>
        <v>2005550</v>
      </c>
      <c r="N273" s="92" t="s">
        <v>82</v>
      </c>
      <c r="O273" s="1">
        <v>2011890</v>
      </c>
      <c r="P273" t="s">
        <v>86</v>
      </c>
      <c r="S273" s="1">
        <f>SUM(S261:S272)</f>
        <v>209100</v>
      </c>
    </row>
    <row r="274" spans="2:13" ht="13.5" thickBot="1">
      <c r="B274" s="11">
        <v>0</v>
      </c>
      <c r="M274" s="11"/>
    </row>
    <row r="275" spans="2:14" ht="13.5" thickBot="1">
      <c r="B275" s="11">
        <v>0</v>
      </c>
      <c r="M275" s="1">
        <v>2011890</v>
      </c>
      <c r="N275" t="s">
        <v>87</v>
      </c>
    </row>
    <row r="276" spans="2:13" ht="12.75">
      <c r="B276" s="11">
        <v>0</v>
      </c>
      <c r="F276" s="28" t="s">
        <v>92</v>
      </c>
      <c r="G276" s="28"/>
      <c r="H276" s="28"/>
      <c r="M276" s="55"/>
    </row>
    <row r="277" ht="13.5" thickBot="1">
      <c r="B277" s="12">
        <v>0</v>
      </c>
    </row>
    <row r="278" ht="13.5" thickBot="1">
      <c r="B278" s="1">
        <f>SUM(B261:B276)</f>
        <v>117800</v>
      </c>
    </row>
    <row r="281" ht="12.75">
      <c r="A281" t="s">
        <v>108</v>
      </c>
    </row>
    <row r="283" ht="12.75">
      <c r="A283" t="s">
        <v>109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282"/>
  <sheetViews>
    <sheetView zoomScale="77" zoomScaleNormal="77" zoomScalePageLayoutView="0" workbookViewId="0" topLeftCell="E100">
      <selection activeCell="T51" sqref="T51"/>
    </sheetView>
  </sheetViews>
  <sheetFormatPr defaultColWidth="9.140625" defaultRowHeight="12.75"/>
  <cols>
    <col min="5" max="5" width="10.7109375" style="0" customWidth="1"/>
    <col min="21" max="21" width="11.57421875" style="0" customWidth="1"/>
    <col min="26" max="26" width="6.7109375" style="0" customWidth="1"/>
    <col min="27" max="27" width="12.7109375" style="0" customWidth="1"/>
    <col min="28" max="28" width="12.421875" style="0" customWidth="1"/>
    <col min="29" max="29" width="11.140625" style="0" customWidth="1"/>
  </cols>
  <sheetData>
    <row r="1" spans="1:6" ht="18.75" thickBot="1">
      <c r="A1" s="83" t="s">
        <v>110</v>
      </c>
      <c r="B1" s="84"/>
      <c r="C1" s="84"/>
      <c r="D1" s="85"/>
      <c r="E1" s="86"/>
      <c r="F1" t="s">
        <v>78</v>
      </c>
    </row>
    <row r="2" ht="13.5" thickBot="1"/>
    <row r="3" spans="1:16" ht="13.5" thickBot="1">
      <c r="A3" s="53" t="s">
        <v>40</v>
      </c>
      <c r="B3" s="15" t="s">
        <v>0</v>
      </c>
      <c r="C3" s="16" t="s">
        <v>1</v>
      </c>
      <c r="D3" s="17" t="s">
        <v>2</v>
      </c>
      <c r="E3" s="18" t="s">
        <v>81</v>
      </c>
      <c r="F3" s="19" t="s">
        <v>4</v>
      </c>
      <c r="G3" s="20" t="s">
        <v>5</v>
      </c>
      <c r="H3" s="33" t="s">
        <v>6</v>
      </c>
      <c r="I3" s="22" t="s">
        <v>7</v>
      </c>
      <c r="J3" s="23" t="s">
        <v>8</v>
      </c>
      <c r="K3" s="24" t="s">
        <v>9</v>
      </c>
      <c r="L3" s="27" t="s">
        <v>14</v>
      </c>
      <c r="M3" s="1" t="s">
        <v>13</v>
      </c>
      <c r="N3" s="1" t="s">
        <v>11</v>
      </c>
      <c r="O3" s="32" t="s">
        <v>114</v>
      </c>
      <c r="P3" s="81" t="s">
        <v>113</v>
      </c>
    </row>
    <row r="4" spans="1:16" ht="13.5" thickBot="1">
      <c r="A4" s="9"/>
      <c r="B4" s="3">
        <v>7400</v>
      </c>
      <c r="C4" s="3">
        <v>2460</v>
      </c>
      <c r="D4" s="3">
        <v>5060</v>
      </c>
      <c r="E4" s="9">
        <v>3720</v>
      </c>
      <c r="F4" s="3">
        <v>7240</v>
      </c>
      <c r="G4" s="7">
        <v>2380</v>
      </c>
      <c r="H4" s="3">
        <v>3140</v>
      </c>
      <c r="I4" s="1"/>
      <c r="J4" s="1">
        <v>171000</v>
      </c>
      <c r="K4" s="1">
        <v>1970880</v>
      </c>
      <c r="L4" s="9">
        <v>3640</v>
      </c>
      <c r="M4" s="10">
        <v>97720</v>
      </c>
      <c r="N4" s="59">
        <v>2283110</v>
      </c>
      <c r="O4" s="34">
        <v>700</v>
      </c>
      <c r="P4" s="1"/>
    </row>
    <row r="5" spans="2:28" ht="13.5" thickBot="1">
      <c r="B5" s="4">
        <v>12720</v>
      </c>
      <c r="C5" s="4">
        <v>3040</v>
      </c>
      <c r="D5" s="4">
        <v>440</v>
      </c>
      <c r="E5" s="63">
        <v>2780</v>
      </c>
      <c r="F5" s="4">
        <v>6460</v>
      </c>
      <c r="G5" s="8">
        <v>3420</v>
      </c>
      <c r="H5" s="4"/>
      <c r="M5" s="4">
        <v>7980</v>
      </c>
      <c r="N5" s="57">
        <v>2750</v>
      </c>
      <c r="AB5">
        <v>1970880</v>
      </c>
    </row>
    <row r="6" spans="2:28" ht="13.5" thickBot="1">
      <c r="B6" s="4">
        <v>11940</v>
      </c>
      <c r="C6" s="5">
        <v>2480</v>
      </c>
      <c r="D6" s="5">
        <v>0</v>
      </c>
      <c r="E6" s="89">
        <f>SUM(E4:E5)</f>
        <v>6500</v>
      </c>
      <c r="F6" s="5">
        <v>0</v>
      </c>
      <c r="G6" s="9">
        <f>SUM(G4:G5)</f>
        <v>5800</v>
      </c>
      <c r="H6" s="4"/>
      <c r="M6" s="4">
        <v>2750</v>
      </c>
      <c r="N6" s="57">
        <v>700</v>
      </c>
      <c r="W6" t="s">
        <v>155</v>
      </c>
      <c r="AB6">
        <v>3258200</v>
      </c>
    </row>
    <row r="7" spans="2:28" ht="13.5" thickBot="1">
      <c r="B7" s="4">
        <v>14400</v>
      </c>
      <c r="C7" s="5">
        <f>SUM(C4:C6)</f>
        <v>7980</v>
      </c>
      <c r="D7" s="1">
        <f>SUM(D4:D6)</f>
        <v>5500</v>
      </c>
      <c r="E7" s="87"/>
      <c r="F7" s="1">
        <f>SUM(F4:F6)</f>
        <v>13700</v>
      </c>
      <c r="H7" s="5"/>
      <c r="M7" s="4">
        <v>6500</v>
      </c>
      <c r="N7" s="1">
        <f>SUM(N4:N6)</f>
        <v>2286560</v>
      </c>
      <c r="U7" s="55"/>
      <c r="W7">
        <v>700</v>
      </c>
      <c r="AB7">
        <v>2362475</v>
      </c>
    </row>
    <row r="8" spans="2:28" ht="13.5" thickBot="1">
      <c r="B8" s="4">
        <v>12920</v>
      </c>
      <c r="D8" t="s">
        <v>71</v>
      </c>
      <c r="H8" s="5">
        <v>3140</v>
      </c>
      <c r="M8" s="4">
        <v>13700</v>
      </c>
      <c r="U8" s="55"/>
      <c r="W8">
        <v>900</v>
      </c>
      <c r="AB8">
        <v>1657480</v>
      </c>
    </row>
    <row r="9" spans="2:28" ht="13.5" thickBot="1">
      <c r="B9" s="4">
        <v>13380</v>
      </c>
      <c r="D9" s="1">
        <v>2750</v>
      </c>
      <c r="M9" s="4">
        <v>5800</v>
      </c>
      <c r="U9" s="55"/>
      <c r="W9">
        <v>610</v>
      </c>
      <c r="AB9">
        <v>3182140</v>
      </c>
    </row>
    <row r="10" spans="2:28" ht="12.75">
      <c r="B10" s="4">
        <v>12480</v>
      </c>
      <c r="D10" s="82"/>
      <c r="M10" s="4">
        <v>3140</v>
      </c>
      <c r="U10" s="55"/>
      <c r="W10">
        <v>710</v>
      </c>
      <c r="AB10">
        <v>2570600</v>
      </c>
    </row>
    <row r="11" spans="2:28" ht="13.5" thickBot="1">
      <c r="B11" s="4">
        <v>12480</v>
      </c>
      <c r="D11" s="55"/>
      <c r="M11" s="4">
        <v>171000</v>
      </c>
      <c r="U11" s="82"/>
      <c r="W11">
        <v>710</v>
      </c>
      <c r="AB11">
        <v>1415260</v>
      </c>
    </row>
    <row r="12" spans="2:28" ht="13.5" thickBot="1">
      <c r="B12" s="4">
        <v>0</v>
      </c>
      <c r="M12" s="4">
        <v>1970880</v>
      </c>
      <c r="O12" s="1">
        <v>2283110</v>
      </c>
      <c r="U12" s="55"/>
      <c r="W12">
        <v>800</v>
      </c>
      <c r="AB12">
        <v>2994490</v>
      </c>
    </row>
    <row r="13" spans="2:28" ht="13.5" thickBot="1">
      <c r="B13" s="5">
        <v>0</v>
      </c>
      <c r="M13" s="11">
        <v>3640</v>
      </c>
      <c r="O13" s="1">
        <v>2750</v>
      </c>
      <c r="U13" s="55"/>
      <c r="W13">
        <v>11240</v>
      </c>
      <c r="AB13">
        <v>3176040</v>
      </c>
    </row>
    <row r="14" spans="2:28" ht="13.5" thickBot="1">
      <c r="B14" s="5">
        <f>SUM(B4:B13)</f>
        <v>97720</v>
      </c>
      <c r="M14" s="12">
        <v>0</v>
      </c>
      <c r="O14" s="1">
        <f>SUM(O12:O13)</f>
        <v>2285860</v>
      </c>
      <c r="P14" t="s">
        <v>83</v>
      </c>
      <c r="U14" s="55"/>
      <c r="W14" s="1">
        <f>SUM(W7:W13)</f>
        <v>15670</v>
      </c>
      <c r="AB14">
        <v>2426400</v>
      </c>
    </row>
    <row r="15" spans="13:28" ht="13.5" thickBot="1">
      <c r="M15" s="1">
        <f>SUM(M4:M14)</f>
        <v>2283110</v>
      </c>
      <c r="U15" s="55"/>
      <c r="AB15">
        <v>3526110</v>
      </c>
    </row>
    <row r="16" spans="6:28" ht="13.5" thickBot="1">
      <c r="F16" s="28" t="s">
        <v>111</v>
      </c>
      <c r="M16" s="26"/>
      <c r="U16" s="55"/>
      <c r="AB16" s="82">
        <v>2890200</v>
      </c>
    </row>
    <row r="17" spans="13:28" ht="13.5" thickBot="1">
      <c r="M17" s="1"/>
      <c r="U17" s="55"/>
      <c r="AB17" s="1">
        <f>SUM(AB5:AB16)</f>
        <v>31430275</v>
      </c>
    </row>
    <row r="18" spans="6:28" ht="12.75">
      <c r="F18" s="92" t="s">
        <v>112</v>
      </c>
      <c r="U18" s="55"/>
      <c r="AB18" s="82"/>
    </row>
    <row r="20" ht="12.75">
      <c r="Y20" t="s">
        <v>5</v>
      </c>
    </row>
    <row r="21" spans="18:29" ht="12.75">
      <c r="R21" t="s">
        <v>158</v>
      </c>
      <c r="S21" s="117" t="s">
        <v>2</v>
      </c>
      <c r="T21" s="117" t="s">
        <v>4</v>
      </c>
      <c r="U21" s="117" t="s">
        <v>156</v>
      </c>
      <c r="V21" s="117" t="s">
        <v>14</v>
      </c>
      <c r="W21" s="117" t="s">
        <v>0</v>
      </c>
      <c r="X21" s="117" t="s">
        <v>154</v>
      </c>
      <c r="Y21" s="117">
        <v>5800</v>
      </c>
      <c r="Z21" s="117"/>
      <c r="AA21" s="117" t="s">
        <v>1</v>
      </c>
      <c r="AB21" s="117" t="s">
        <v>9</v>
      </c>
      <c r="AC21" s="117" t="s">
        <v>8</v>
      </c>
    </row>
    <row r="22" spans="18:29" ht="13.5" thickBot="1">
      <c r="R22">
        <v>3140</v>
      </c>
      <c r="S22">
        <v>5500</v>
      </c>
      <c r="T22">
        <v>26980</v>
      </c>
      <c r="U22">
        <v>2286560</v>
      </c>
      <c r="V22">
        <v>3640</v>
      </c>
      <c r="W22">
        <v>97720</v>
      </c>
      <c r="X22">
        <v>6500</v>
      </c>
      <c r="Y22">
        <v>3860</v>
      </c>
      <c r="Z22">
        <v>278</v>
      </c>
      <c r="AA22">
        <v>79980</v>
      </c>
      <c r="AB22">
        <v>1970880</v>
      </c>
      <c r="AC22">
        <v>171000</v>
      </c>
    </row>
    <row r="23" spans="1:29" ht="13.5" thickBot="1">
      <c r="A23" s="53" t="s">
        <v>40</v>
      </c>
      <c r="B23" s="15" t="s">
        <v>0</v>
      </c>
      <c r="C23" s="16" t="s">
        <v>1</v>
      </c>
      <c r="D23" s="17" t="s">
        <v>2</v>
      </c>
      <c r="E23" s="43" t="s">
        <v>81</v>
      </c>
      <c r="F23" s="19" t="s">
        <v>4</v>
      </c>
      <c r="G23" s="20" t="s">
        <v>5</v>
      </c>
      <c r="H23" s="33" t="s">
        <v>6</v>
      </c>
      <c r="I23" s="22" t="s">
        <v>7</v>
      </c>
      <c r="J23" s="23" t="s">
        <v>8</v>
      </c>
      <c r="K23" s="24" t="s">
        <v>9</v>
      </c>
      <c r="L23" s="27" t="s">
        <v>14</v>
      </c>
      <c r="M23" s="1" t="s">
        <v>13</v>
      </c>
      <c r="N23" s="1" t="s">
        <v>11</v>
      </c>
      <c r="O23" s="32" t="s">
        <v>114</v>
      </c>
      <c r="P23" s="81" t="s">
        <v>113</v>
      </c>
      <c r="R23">
        <v>2860</v>
      </c>
      <c r="S23">
        <v>9980</v>
      </c>
      <c r="T23">
        <v>14320</v>
      </c>
      <c r="U23">
        <v>3873170</v>
      </c>
      <c r="V23">
        <v>3180</v>
      </c>
      <c r="W23">
        <v>106800</v>
      </c>
      <c r="X23">
        <v>8420</v>
      </c>
      <c r="Y23">
        <v>2060</v>
      </c>
      <c r="Z23">
        <v>347</v>
      </c>
      <c r="AA23">
        <v>7260</v>
      </c>
      <c r="AB23">
        <v>3258200</v>
      </c>
      <c r="AC23">
        <v>439000</v>
      </c>
    </row>
    <row r="24" spans="1:29" ht="13.5" thickBot="1">
      <c r="A24" s="9"/>
      <c r="B24" s="3">
        <v>13740</v>
      </c>
      <c r="C24" s="3">
        <v>2380</v>
      </c>
      <c r="D24" s="7">
        <v>4300</v>
      </c>
      <c r="E24" s="3">
        <v>3840</v>
      </c>
      <c r="F24" s="56">
        <v>10560</v>
      </c>
      <c r="G24" s="7">
        <v>2000</v>
      </c>
      <c r="H24" s="3">
        <v>2860</v>
      </c>
      <c r="I24" s="1"/>
      <c r="J24" s="1">
        <v>439000</v>
      </c>
      <c r="K24" s="1">
        <v>3258200</v>
      </c>
      <c r="L24" s="9">
        <v>3180</v>
      </c>
      <c r="M24" s="10">
        <v>106800</v>
      </c>
      <c r="N24" s="59">
        <v>9980</v>
      </c>
      <c r="O24" s="34"/>
      <c r="P24" s="1"/>
      <c r="R24">
        <v>2540</v>
      </c>
      <c r="S24">
        <v>11460</v>
      </c>
      <c r="T24">
        <v>24920</v>
      </c>
      <c r="U24">
        <v>2904885</v>
      </c>
      <c r="V24">
        <v>3080</v>
      </c>
      <c r="W24">
        <v>121440</v>
      </c>
      <c r="X24">
        <v>1640</v>
      </c>
      <c r="Y24">
        <v>4440</v>
      </c>
      <c r="Z24">
        <v>395</v>
      </c>
      <c r="AA24">
        <v>12210</v>
      </c>
      <c r="AB24">
        <v>2362475</v>
      </c>
      <c r="AC24">
        <v>360000</v>
      </c>
    </row>
    <row r="25" spans="2:29" ht="13.5" thickBot="1">
      <c r="B25" s="4">
        <v>12340</v>
      </c>
      <c r="C25" s="4">
        <v>2940</v>
      </c>
      <c r="D25" s="6">
        <v>5680</v>
      </c>
      <c r="E25" s="11">
        <v>1440</v>
      </c>
      <c r="F25" s="61">
        <v>4040</v>
      </c>
      <c r="G25" s="8">
        <v>1860</v>
      </c>
      <c r="H25" s="4"/>
      <c r="M25" s="4">
        <v>7260</v>
      </c>
      <c r="N25" s="57">
        <v>3863190</v>
      </c>
      <c r="R25">
        <v>7120</v>
      </c>
      <c r="S25">
        <v>5140</v>
      </c>
      <c r="T25">
        <v>27800</v>
      </c>
      <c r="U25">
        <v>2394200</v>
      </c>
      <c r="V25">
        <v>11060</v>
      </c>
      <c r="W25">
        <v>128340</v>
      </c>
      <c r="X25">
        <v>4440</v>
      </c>
      <c r="Y25">
        <v>1980</v>
      </c>
      <c r="Z25">
        <v>505</v>
      </c>
      <c r="AA25">
        <v>10420</v>
      </c>
      <c r="AB25">
        <v>1657480</v>
      </c>
      <c r="AC25">
        <v>540000</v>
      </c>
    </row>
    <row r="26" spans="2:29" ht="13.5" thickBot="1">
      <c r="B26" s="4">
        <v>13400</v>
      </c>
      <c r="C26" s="5">
        <v>1940</v>
      </c>
      <c r="D26" s="8">
        <v>0</v>
      </c>
      <c r="E26" s="105">
        <v>3140</v>
      </c>
      <c r="F26" s="57">
        <v>12380</v>
      </c>
      <c r="G26" s="9">
        <f>SUM(G24:G25)</f>
        <v>3860</v>
      </c>
      <c r="H26" s="4"/>
      <c r="M26" s="4">
        <v>4990</v>
      </c>
      <c r="N26" s="57">
        <f>SUM(N24:N25)</f>
        <v>3873170</v>
      </c>
      <c r="R26">
        <v>2640</v>
      </c>
      <c r="S26">
        <v>15160</v>
      </c>
      <c r="T26">
        <v>30580</v>
      </c>
      <c r="U26">
        <v>3866900</v>
      </c>
      <c r="V26">
        <v>5140</v>
      </c>
      <c r="W26">
        <v>139140</v>
      </c>
      <c r="X26">
        <v>9960</v>
      </c>
      <c r="Y26">
        <v>2380</v>
      </c>
      <c r="Z26">
        <v>486</v>
      </c>
      <c r="AA26">
        <v>10140</v>
      </c>
      <c r="AB26">
        <v>3182140</v>
      </c>
      <c r="AC26">
        <v>452000</v>
      </c>
    </row>
    <row r="27" spans="2:29" ht="13.5" thickBot="1">
      <c r="B27" s="4">
        <v>12440</v>
      </c>
      <c r="C27" s="5">
        <f>SUM(C24:C26)</f>
        <v>7260</v>
      </c>
      <c r="D27" s="1">
        <f>SUM(D24:D26)</f>
        <v>9980</v>
      </c>
      <c r="E27" s="104">
        <f>SUM(E24:E26)</f>
        <v>8420</v>
      </c>
      <c r="F27" s="1">
        <f>SUM(F24:F26)</f>
        <v>26980</v>
      </c>
      <c r="H27" s="5"/>
      <c r="M27" s="4">
        <v>8420</v>
      </c>
      <c r="N27" s="1"/>
      <c r="R27">
        <v>5400</v>
      </c>
      <c r="S27">
        <v>5020</v>
      </c>
      <c r="T27">
        <v>18120</v>
      </c>
      <c r="U27">
        <v>3273300</v>
      </c>
      <c r="V27">
        <v>9100</v>
      </c>
      <c r="W27">
        <v>134080</v>
      </c>
      <c r="X27">
        <v>5260</v>
      </c>
      <c r="Y27">
        <v>1680</v>
      </c>
      <c r="Z27">
        <v>584</v>
      </c>
      <c r="AA27">
        <v>9160</v>
      </c>
      <c r="AB27">
        <v>2570600</v>
      </c>
      <c r="AC27">
        <v>480000</v>
      </c>
    </row>
    <row r="28" spans="2:29" ht="13.5" thickBot="1">
      <c r="B28" s="4">
        <v>12900</v>
      </c>
      <c r="D28" t="s">
        <v>71</v>
      </c>
      <c r="H28" s="5">
        <v>2860</v>
      </c>
      <c r="M28" s="4">
        <v>1640</v>
      </c>
      <c r="R28">
        <v>7380</v>
      </c>
      <c r="S28">
        <v>10380</v>
      </c>
      <c r="T28">
        <v>18940</v>
      </c>
      <c r="U28">
        <v>1837320</v>
      </c>
      <c r="V28">
        <v>3320</v>
      </c>
      <c r="W28">
        <v>94920</v>
      </c>
      <c r="X28">
        <v>6880</v>
      </c>
      <c r="Y28">
        <v>4540</v>
      </c>
      <c r="Z28">
        <v>354</v>
      </c>
      <c r="AA28">
        <v>1760</v>
      </c>
      <c r="AB28">
        <v>1415260</v>
      </c>
      <c r="AC28">
        <v>275000</v>
      </c>
    </row>
    <row r="29" spans="2:29" ht="13.5" thickBot="1">
      <c r="B29" s="4">
        <v>14780</v>
      </c>
      <c r="D29" s="1">
        <v>4990</v>
      </c>
      <c r="M29" s="4">
        <v>26980</v>
      </c>
      <c r="R29">
        <v>7600</v>
      </c>
      <c r="S29">
        <v>6860</v>
      </c>
      <c r="T29">
        <v>33440</v>
      </c>
      <c r="U29">
        <v>3343630</v>
      </c>
      <c r="V29">
        <v>5460</v>
      </c>
      <c r="W29">
        <v>90040</v>
      </c>
      <c r="X29">
        <v>4440</v>
      </c>
      <c r="Y29">
        <v>2500</v>
      </c>
      <c r="Z29">
        <v>448</v>
      </c>
      <c r="AA29">
        <v>15360</v>
      </c>
      <c r="AB29">
        <v>2994490</v>
      </c>
      <c r="AC29">
        <v>199000</v>
      </c>
    </row>
    <row r="30" spans="2:29" ht="13.5" thickBot="1">
      <c r="B30" s="4">
        <v>13200</v>
      </c>
      <c r="D30" s="82"/>
      <c r="E30" s="106" t="s">
        <v>56</v>
      </c>
      <c r="M30" s="4">
        <v>3860</v>
      </c>
      <c r="R30">
        <v>5580</v>
      </c>
      <c r="S30">
        <v>7540</v>
      </c>
      <c r="T30">
        <v>16000</v>
      </c>
      <c r="U30">
        <v>3795420</v>
      </c>
      <c r="V30">
        <v>9300</v>
      </c>
      <c r="W30">
        <v>60760</v>
      </c>
      <c r="X30">
        <v>7520</v>
      </c>
      <c r="Y30">
        <v>2180</v>
      </c>
      <c r="Z30">
        <v>497</v>
      </c>
      <c r="AA30">
        <v>8580</v>
      </c>
      <c r="AB30">
        <v>3176040</v>
      </c>
      <c r="AC30">
        <v>437000</v>
      </c>
    </row>
    <row r="31" spans="2:29" ht="13.5" thickBot="1">
      <c r="B31" s="4">
        <v>14000</v>
      </c>
      <c r="D31" s="55"/>
      <c r="E31" s="3">
        <v>1640</v>
      </c>
      <c r="M31" s="4">
        <v>2860</v>
      </c>
      <c r="R31">
        <v>4700</v>
      </c>
      <c r="S31">
        <v>10460</v>
      </c>
      <c r="T31">
        <v>21460</v>
      </c>
      <c r="U31">
        <v>3163092</v>
      </c>
      <c r="V31">
        <v>7060</v>
      </c>
      <c r="W31">
        <v>9620</v>
      </c>
      <c r="X31">
        <v>5120</v>
      </c>
      <c r="Y31">
        <v>2720</v>
      </c>
      <c r="Z31">
        <v>586</v>
      </c>
      <c r="AA31">
        <v>5722</v>
      </c>
      <c r="AB31">
        <v>2426400</v>
      </c>
      <c r="AC31">
        <v>378020</v>
      </c>
    </row>
    <row r="32" spans="2:29" ht="13.5" thickBot="1">
      <c r="B32" s="4">
        <v>0</v>
      </c>
      <c r="E32" s="5">
        <v>0</v>
      </c>
      <c r="M32" s="4">
        <v>439000</v>
      </c>
      <c r="O32" s="1">
        <v>0</v>
      </c>
      <c r="P32" t="s">
        <v>115</v>
      </c>
      <c r="R32">
        <v>5280</v>
      </c>
      <c r="S32">
        <v>9320</v>
      </c>
      <c r="T32">
        <v>42240</v>
      </c>
      <c r="U32">
        <v>4790530</v>
      </c>
      <c r="V32">
        <v>5700</v>
      </c>
      <c r="W32">
        <v>100260</v>
      </c>
      <c r="X32">
        <v>4380</v>
      </c>
      <c r="Y32">
        <v>3060</v>
      </c>
      <c r="Z32">
        <v>620</v>
      </c>
      <c r="AA32">
        <v>10840</v>
      </c>
      <c r="AB32">
        <v>3526110</v>
      </c>
      <c r="AC32">
        <v>489000</v>
      </c>
    </row>
    <row r="33" spans="2:29" ht="13.5" thickBot="1">
      <c r="B33" s="5">
        <v>0</v>
      </c>
      <c r="E33" s="1">
        <f>SUM(E31:E32)</f>
        <v>1640</v>
      </c>
      <c r="M33" s="11">
        <v>3258200</v>
      </c>
      <c r="O33" s="1">
        <v>3873170</v>
      </c>
      <c r="R33">
        <v>7400</v>
      </c>
      <c r="S33">
        <v>15380</v>
      </c>
      <c r="T33">
        <v>13700</v>
      </c>
      <c r="U33">
        <v>4015580</v>
      </c>
      <c r="V33">
        <v>9000</v>
      </c>
      <c r="W33">
        <v>98400</v>
      </c>
      <c r="X33">
        <v>4660</v>
      </c>
      <c r="Y33" s="1">
        <f>SUM(Y21:Y32)</f>
        <v>37200</v>
      </c>
      <c r="Z33" s="82">
        <v>512</v>
      </c>
      <c r="AA33" s="82">
        <v>5180</v>
      </c>
      <c r="AB33" s="82">
        <v>2890200</v>
      </c>
      <c r="AC33" s="82">
        <v>413700</v>
      </c>
    </row>
    <row r="34" spans="2:29" ht="13.5" thickBot="1">
      <c r="B34" s="5">
        <f>SUM(B24:B33)</f>
        <v>106800</v>
      </c>
      <c r="M34" s="12">
        <v>3180</v>
      </c>
      <c r="O34" s="1">
        <f>SUM(O32:O33)</f>
        <v>3873170</v>
      </c>
      <c r="P34" t="s">
        <v>83</v>
      </c>
      <c r="R34" s="1">
        <f aca="true" t="shared" si="0" ref="R34:W34">SUM(R22:R33)</f>
        <v>61640</v>
      </c>
      <c r="S34" s="1">
        <f t="shared" si="0"/>
        <v>112200</v>
      </c>
      <c r="T34" s="1">
        <f t="shared" si="0"/>
        <v>288500</v>
      </c>
      <c r="U34" s="1">
        <f t="shared" si="0"/>
        <v>39544587</v>
      </c>
      <c r="V34" s="1">
        <f t="shared" si="0"/>
        <v>75040</v>
      </c>
      <c r="W34" s="1">
        <f t="shared" si="0"/>
        <v>1181520</v>
      </c>
      <c r="X34">
        <v>3720</v>
      </c>
      <c r="Z34" s="1">
        <f>SUM(Z22:Z33)</f>
        <v>5612</v>
      </c>
      <c r="AA34" s="1">
        <f>SUM(AA22:AA33)</f>
        <v>176612</v>
      </c>
      <c r="AB34" s="1">
        <f>SUM(AB22:AB33)</f>
        <v>31430275</v>
      </c>
      <c r="AC34" s="1">
        <f>SUM(AC22:AC33)</f>
        <v>4633720</v>
      </c>
    </row>
    <row r="35" spans="13:24" ht="13.5" thickBot="1">
      <c r="M35" s="1">
        <f>SUM(M24:M34)</f>
        <v>3863190</v>
      </c>
      <c r="N35" t="s">
        <v>82</v>
      </c>
      <c r="U35" s="82">
        <v>1948450</v>
      </c>
      <c r="X35">
        <v>4180</v>
      </c>
    </row>
    <row r="36" spans="6:28" ht="13.5" thickBot="1">
      <c r="F36" s="28" t="s">
        <v>116</v>
      </c>
      <c r="M36" s="26"/>
      <c r="U36">
        <f>SUM(U34:U35)</f>
        <v>41493037</v>
      </c>
      <c r="X36">
        <v>15780</v>
      </c>
      <c r="AB36" t="s">
        <v>157</v>
      </c>
    </row>
    <row r="37" spans="13:28" ht="13.5" thickBot="1">
      <c r="M37" s="1">
        <v>3873170</v>
      </c>
      <c r="N37" t="s">
        <v>83</v>
      </c>
      <c r="X37">
        <v>3140</v>
      </c>
      <c r="AB37">
        <v>176612</v>
      </c>
    </row>
    <row r="38" spans="6:28" ht="12.75">
      <c r="F38" s="92" t="s">
        <v>99</v>
      </c>
      <c r="X38">
        <v>2860</v>
      </c>
      <c r="AB38">
        <v>4633720</v>
      </c>
    </row>
    <row r="39" spans="18:28" ht="13.5" thickBot="1">
      <c r="R39">
        <v>61640</v>
      </c>
      <c r="S39">
        <v>112200</v>
      </c>
      <c r="X39">
        <v>2540</v>
      </c>
      <c r="AB39">
        <v>31430275</v>
      </c>
    </row>
    <row r="40" spans="18:28" ht="13.5" thickBot="1">
      <c r="R40">
        <v>288500</v>
      </c>
      <c r="S40">
        <v>15670</v>
      </c>
      <c r="X40">
        <v>7120</v>
      </c>
      <c r="AB40" s="1">
        <f>SUM(AB37:AB39)</f>
        <v>36240607</v>
      </c>
    </row>
    <row r="41" spans="18:24" ht="12.75">
      <c r="R41">
        <v>75040</v>
      </c>
      <c r="S41" s="76">
        <f>SUM(S39:S40)</f>
        <v>127870</v>
      </c>
      <c r="X41">
        <v>2640</v>
      </c>
    </row>
    <row r="42" spans="18:24" ht="12.75">
      <c r="R42">
        <v>1181520</v>
      </c>
      <c r="X42">
        <v>5400</v>
      </c>
    </row>
    <row r="43" spans="18:24" ht="12.75">
      <c r="R43">
        <v>154540</v>
      </c>
      <c r="X43">
        <v>7380</v>
      </c>
    </row>
    <row r="44" spans="18:24" ht="13.5" thickBot="1">
      <c r="R44">
        <v>37200</v>
      </c>
      <c r="X44">
        <v>7600</v>
      </c>
    </row>
    <row r="45" spans="1:24" ht="13.5" thickBot="1">
      <c r="A45" s="53" t="s">
        <v>40</v>
      </c>
      <c r="B45" s="15" t="s">
        <v>0</v>
      </c>
      <c r="C45" s="16" t="s">
        <v>1</v>
      </c>
      <c r="D45" s="17" t="s">
        <v>2</v>
      </c>
      <c r="E45" s="43" t="s">
        <v>81</v>
      </c>
      <c r="F45" s="19" t="s">
        <v>4</v>
      </c>
      <c r="G45" s="20" t="s">
        <v>5</v>
      </c>
      <c r="H45" s="33" t="s">
        <v>6</v>
      </c>
      <c r="I45" s="22" t="s">
        <v>7</v>
      </c>
      <c r="J45" s="23" t="s">
        <v>8</v>
      </c>
      <c r="K45" s="24" t="s">
        <v>9</v>
      </c>
      <c r="L45" s="27" t="s">
        <v>14</v>
      </c>
      <c r="M45" s="1" t="s">
        <v>13</v>
      </c>
      <c r="N45" s="3" t="s">
        <v>11</v>
      </c>
      <c r="O45" s="32" t="s">
        <v>114</v>
      </c>
      <c r="P45" s="81" t="s">
        <v>113</v>
      </c>
      <c r="R45" s="76">
        <f>SUM(R39:R44)</f>
        <v>1798440</v>
      </c>
      <c r="X45">
        <v>5580</v>
      </c>
    </row>
    <row r="46" spans="1:24" ht="13.5" thickBot="1">
      <c r="A46" s="9"/>
      <c r="B46" s="3">
        <v>11820</v>
      </c>
      <c r="C46" s="56">
        <v>4210</v>
      </c>
      <c r="D46" s="7">
        <v>5140</v>
      </c>
      <c r="E46" s="3">
        <v>4440</v>
      </c>
      <c r="F46" s="56">
        <v>9680</v>
      </c>
      <c r="G46" s="7">
        <v>2060</v>
      </c>
      <c r="H46" s="3">
        <v>2540</v>
      </c>
      <c r="I46" s="1"/>
      <c r="J46" s="1">
        <v>360000</v>
      </c>
      <c r="K46" s="1">
        <v>2362475</v>
      </c>
      <c r="L46" s="9">
        <v>3080</v>
      </c>
      <c r="M46" s="10">
        <v>121440</v>
      </c>
      <c r="N46" s="10">
        <v>900</v>
      </c>
      <c r="O46" s="34">
        <v>900</v>
      </c>
      <c r="P46" s="1"/>
      <c r="X46">
        <v>4700</v>
      </c>
    </row>
    <row r="47" spans="2:24" ht="13.5" thickBot="1">
      <c r="B47" s="4">
        <v>11680</v>
      </c>
      <c r="C47" s="61">
        <v>3740</v>
      </c>
      <c r="D47" s="6">
        <v>6320</v>
      </c>
      <c r="E47" s="11"/>
      <c r="F47" s="61">
        <v>4640</v>
      </c>
      <c r="G47" s="8"/>
      <c r="H47" s="4"/>
      <c r="M47" s="4">
        <v>12210</v>
      </c>
      <c r="N47" s="4">
        <v>5730</v>
      </c>
      <c r="X47">
        <v>5280</v>
      </c>
    </row>
    <row r="48" spans="2:24" ht="13.5" thickBot="1">
      <c r="B48" s="4">
        <v>14940</v>
      </c>
      <c r="C48" s="57">
        <v>4260</v>
      </c>
      <c r="D48" s="8">
        <v>0</v>
      </c>
      <c r="E48" s="105"/>
      <c r="F48" s="57">
        <v>0</v>
      </c>
      <c r="G48" s="9">
        <v>2060</v>
      </c>
      <c r="H48" s="4"/>
      <c r="M48" s="4">
        <v>5730</v>
      </c>
      <c r="N48" s="5">
        <v>2898255</v>
      </c>
      <c r="X48">
        <v>7400</v>
      </c>
    </row>
    <row r="49" spans="2:24" ht="13.5" thickBot="1">
      <c r="B49" s="4">
        <v>14840</v>
      </c>
      <c r="C49" s="57">
        <f>SUM(C46:C48)</f>
        <v>12210</v>
      </c>
      <c r="D49" s="1">
        <f>SUM(D46:D48)</f>
        <v>11460</v>
      </c>
      <c r="E49" s="104">
        <v>4440</v>
      </c>
      <c r="F49" s="1">
        <f>SUM(F46:F48)</f>
        <v>14320</v>
      </c>
      <c r="H49" s="5"/>
      <c r="M49" s="4">
        <v>4440</v>
      </c>
      <c r="N49" s="5">
        <f>SUM(N46:N48)</f>
        <v>2904885</v>
      </c>
      <c r="X49" s="1">
        <f>SUM(X22:X48)</f>
        <v>154540</v>
      </c>
    </row>
    <row r="50" spans="2:13" ht="13.5" thickBot="1">
      <c r="B50" s="4">
        <v>13220</v>
      </c>
      <c r="D50" t="s">
        <v>71</v>
      </c>
      <c r="H50" s="5">
        <v>2540</v>
      </c>
      <c r="M50" s="4">
        <v>14320</v>
      </c>
    </row>
    <row r="51" spans="2:13" ht="13.5" thickBot="1">
      <c r="B51" s="4">
        <v>13660</v>
      </c>
      <c r="D51" s="1">
        <v>5730</v>
      </c>
      <c r="M51" s="4">
        <v>2060</v>
      </c>
    </row>
    <row r="52" spans="2:13" ht="13.5" thickBot="1">
      <c r="B52" s="4">
        <v>11440</v>
      </c>
      <c r="D52" s="82"/>
      <c r="E52" s="106" t="s">
        <v>56</v>
      </c>
      <c r="M52" s="4">
        <v>2540</v>
      </c>
    </row>
    <row r="53" spans="2:13" ht="13.5" thickBot="1">
      <c r="B53" s="4">
        <v>4220</v>
      </c>
      <c r="D53" s="55"/>
      <c r="E53" s="3">
        <v>3860</v>
      </c>
      <c r="M53" s="4">
        <v>360000</v>
      </c>
    </row>
    <row r="54" spans="2:16" ht="13.5" thickBot="1">
      <c r="B54" s="4">
        <v>1580</v>
      </c>
      <c r="E54" s="4">
        <v>2660</v>
      </c>
      <c r="M54" s="4">
        <v>2362475</v>
      </c>
      <c r="O54" s="1">
        <v>900</v>
      </c>
      <c r="P54" t="s">
        <v>115</v>
      </c>
    </row>
    <row r="55" spans="2:15" ht="13.5" thickBot="1">
      <c r="B55" s="4">
        <v>12660</v>
      </c>
      <c r="E55" s="4">
        <v>2460</v>
      </c>
      <c r="M55" s="11">
        <v>3080</v>
      </c>
      <c r="O55" s="1">
        <v>2904885</v>
      </c>
    </row>
    <row r="56" spans="2:16" ht="13.5" thickBot="1">
      <c r="B56" s="4">
        <v>3000</v>
      </c>
      <c r="E56" s="12">
        <v>980</v>
      </c>
      <c r="M56" s="12">
        <v>9960</v>
      </c>
      <c r="O56" s="1">
        <v>2903985</v>
      </c>
      <c r="P56" t="s">
        <v>83</v>
      </c>
    </row>
    <row r="57" spans="2:14" ht="13.5" thickBot="1">
      <c r="B57" s="12">
        <v>8380</v>
      </c>
      <c r="E57" s="1">
        <f>SUM(E53:E56)</f>
        <v>9960</v>
      </c>
      <c r="M57" s="1">
        <f>SUM(M46:M56)</f>
        <v>2898255</v>
      </c>
      <c r="N57" t="s">
        <v>82</v>
      </c>
    </row>
    <row r="58" spans="2:13" ht="13.5" thickBot="1">
      <c r="B58" s="1">
        <f>SUM(B46:B57)</f>
        <v>121440</v>
      </c>
      <c r="F58" s="28" t="s">
        <v>117</v>
      </c>
      <c r="M58" s="12"/>
    </row>
    <row r="59" spans="13:14" ht="13.5" thickBot="1">
      <c r="M59" s="1">
        <v>2903985</v>
      </c>
      <c r="N59" t="s">
        <v>83</v>
      </c>
    </row>
    <row r="60" ht="12.75">
      <c r="F60" s="92" t="s">
        <v>112</v>
      </c>
    </row>
    <row r="64" ht="13.5" thickBot="1"/>
    <row r="65" spans="1:16" ht="13.5" thickBot="1">
      <c r="A65" s="53" t="s">
        <v>40</v>
      </c>
      <c r="B65" s="15" t="s">
        <v>0</v>
      </c>
      <c r="C65" s="16" t="s">
        <v>1</v>
      </c>
      <c r="D65" s="17" t="s">
        <v>2</v>
      </c>
      <c r="E65" s="43" t="s">
        <v>81</v>
      </c>
      <c r="F65" s="19" t="s">
        <v>4</v>
      </c>
      <c r="G65" s="20" t="s">
        <v>5</v>
      </c>
      <c r="H65" s="33" t="s">
        <v>6</v>
      </c>
      <c r="I65" s="22" t="s">
        <v>7</v>
      </c>
      <c r="J65" s="23" t="s">
        <v>8</v>
      </c>
      <c r="K65" s="24" t="s">
        <v>9</v>
      </c>
      <c r="L65" s="49" t="s">
        <v>14</v>
      </c>
      <c r="M65" s="1" t="s">
        <v>13</v>
      </c>
      <c r="N65" s="3" t="s">
        <v>11</v>
      </c>
      <c r="O65" s="32" t="s">
        <v>114</v>
      </c>
      <c r="P65" s="81" t="s">
        <v>113</v>
      </c>
    </row>
    <row r="66" spans="1:16" ht="13.5" thickBot="1">
      <c r="A66" s="9">
        <v>0</v>
      </c>
      <c r="B66" s="3">
        <v>6520</v>
      </c>
      <c r="C66" s="56">
        <v>3540</v>
      </c>
      <c r="D66" s="7">
        <v>5140</v>
      </c>
      <c r="E66" s="3">
        <v>2840</v>
      </c>
      <c r="F66" s="56">
        <v>9780</v>
      </c>
      <c r="G66" s="7">
        <v>2640</v>
      </c>
      <c r="H66" s="3">
        <v>3020</v>
      </c>
      <c r="I66" s="1">
        <v>0</v>
      </c>
      <c r="J66" s="1">
        <v>540000</v>
      </c>
      <c r="K66" s="9">
        <v>1657480</v>
      </c>
      <c r="L66" s="3">
        <v>4700</v>
      </c>
      <c r="M66" s="59">
        <v>128340</v>
      </c>
      <c r="N66" s="10">
        <v>2570</v>
      </c>
      <c r="O66" s="34">
        <v>0</v>
      </c>
      <c r="P66" s="1">
        <v>0</v>
      </c>
    </row>
    <row r="67" spans="2:14" ht="13.5" thickBot="1">
      <c r="B67" s="4">
        <v>4240</v>
      </c>
      <c r="C67" s="61">
        <v>3860</v>
      </c>
      <c r="D67" s="6"/>
      <c r="E67" s="11">
        <v>2420</v>
      </c>
      <c r="F67" s="61">
        <v>8280</v>
      </c>
      <c r="G67" s="8">
        <v>1800</v>
      </c>
      <c r="H67" s="4">
        <v>1420</v>
      </c>
      <c r="L67" s="4">
        <v>1200</v>
      </c>
      <c r="M67" s="61">
        <v>10420</v>
      </c>
      <c r="N67" s="4">
        <v>2391630</v>
      </c>
    </row>
    <row r="68" spans="2:14" ht="13.5" thickBot="1">
      <c r="B68" s="4">
        <v>10160</v>
      </c>
      <c r="C68" s="57">
        <v>3020</v>
      </c>
      <c r="D68" s="8"/>
      <c r="E68" s="105">
        <v>0</v>
      </c>
      <c r="F68" s="57">
        <v>6880</v>
      </c>
      <c r="G68" s="9">
        <f>SUM(G66:G67)</f>
        <v>4440</v>
      </c>
      <c r="H68" s="4">
        <v>2680</v>
      </c>
      <c r="L68" s="5">
        <v>5160</v>
      </c>
      <c r="M68" s="61">
        <v>2570</v>
      </c>
      <c r="N68" s="5">
        <v>0</v>
      </c>
    </row>
    <row r="69" spans="2:14" ht="13.5" thickBot="1">
      <c r="B69" s="4">
        <v>4100</v>
      </c>
      <c r="C69" s="57">
        <f>SUM(C66:C68)</f>
        <v>10420</v>
      </c>
      <c r="D69" s="1">
        <v>5140</v>
      </c>
      <c r="E69" s="104">
        <f>SUM(E66:E68)</f>
        <v>5260</v>
      </c>
      <c r="F69" s="1">
        <f>SUM(F66:F68)</f>
        <v>24940</v>
      </c>
      <c r="H69" s="5">
        <v>0</v>
      </c>
      <c r="L69" s="1">
        <f>SUM(L66:L68)</f>
        <v>11060</v>
      </c>
      <c r="M69" s="4">
        <v>5260</v>
      </c>
      <c r="N69" s="5">
        <f>SUM(N66:N68)</f>
        <v>2394200</v>
      </c>
    </row>
    <row r="70" spans="2:13" ht="13.5" thickBot="1">
      <c r="B70" s="4">
        <v>5080</v>
      </c>
      <c r="D70" t="s">
        <v>71</v>
      </c>
      <c r="H70" s="5">
        <f>SUM(H66:H69)</f>
        <v>7120</v>
      </c>
      <c r="M70" s="4">
        <v>24940</v>
      </c>
    </row>
    <row r="71" spans="2:13" ht="13.5" thickBot="1">
      <c r="B71" s="4">
        <v>8400</v>
      </c>
      <c r="D71" s="1">
        <v>2570</v>
      </c>
      <c r="M71" s="4">
        <v>4440</v>
      </c>
    </row>
    <row r="72" spans="2:13" ht="13.5" thickBot="1">
      <c r="B72" s="4">
        <v>5640</v>
      </c>
      <c r="D72" s="82"/>
      <c r="E72" s="106" t="s">
        <v>56</v>
      </c>
      <c r="M72" s="4">
        <v>7120</v>
      </c>
    </row>
    <row r="73" spans="2:13" ht="13.5" thickBot="1">
      <c r="B73" s="4">
        <v>7520</v>
      </c>
      <c r="D73" s="55"/>
      <c r="E73" s="3"/>
      <c r="M73" s="4">
        <v>540000</v>
      </c>
    </row>
    <row r="74" spans="2:16" ht="13.5" thickBot="1">
      <c r="B74" s="4">
        <v>3800</v>
      </c>
      <c r="E74" s="4"/>
      <c r="M74" s="4">
        <v>1657480</v>
      </c>
      <c r="O74" s="1">
        <v>0</v>
      </c>
      <c r="P74" t="s">
        <v>115</v>
      </c>
    </row>
    <row r="75" spans="2:15" ht="13.5" thickBot="1">
      <c r="B75" s="4">
        <v>3780</v>
      </c>
      <c r="E75" s="4"/>
      <c r="M75" s="11">
        <v>11060</v>
      </c>
      <c r="O75" s="1">
        <v>2394200</v>
      </c>
    </row>
    <row r="76" spans="2:16" ht="13.5" thickBot="1">
      <c r="B76" s="4">
        <v>11800</v>
      </c>
      <c r="E76" s="12"/>
      <c r="M76" s="12">
        <v>0</v>
      </c>
      <c r="O76" s="1">
        <v>2394200</v>
      </c>
      <c r="P76" t="s">
        <v>83</v>
      </c>
    </row>
    <row r="77" spans="2:14" ht="13.5" thickBot="1">
      <c r="B77" s="11">
        <v>9540</v>
      </c>
      <c r="E77" s="1"/>
      <c r="M77" s="1">
        <f>SUM(M66:M76)</f>
        <v>2391630</v>
      </c>
      <c r="N77" t="s">
        <v>82</v>
      </c>
    </row>
    <row r="78" spans="2:13" ht="13.5" thickBot="1">
      <c r="B78" s="4">
        <v>3720</v>
      </c>
      <c r="F78" s="28" t="s">
        <v>118</v>
      </c>
      <c r="M78" s="12"/>
    </row>
    <row r="79" spans="2:14" ht="13.5" thickBot="1">
      <c r="B79" s="11">
        <v>4460</v>
      </c>
      <c r="M79" s="1">
        <v>2394200</v>
      </c>
      <c r="N79" t="s">
        <v>83</v>
      </c>
    </row>
    <row r="80" spans="2:6" ht="12.75">
      <c r="B80" s="11">
        <v>7480</v>
      </c>
      <c r="F80" s="92" t="s">
        <v>99</v>
      </c>
    </row>
    <row r="81" ht="12.75">
      <c r="B81" s="11">
        <v>4120</v>
      </c>
    </row>
    <row r="82" ht="12.75">
      <c r="B82" s="11">
        <v>8380</v>
      </c>
    </row>
    <row r="83" ht="12.75">
      <c r="B83" s="11">
        <v>8720</v>
      </c>
    </row>
    <row r="84" ht="13.5" thickBot="1">
      <c r="B84" s="12">
        <v>10880</v>
      </c>
    </row>
    <row r="85" ht="13.5" thickBot="1">
      <c r="B85" s="1">
        <f>SUM(B66:B84)</f>
        <v>128340</v>
      </c>
    </row>
    <row r="88" ht="13.5" thickBot="1"/>
    <row r="89" spans="1:16" ht="13.5" thickBot="1">
      <c r="A89" s="53" t="s">
        <v>40</v>
      </c>
      <c r="B89" s="15" t="s">
        <v>0</v>
      </c>
      <c r="C89" s="16" t="s">
        <v>1</v>
      </c>
      <c r="D89" s="42" t="s">
        <v>2</v>
      </c>
      <c r="E89" s="43" t="s">
        <v>81</v>
      </c>
      <c r="F89" s="19" t="s">
        <v>4</v>
      </c>
      <c r="G89" s="20" t="s">
        <v>5</v>
      </c>
      <c r="H89" s="33" t="s">
        <v>6</v>
      </c>
      <c r="I89" s="22" t="s">
        <v>7</v>
      </c>
      <c r="J89" s="23" t="s">
        <v>8</v>
      </c>
      <c r="K89" s="24" t="s">
        <v>9</v>
      </c>
      <c r="L89" s="49" t="s">
        <v>14</v>
      </c>
      <c r="M89" s="1" t="s">
        <v>13</v>
      </c>
      <c r="N89" s="3" t="s">
        <v>11</v>
      </c>
      <c r="O89" s="32" t="s">
        <v>114</v>
      </c>
      <c r="P89" s="81" t="s">
        <v>113</v>
      </c>
    </row>
    <row r="90" spans="1:16" ht="13.5" thickBot="1">
      <c r="A90" s="9"/>
      <c r="B90" s="3">
        <v>12600</v>
      </c>
      <c r="C90" s="68">
        <v>2580</v>
      </c>
      <c r="D90" s="3">
        <v>3600</v>
      </c>
      <c r="E90" s="56">
        <v>4160</v>
      </c>
      <c r="F90" s="56">
        <v>10560</v>
      </c>
      <c r="G90" s="7">
        <v>1980</v>
      </c>
      <c r="H90" s="3">
        <v>2640</v>
      </c>
      <c r="I90" s="1"/>
      <c r="J90" s="1">
        <v>452000</v>
      </c>
      <c r="K90" s="9">
        <v>3182140</v>
      </c>
      <c r="L90" s="3">
        <v>5140</v>
      </c>
      <c r="M90" s="59">
        <v>139140</v>
      </c>
      <c r="N90" s="10">
        <v>3858710</v>
      </c>
      <c r="O90" s="34">
        <v>1220</v>
      </c>
      <c r="P90" s="1">
        <v>0</v>
      </c>
    </row>
    <row r="91" spans="2:15" ht="13.5" thickBot="1">
      <c r="B91" s="4">
        <v>14060</v>
      </c>
      <c r="C91" s="55">
        <v>3600</v>
      </c>
      <c r="D91" s="4">
        <v>2000</v>
      </c>
      <c r="E91" s="63">
        <v>2720</v>
      </c>
      <c r="F91" s="61">
        <v>5720</v>
      </c>
      <c r="G91" s="8">
        <v>0</v>
      </c>
      <c r="H91" s="4"/>
      <c r="L91" s="4"/>
      <c r="M91" s="61">
        <v>10140</v>
      </c>
      <c r="N91" s="4">
        <v>610</v>
      </c>
      <c r="O91" s="1">
        <v>610</v>
      </c>
    </row>
    <row r="92" spans="2:16" ht="13.5" thickBot="1">
      <c r="B92" s="4">
        <v>14220</v>
      </c>
      <c r="C92" s="69">
        <v>3960</v>
      </c>
      <c r="D92" s="4">
        <v>5560</v>
      </c>
      <c r="E92" s="107">
        <v>0</v>
      </c>
      <c r="F92" s="57">
        <v>11520</v>
      </c>
      <c r="G92" s="9">
        <f>SUM(G90:G91)</f>
        <v>1980</v>
      </c>
      <c r="H92" s="4"/>
      <c r="L92" s="5"/>
      <c r="M92" s="61">
        <v>7580</v>
      </c>
      <c r="N92" s="5">
        <v>7580</v>
      </c>
      <c r="P92" t="s">
        <v>133</v>
      </c>
    </row>
    <row r="93" spans="2:14" ht="13.5" thickBot="1">
      <c r="B93" s="4">
        <v>12520</v>
      </c>
      <c r="C93" s="69">
        <f>SUM(C90:C92)</f>
        <v>10140</v>
      </c>
      <c r="D93" s="4">
        <v>4000</v>
      </c>
      <c r="E93" s="108">
        <f>SUM(E90:E92)</f>
        <v>6880</v>
      </c>
      <c r="F93" s="1">
        <f>SUM(F90:F92)</f>
        <v>27800</v>
      </c>
      <c r="H93" s="5"/>
      <c r="L93" s="1"/>
      <c r="M93" s="4">
        <v>6880</v>
      </c>
      <c r="N93" s="5">
        <f>SUM(N90:N92)</f>
        <v>3866900</v>
      </c>
    </row>
    <row r="94" spans="2:13" ht="13.5" thickBot="1">
      <c r="B94" s="4">
        <v>14200</v>
      </c>
      <c r="D94" s="1">
        <f>SUM(D90:D93)</f>
        <v>15160</v>
      </c>
      <c r="H94" s="5">
        <v>2640</v>
      </c>
      <c r="M94" s="4">
        <v>27800</v>
      </c>
    </row>
    <row r="95" spans="2:13" ht="13.5" thickBot="1">
      <c r="B95" s="4">
        <v>14220</v>
      </c>
      <c r="D95" s="1">
        <v>7580</v>
      </c>
      <c r="M95" s="4">
        <v>27800</v>
      </c>
    </row>
    <row r="96" spans="2:13" ht="13.5" thickBot="1">
      <c r="B96" s="4">
        <v>14620</v>
      </c>
      <c r="D96" t="s">
        <v>71</v>
      </c>
      <c r="E96" s="106" t="s">
        <v>56</v>
      </c>
      <c r="M96" s="4">
        <v>1980</v>
      </c>
    </row>
    <row r="97" spans="2:13" ht="13.5" thickBot="1">
      <c r="B97" s="4">
        <v>10940</v>
      </c>
      <c r="D97" s="55"/>
      <c r="E97" s="3">
        <v>0</v>
      </c>
      <c r="M97" s="4">
        <v>2640</v>
      </c>
    </row>
    <row r="98" spans="2:16" ht="13.5" thickBot="1">
      <c r="B98" s="4">
        <v>10900</v>
      </c>
      <c r="E98" s="4"/>
      <c r="M98" s="4">
        <v>3182140</v>
      </c>
      <c r="O98" s="1">
        <v>610</v>
      </c>
      <c r="P98" t="s">
        <v>115</v>
      </c>
    </row>
    <row r="99" spans="2:15" ht="13.5" thickBot="1">
      <c r="B99" s="4">
        <v>9060</v>
      </c>
      <c r="E99" s="4"/>
      <c r="M99" s="11">
        <v>452000</v>
      </c>
      <c r="O99" s="1"/>
    </row>
    <row r="100" spans="2:16" ht="13.5" thickBot="1">
      <c r="B100" s="4">
        <v>11800</v>
      </c>
      <c r="E100" s="12"/>
      <c r="M100" s="12">
        <v>610</v>
      </c>
      <c r="O100" s="1">
        <v>3866290</v>
      </c>
      <c r="P100" t="s">
        <v>83</v>
      </c>
    </row>
    <row r="101" spans="2:14" ht="13.5" thickBot="1">
      <c r="B101" s="26">
        <f>SUM(B90:B100)</f>
        <v>139140</v>
      </c>
      <c r="E101" s="1"/>
      <c r="M101" s="1">
        <f>SUM(M90:M100)</f>
        <v>3858710</v>
      </c>
      <c r="N101" t="s">
        <v>82</v>
      </c>
    </row>
    <row r="102" spans="2:13" ht="13.5" thickBot="1">
      <c r="B102" s="4"/>
      <c r="F102" s="28" t="s">
        <v>134</v>
      </c>
      <c r="M102" s="12"/>
    </row>
    <row r="103" spans="2:14" ht="13.5" thickBot="1">
      <c r="B103" s="11"/>
      <c r="M103" s="1">
        <v>3866290</v>
      </c>
      <c r="N103" t="s">
        <v>83</v>
      </c>
    </row>
    <row r="104" spans="2:6" ht="12.75">
      <c r="B104" s="11"/>
      <c r="F104" s="92" t="s">
        <v>135</v>
      </c>
    </row>
    <row r="105" ht="12.75">
      <c r="B105" s="11"/>
    </row>
    <row r="106" ht="12.75">
      <c r="B106" s="11"/>
    </row>
    <row r="107" ht="12.75">
      <c r="B107" s="11"/>
    </row>
    <row r="108" ht="13.5" thickBot="1">
      <c r="B108" s="12"/>
    </row>
    <row r="109" ht="13.5" thickBot="1">
      <c r="B109" s="1"/>
    </row>
    <row r="114" ht="13.5" thickBot="1"/>
    <row r="115" spans="1:16" ht="13.5" thickBot="1">
      <c r="A115" s="53" t="s">
        <v>40</v>
      </c>
      <c r="B115" s="15" t="s">
        <v>0</v>
      </c>
      <c r="C115" s="16" t="s">
        <v>1</v>
      </c>
      <c r="D115" s="42" t="s">
        <v>2</v>
      </c>
      <c r="E115" s="43" t="s">
        <v>81</v>
      </c>
      <c r="F115" s="19" t="s">
        <v>4</v>
      </c>
      <c r="G115" s="20" t="s">
        <v>5</v>
      </c>
      <c r="H115" s="33" t="s">
        <v>6</v>
      </c>
      <c r="I115" s="22" t="s">
        <v>7</v>
      </c>
      <c r="J115" s="23" t="s">
        <v>8</v>
      </c>
      <c r="K115" s="24" t="s">
        <v>9</v>
      </c>
      <c r="L115" s="49" t="s">
        <v>14</v>
      </c>
      <c r="M115" s="1" t="s">
        <v>13</v>
      </c>
      <c r="N115" s="3" t="s">
        <v>11</v>
      </c>
      <c r="O115" s="32" t="s">
        <v>114</v>
      </c>
      <c r="P115" s="81" t="s">
        <v>113</v>
      </c>
    </row>
    <row r="116" spans="1:16" ht="13.5" thickBot="1">
      <c r="A116" s="9"/>
      <c r="B116" s="7">
        <v>13820</v>
      </c>
      <c r="C116" s="3">
        <v>2820</v>
      </c>
      <c r="D116" s="56">
        <v>4880</v>
      </c>
      <c r="E116" s="56">
        <v>4440</v>
      </c>
      <c r="F116" s="56">
        <v>13600</v>
      </c>
      <c r="G116" s="7">
        <v>2380</v>
      </c>
      <c r="H116" s="3">
        <v>2740</v>
      </c>
      <c r="I116" s="1">
        <v>13600</v>
      </c>
      <c r="J116" s="1">
        <v>480000</v>
      </c>
      <c r="K116" s="9">
        <v>2570600</v>
      </c>
      <c r="L116" s="3">
        <v>5440</v>
      </c>
      <c r="M116" s="59">
        <v>134080</v>
      </c>
      <c r="N116" s="10">
        <v>3269370</v>
      </c>
      <c r="O116" s="34">
        <v>1420</v>
      </c>
      <c r="P116" s="1">
        <v>0</v>
      </c>
    </row>
    <row r="117" spans="2:15" ht="13.5" thickBot="1">
      <c r="B117" s="6">
        <v>14960</v>
      </c>
      <c r="C117" s="4">
        <v>2500</v>
      </c>
      <c r="D117" s="61">
        <v>140</v>
      </c>
      <c r="E117" s="63"/>
      <c r="F117" s="61">
        <v>7980</v>
      </c>
      <c r="G117" s="8"/>
      <c r="H117" s="4">
        <v>2660</v>
      </c>
      <c r="L117" s="4">
        <v>3660</v>
      </c>
      <c r="M117" s="61">
        <v>9160</v>
      </c>
      <c r="N117" s="4">
        <v>1420</v>
      </c>
      <c r="O117" s="1">
        <v>710</v>
      </c>
    </row>
    <row r="118" spans="2:16" ht="13.5" thickBot="1">
      <c r="B118" s="6">
        <v>13980</v>
      </c>
      <c r="C118" s="4">
        <v>1520</v>
      </c>
      <c r="D118" s="61">
        <v>0</v>
      </c>
      <c r="E118" s="107"/>
      <c r="F118" s="57">
        <v>9000</v>
      </c>
      <c r="G118" s="9">
        <v>2380</v>
      </c>
      <c r="H118" s="4">
        <v>0</v>
      </c>
      <c r="L118" s="5">
        <v>0</v>
      </c>
      <c r="M118" s="61">
        <v>2510</v>
      </c>
      <c r="N118" s="5">
        <v>2510</v>
      </c>
      <c r="P118" t="s">
        <v>133</v>
      </c>
    </row>
    <row r="119" spans="2:14" ht="13.5" thickBot="1">
      <c r="B119" s="6">
        <v>13460</v>
      </c>
      <c r="C119" s="5">
        <v>2320</v>
      </c>
      <c r="D119" s="61">
        <v>0</v>
      </c>
      <c r="E119" s="108">
        <f>SUM(E116:E118)</f>
        <v>4440</v>
      </c>
      <c r="F119" s="1">
        <f>SUM(F116:F118)</f>
        <v>30580</v>
      </c>
      <c r="H119" s="5">
        <v>0</v>
      </c>
      <c r="L119" s="1">
        <f>SUM(L116:L118)</f>
        <v>9100</v>
      </c>
      <c r="M119" s="4">
        <v>11960</v>
      </c>
      <c r="N119" s="5">
        <f>SUM(N116:N118)</f>
        <v>3273300</v>
      </c>
    </row>
    <row r="120" spans="2:13" ht="13.5" thickBot="1">
      <c r="B120" s="4">
        <v>14240</v>
      </c>
      <c r="C120" s="5">
        <f>SUM(C116:C119)</f>
        <v>9160</v>
      </c>
      <c r="D120" s="1">
        <f>SUM(D116:D119)</f>
        <v>5020</v>
      </c>
      <c r="H120" s="5">
        <f>SUM(H116:H119)</f>
        <v>5400</v>
      </c>
      <c r="M120" s="4">
        <v>30580</v>
      </c>
    </row>
    <row r="121" spans="2:13" ht="13.5" thickBot="1">
      <c r="B121" s="4">
        <v>13840</v>
      </c>
      <c r="D121" s="1">
        <v>2510</v>
      </c>
      <c r="M121" s="4">
        <v>2380</v>
      </c>
    </row>
    <row r="122" spans="2:13" ht="13.5" thickBot="1">
      <c r="B122" s="4">
        <v>14380</v>
      </c>
      <c r="D122" t="s">
        <v>71</v>
      </c>
      <c r="E122" s="106" t="s">
        <v>56</v>
      </c>
      <c r="M122" s="4">
        <v>5400</v>
      </c>
    </row>
    <row r="123" spans="2:13" ht="13.5" thickBot="1">
      <c r="B123" s="4">
        <v>12420</v>
      </c>
      <c r="D123" s="55"/>
      <c r="E123" s="3">
        <v>7520</v>
      </c>
      <c r="M123" s="4">
        <v>13600</v>
      </c>
    </row>
    <row r="124" spans="2:16" ht="13.5" thickBot="1">
      <c r="B124" s="4">
        <v>13180</v>
      </c>
      <c r="E124" s="4"/>
      <c r="M124" s="4">
        <v>480000</v>
      </c>
      <c r="O124" s="1">
        <v>710</v>
      </c>
      <c r="P124" t="s">
        <v>115</v>
      </c>
    </row>
    <row r="125" spans="2:15" ht="13.5" thickBot="1">
      <c r="B125" s="4">
        <v>9800</v>
      </c>
      <c r="E125" s="4"/>
      <c r="M125" s="11">
        <v>2570600</v>
      </c>
      <c r="O125" s="1">
        <v>3273300</v>
      </c>
    </row>
    <row r="126" spans="2:16" ht="13.5" thickBot="1">
      <c r="B126" s="4">
        <v>0</v>
      </c>
      <c r="E126" s="12"/>
      <c r="M126" s="12">
        <v>9100</v>
      </c>
      <c r="O126" s="1">
        <v>3272590</v>
      </c>
      <c r="P126" t="s">
        <v>83</v>
      </c>
    </row>
    <row r="127" spans="2:14" ht="13.5" thickBot="1">
      <c r="B127" s="26">
        <f>SUM(B116:B126)</f>
        <v>134080</v>
      </c>
      <c r="E127" s="1"/>
      <c r="M127" s="1">
        <f>SUM(M116:M126)</f>
        <v>3269370</v>
      </c>
      <c r="N127" t="s">
        <v>82</v>
      </c>
    </row>
    <row r="128" spans="2:13" ht="13.5" thickBot="1">
      <c r="B128" s="4"/>
      <c r="F128" s="28" t="s">
        <v>137</v>
      </c>
      <c r="M128" s="12"/>
    </row>
    <row r="129" spans="2:14" ht="13.5" thickBot="1">
      <c r="B129" s="11"/>
      <c r="M129" s="1">
        <v>3272590</v>
      </c>
      <c r="N129" t="s">
        <v>83</v>
      </c>
    </row>
    <row r="130" spans="2:6" ht="12.75">
      <c r="B130" s="11"/>
      <c r="F130" s="92" t="s">
        <v>99</v>
      </c>
    </row>
    <row r="131" ht="12.75">
      <c r="B131" s="11"/>
    </row>
    <row r="132" ht="12.75">
      <c r="B132" s="11"/>
    </row>
    <row r="133" ht="12.75">
      <c r="B133" s="11"/>
    </row>
    <row r="134" ht="13.5" thickBot="1">
      <c r="B134" s="12"/>
    </row>
    <row r="135" ht="13.5" thickBot="1">
      <c r="B135" s="1"/>
    </row>
    <row r="137" ht="13.5" thickBot="1"/>
    <row r="138" spans="1:16" ht="13.5" thickBot="1">
      <c r="A138" s="53" t="s">
        <v>40</v>
      </c>
      <c r="B138" s="15" t="s">
        <v>0</v>
      </c>
      <c r="C138" s="16" t="s">
        <v>1</v>
      </c>
      <c r="D138" s="42" t="s">
        <v>2</v>
      </c>
      <c r="E138" s="43" t="s">
        <v>81</v>
      </c>
      <c r="F138" s="19" t="s">
        <v>4</v>
      </c>
      <c r="G138" s="20" t="s">
        <v>5</v>
      </c>
      <c r="H138" s="33" t="s">
        <v>6</v>
      </c>
      <c r="I138" s="22" t="s">
        <v>7</v>
      </c>
      <c r="J138" s="23" t="s">
        <v>8</v>
      </c>
      <c r="K138" s="24" t="s">
        <v>9</v>
      </c>
      <c r="L138" s="49" t="s">
        <v>14</v>
      </c>
      <c r="M138" s="1" t="s">
        <v>13</v>
      </c>
      <c r="N138" s="3" t="s">
        <v>11</v>
      </c>
      <c r="O138" s="32" t="s">
        <v>114</v>
      </c>
      <c r="P138" s="81" t="s">
        <v>113</v>
      </c>
    </row>
    <row r="139" spans="1:16" ht="13.5" thickBot="1">
      <c r="A139" s="9"/>
      <c r="B139" s="7">
        <v>13960</v>
      </c>
      <c r="C139" s="3">
        <v>1760</v>
      </c>
      <c r="D139" s="56">
        <v>4980</v>
      </c>
      <c r="E139" s="56">
        <v>5120</v>
      </c>
      <c r="F139" s="56">
        <v>5280</v>
      </c>
      <c r="G139" s="7">
        <v>1680</v>
      </c>
      <c r="H139" s="3">
        <v>2700</v>
      </c>
      <c r="I139" s="1"/>
      <c r="J139" s="1">
        <v>275000</v>
      </c>
      <c r="K139" s="9">
        <v>1415260</v>
      </c>
      <c r="L139" s="3">
        <v>3320</v>
      </c>
      <c r="M139" s="59">
        <v>94920</v>
      </c>
      <c r="N139" s="10">
        <v>1832130</v>
      </c>
      <c r="O139" s="34"/>
      <c r="P139" s="1">
        <v>0</v>
      </c>
    </row>
    <row r="140" spans="2:15" ht="13.5" thickBot="1">
      <c r="B140" s="6">
        <v>13800</v>
      </c>
      <c r="C140" s="4"/>
      <c r="D140" s="61">
        <v>5400</v>
      </c>
      <c r="E140" s="63"/>
      <c r="F140" s="61">
        <v>6320</v>
      </c>
      <c r="G140" s="8"/>
      <c r="H140" s="4">
        <v>3460</v>
      </c>
      <c r="L140" s="4"/>
      <c r="M140" s="61">
        <v>1760</v>
      </c>
      <c r="N140" s="4">
        <v>5190</v>
      </c>
      <c r="O140" s="1">
        <v>0</v>
      </c>
    </row>
    <row r="141" spans="2:16" ht="13.5" thickBot="1">
      <c r="B141" s="6">
        <v>12360</v>
      </c>
      <c r="C141" s="4"/>
      <c r="D141" s="61">
        <v>0</v>
      </c>
      <c r="E141" s="107"/>
      <c r="F141" s="57">
        <v>6520</v>
      </c>
      <c r="G141" s="9">
        <v>1680</v>
      </c>
      <c r="H141" s="4">
        <v>1220</v>
      </c>
      <c r="L141" s="5"/>
      <c r="M141" s="61">
        <v>5190</v>
      </c>
      <c r="N141" s="5">
        <v>0</v>
      </c>
      <c r="P141" t="s">
        <v>133</v>
      </c>
    </row>
    <row r="142" spans="2:14" ht="13.5" thickBot="1">
      <c r="B142" s="6">
        <v>13460</v>
      </c>
      <c r="C142" s="5"/>
      <c r="D142" s="61">
        <v>0</v>
      </c>
      <c r="E142" s="108">
        <v>5120</v>
      </c>
      <c r="F142" s="1">
        <f>SUM(F139:F141)</f>
        <v>18120</v>
      </c>
      <c r="H142" s="5">
        <v>0</v>
      </c>
      <c r="L142" s="1">
        <v>3320</v>
      </c>
      <c r="M142" s="4">
        <v>9500</v>
      </c>
      <c r="N142" s="5">
        <f>SUM(N139:N141)</f>
        <v>1837320</v>
      </c>
    </row>
    <row r="143" spans="2:13" ht="13.5" thickBot="1">
      <c r="B143" s="4">
        <v>14840</v>
      </c>
      <c r="C143" s="5">
        <v>1760</v>
      </c>
      <c r="D143" s="1">
        <f>SUM(D139:D142)</f>
        <v>10380</v>
      </c>
      <c r="H143" s="5">
        <f>SUM(H139:H142)</f>
        <v>7380</v>
      </c>
      <c r="M143" s="4">
        <v>18120</v>
      </c>
    </row>
    <row r="144" spans="2:13" ht="13.5" thickBot="1">
      <c r="B144" s="4">
        <v>14220</v>
      </c>
      <c r="D144" s="1">
        <v>5190</v>
      </c>
      <c r="M144" s="4">
        <v>1680</v>
      </c>
    </row>
    <row r="145" spans="2:13" ht="13.5" thickBot="1">
      <c r="B145" s="4">
        <v>12280</v>
      </c>
      <c r="D145" t="s">
        <v>71</v>
      </c>
      <c r="E145" s="106" t="s">
        <v>56</v>
      </c>
      <c r="M145" s="4">
        <v>7380</v>
      </c>
    </row>
    <row r="146" spans="2:13" ht="13.5" thickBot="1">
      <c r="B146" s="4">
        <v>0</v>
      </c>
      <c r="D146" s="55"/>
      <c r="E146" s="3">
        <v>2280</v>
      </c>
      <c r="M146" s="4">
        <v>275000</v>
      </c>
    </row>
    <row r="147" spans="2:16" ht="13.5" thickBot="1">
      <c r="B147" s="4">
        <v>0</v>
      </c>
      <c r="E147" s="4">
        <v>2100</v>
      </c>
      <c r="M147" s="4">
        <v>1415260</v>
      </c>
      <c r="O147" s="1">
        <v>0</v>
      </c>
      <c r="P147" t="s">
        <v>115</v>
      </c>
    </row>
    <row r="148" spans="2:15" ht="13.5" thickBot="1">
      <c r="B148" s="4">
        <v>0</v>
      </c>
      <c r="E148" s="4">
        <v>0</v>
      </c>
      <c r="M148" s="11">
        <v>3320</v>
      </c>
      <c r="O148" s="1">
        <v>1837320</v>
      </c>
    </row>
    <row r="149" spans="2:16" ht="13.5" thickBot="1">
      <c r="B149" s="4">
        <v>0</v>
      </c>
      <c r="E149" s="12">
        <v>0</v>
      </c>
      <c r="M149" s="12">
        <v>0</v>
      </c>
      <c r="O149" s="1">
        <f>SUM(O147:O148)</f>
        <v>1837320</v>
      </c>
      <c r="P149" t="s">
        <v>83</v>
      </c>
    </row>
    <row r="150" spans="2:14" ht="13.5" thickBot="1">
      <c r="B150" s="26">
        <f>SUM(B139:B149)</f>
        <v>94920</v>
      </c>
      <c r="E150" s="1">
        <f>SUM(E146:E149)</f>
        <v>4380</v>
      </c>
      <c r="M150" s="1">
        <f>SUM(M139:M149)</f>
        <v>1832130</v>
      </c>
      <c r="N150" t="s">
        <v>82</v>
      </c>
    </row>
    <row r="151" spans="2:13" ht="13.5" thickBot="1">
      <c r="B151" s="4"/>
      <c r="E151" s="11">
        <v>5120</v>
      </c>
      <c r="F151" s="28" t="s">
        <v>138</v>
      </c>
      <c r="M151" s="12"/>
    </row>
    <row r="152" spans="2:14" ht="13.5" thickBot="1">
      <c r="B152" s="11"/>
      <c r="E152" s="1">
        <f>SUM(E150:E151)</f>
        <v>9500</v>
      </c>
      <c r="M152" s="1">
        <v>1837320</v>
      </c>
      <c r="N152" t="s">
        <v>83</v>
      </c>
    </row>
    <row r="153" spans="2:6" ht="12.75">
      <c r="B153" s="11"/>
      <c r="F153" s="92" t="s">
        <v>99</v>
      </c>
    </row>
    <row r="154" ht="12.75">
      <c r="B154" s="11"/>
    </row>
    <row r="155" ht="12.75">
      <c r="B155" s="11"/>
    </row>
    <row r="156" ht="12.75">
      <c r="B156" s="11"/>
    </row>
    <row r="157" ht="13.5" thickBot="1">
      <c r="B157" s="12"/>
    </row>
    <row r="158" ht="13.5" thickBot="1">
      <c r="B158" s="1"/>
    </row>
    <row r="161" ht="13.5" thickBot="1"/>
    <row r="162" spans="1:16" ht="13.5" thickBot="1">
      <c r="A162" s="53" t="s">
        <v>40</v>
      </c>
      <c r="B162" s="15" t="s">
        <v>0</v>
      </c>
      <c r="C162" s="16" t="s">
        <v>1</v>
      </c>
      <c r="D162" s="42" t="s">
        <v>2</v>
      </c>
      <c r="E162" s="43" t="s">
        <v>81</v>
      </c>
      <c r="F162" s="19" t="s">
        <v>4</v>
      </c>
      <c r="G162" s="20" t="s">
        <v>5</v>
      </c>
      <c r="H162" s="33" t="s">
        <v>6</v>
      </c>
      <c r="I162" s="22" t="s">
        <v>7</v>
      </c>
      <c r="J162" s="23" t="s">
        <v>8</v>
      </c>
      <c r="K162" s="24" t="s">
        <v>9</v>
      </c>
      <c r="L162" s="49" t="s">
        <v>14</v>
      </c>
      <c r="M162" s="1" t="s">
        <v>13</v>
      </c>
      <c r="N162" s="3" t="s">
        <v>11</v>
      </c>
      <c r="O162" s="32" t="s">
        <v>114</v>
      </c>
      <c r="P162" s="81" t="s">
        <v>113</v>
      </c>
    </row>
    <row r="163" spans="1:16" ht="13.5" thickBot="1">
      <c r="A163" s="9"/>
      <c r="B163" s="7">
        <v>12700</v>
      </c>
      <c r="C163" s="3">
        <v>1480</v>
      </c>
      <c r="D163" s="56">
        <v>6860</v>
      </c>
      <c r="E163" s="56">
        <v>4660</v>
      </c>
      <c r="F163" s="56">
        <v>9400</v>
      </c>
      <c r="G163" s="7">
        <v>2140</v>
      </c>
      <c r="H163" s="3">
        <v>1480</v>
      </c>
      <c r="I163" s="1"/>
      <c r="J163" s="1">
        <v>199000</v>
      </c>
      <c r="K163" s="9">
        <v>2994490</v>
      </c>
      <c r="L163" s="3">
        <v>1000</v>
      </c>
      <c r="M163" s="59">
        <v>90040</v>
      </c>
      <c r="N163" s="10">
        <v>3430</v>
      </c>
      <c r="O163" s="34">
        <v>1420</v>
      </c>
      <c r="P163" s="1">
        <v>0</v>
      </c>
    </row>
    <row r="164" spans="2:15" ht="13.5" thickBot="1">
      <c r="B164" s="6">
        <v>13360</v>
      </c>
      <c r="C164" s="4">
        <v>2120</v>
      </c>
      <c r="D164" s="61"/>
      <c r="E164" s="63"/>
      <c r="F164" s="61">
        <v>9540</v>
      </c>
      <c r="G164" s="8">
        <v>2400</v>
      </c>
      <c r="H164" s="4">
        <v>2180</v>
      </c>
      <c r="L164" s="4">
        <v>4460</v>
      </c>
      <c r="M164" s="61">
        <v>15380</v>
      </c>
      <c r="N164" s="4">
        <v>1410</v>
      </c>
      <c r="O164" s="1"/>
    </row>
    <row r="165" spans="2:16" ht="13.5" thickBot="1">
      <c r="B165" s="6">
        <v>12860</v>
      </c>
      <c r="C165" s="4">
        <v>5200</v>
      </c>
      <c r="D165" s="61"/>
      <c r="E165" s="107"/>
      <c r="F165" s="57">
        <v>0</v>
      </c>
      <c r="G165" s="9">
        <f>SUM(G163:G164)</f>
        <v>4540</v>
      </c>
      <c r="H165" s="4">
        <v>1960</v>
      </c>
      <c r="L165" s="5">
        <v>0</v>
      </c>
      <c r="M165" s="61">
        <v>3430</v>
      </c>
      <c r="N165" s="5">
        <v>3338790</v>
      </c>
      <c r="O165">
        <v>710</v>
      </c>
      <c r="P165" t="s">
        <v>133</v>
      </c>
    </row>
    <row r="166" spans="2:14" ht="13.5" thickBot="1">
      <c r="B166" s="6">
        <v>13300</v>
      </c>
      <c r="C166" s="4">
        <v>2800</v>
      </c>
      <c r="D166" s="61"/>
      <c r="E166" s="108">
        <v>4660</v>
      </c>
      <c r="F166" s="1">
        <f>SUM(F163:F165)</f>
        <v>18940</v>
      </c>
      <c r="H166" s="5">
        <v>1980</v>
      </c>
      <c r="L166" s="1">
        <f>SUM(L163:L165)</f>
        <v>5460</v>
      </c>
      <c r="M166" s="4">
        <v>4660</v>
      </c>
      <c r="N166" s="5">
        <f>SUM(N163:N165)</f>
        <v>3343630</v>
      </c>
    </row>
    <row r="167" spans="2:13" ht="13.5" thickBot="1">
      <c r="B167" s="6">
        <v>12840</v>
      </c>
      <c r="C167" s="5">
        <v>3780</v>
      </c>
      <c r="D167" s="34">
        <v>6860</v>
      </c>
      <c r="H167" s="5">
        <f>SUM(H163:H166)</f>
        <v>7600</v>
      </c>
      <c r="M167" s="4">
        <v>18940</v>
      </c>
    </row>
    <row r="168" spans="2:13" ht="13.5" thickBot="1">
      <c r="B168" s="4">
        <v>11640</v>
      </c>
      <c r="C168" s="1">
        <f>SUM(C163:C167)</f>
        <v>15380</v>
      </c>
      <c r="D168" s="1">
        <v>3430</v>
      </c>
      <c r="M168" s="4">
        <v>4540</v>
      </c>
    </row>
    <row r="169" spans="2:13" ht="13.5" thickBot="1">
      <c r="B169" s="4">
        <v>13340</v>
      </c>
      <c r="D169" t="s">
        <v>71</v>
      </c>
      <c r="E169" s="106" t="s">
        <v>56</v>
      </c>
      <c r="M169" s="4">
        <v>7600</v>
      </c>
    </row>
    <row r="170" spans="2:13" ht="13.5" thickBot="1">
      <c r="B170" s="4">
        <v>0</v>
      </c>
      <c r="D170" s="55"/>
      <c r="E170" s="3">
        <v>3720</v>
      </c>
      <c r="M170" s="4">
        <v>199000</v>
      </c>
    </row>
    <row r="171" spans="2:16" ht="13.5" thickBot="1">
      <c r="B171" s="4">
        <v>0</v>
      </c>
      <c r="E171" s="4"/>
      <c r="M171" s="4">
        <v>2994490</v>
      </c>
      <c r="O171" s="1">
        <v>-710</v>
      </c>
      <c r="P171" t="s">
        <v>115</v>
      </c>
    </row>
    <row r="172" spans="2:15" ht="13.5" thickBot="1">
      <c r="B172" s="4">
        <v>0</v>
      </c>
      <c r="E172" s="4"/>
      <c r="M172" s="11">
        <v>710</v>
      </c>
      <c r="O172" s="1">
        <v>3343630</v>
      </c>
    </row>
    <row r="173" spans="2:16" ht="13.5" thickBot="1">
      <c r="B173" s="4">
        <v>0</v>
      </c>
      <c r="E173" s="12"/>
      <c r="M173" s="12">
        <v>0</v>
      </c>
      <c r="O173" s="1">
        <v>3342930</v>
      </c>
      <c r="P173" t="s">
        <v>83</v>
      </c>
    </row>
    <row r="174" spans="2:14" ht="13.5" thickBot="1">
      <c r="B174" s="26">
        <f>SUM(B163:B173)</f>
        <v>90040</v>
      </c>
      <c r="E174" s="1"/>
      <c r="M174" s="1">
        <f>SUM(M163:M173)</f>
        <v>3338790</v>
      </c>
      <c r="N174" t="s">
        <v>82</v>
      </c>
    </row>
    <row r="175" spans="2:13" ht="13.5" thickBot="1">
      <c r="B175" s="4"/>
      <c r="E175" s="11"/>
      <c r="F175" s="28" t="s">
        <v>139</v>
      </c>
      <c r="M175" s="12"/>
    </row>
    <row r="176" spans="2:14" ht="13.5" thickBot="1">
      <c r="B176" s="11"/>
      <c r="E176" s="1"/>
      <c r="M176" s="1">
        <v>3342930</v>
      </c>
      <c r="N176" t="s">
        <v>83</v>
      </c>
    </row>
    <row r="177" spans="2:6" ht="12.75">
      <c r="B177" s="11"/>
      <c r="F177" s="92" t="s">
        <v>135</v>
      </c>
    </row>
    <row r="178" ht="12.75">
      <c r="B178" s="11"/>
    </row>
    <row r="179" ht="12.75">
      <c r="B179" s="11"/>
    </row>
    <row r="180" ht="12.75">
      <c r="B180" s="11"/>
    </row>
    <row r="181" ht="13.5" thickBot="1">
      <c r="B181" s="12"/>
    </row>
    <row r="182" ht="13.5" thickBot="1">
      <c r="B182" s="1"/>
    </row>
    <row r="183" ht="12.75">
      <c r="U183">
        <f>SUM(U178:U182)</f>
        <v>0</v>
      </c>
    </row>
    <row r="184" ht="13.5" thickBot="1"/>
    <row r="185" ht="13.5" thickBot="1">
      <c r="X185" s="1">
        <f>SUM(X173:X184)</f>
        <v>0</v>
      </c>
    </row>
    <row r="186" spans="1:24" ht="13.5" thickBot="1">
      <c r="A186" s="53" t="s">
        <v>40</v>
      </c>
      <c r="B186" s="15" t="s">
        <v>0</v>
      </c>
      <c r="C186" s="16" t="s">
        <v>1</v>
      </c>
      <c r="D186" s="42" t="s">
        <v>2</v>
      </c>
      <c r="E186" s="43" t="s">
        <v>81</v>
      </c>
      <c r="F186" s="19" t="s">
        <v>4</v>
      </c>
      <c r="G186" s="20" t="s">
        <v>5</v>
      </c>
      <c r="H186" s="33" t="s">
        <v>6</v>
      </c>
      <c r="I186" s="109" t="s">
        <v>141</v>
      </c>
      <c r="J186" s="23" t="s">
        <v>8</v>
      </c>
      <c r="K186" s="24" t="s">
        <v>9</v>
      </c>
      <c r="L186" s="49" t="s">
        <v>14</v>
      </c>
      <c r="M186" s="1" t="s">
        <v>13</v>
      </c>
      <c r="N186" s="3" t="s">
        <v>11</v>
      </c>
      <c r="O186" s="32" t="s">
        <v>114</v>
      </c>
      <c r="P186" s="81" t="s">
        <v>113</v>
      </c>
      <c r="Q186" s="110" t="s">
        <v>142</v>
      </c>
      <c r="V186">
        <v>49700</v>
      </c>
      <c r="X186">
        <v>4804000</v>
      </c>
    </row>
    <row r="187" spans="1:22" ht="13.5" thickBot="1">
      <c r="A187" s="9">
        <v>0</v>
      </c>
      <c r="B187" s="7">
        <v>10640</v>
      </c>
      <c r="C187" s="3">
        <v>2840</v>
      </c>
      <c r="D187" s="56">
        <v>2980</v>
      </c>
      <c r="E187" s="56">
        <v>4180</v>
      </c>
      <c r="F187" s="56">
        <v>10540</v>
      </c>
      <c r="G187" s="7">
        <v>2500</v>
      </c>
      <c r="H187" s="3">
        <v>2380</v>
      </c>
      <c r="I187" s="1">
        <v>49700</v>
      </c>
      <c r="J187" s="1">
        <v>437000</v>
      </c>
      <c r="K187" s="9">
        <v>3176040</v>
      </c>
      <c r="L187" s="3">
        <v>4620</v>
      </c>
      <c r="M187" s="59">
        <v>60760</v>
      </c>
      <c r="N187" s="10">
        <v>3790850</v>
      </c>
      <c r="O187" s="34">
        <v>800</v>
      </c>
      <c r="P187" s="1">
        <v>0</v>
      </c>
      <c r="Q187" s="1">
        <v>0</v>
      </c>
      <c r="V187">
        <v>586650</v>
      </c>
    </row>
    <row r="188" spans="2:22" ht="13.5" thickBot="1">
      <c r="B188" s="6">
        <v>11520</v>
      </c>
      <c r="C188" s="4">
        <v>2900</v>
      </c>
      <c r="D188" s="61">
        <v>4560</v>
      </c>
      <c r="E188" s="63"/>
      <c r="F188" s="61">
        <v>13520</v>
      </c>
      <c r="G188" s="8"/>
      <c r="H188" s="4">
        <v>3200</v>
      </c>
      <c r="L188" s="4">
        <v>3340</v>
      </c>
      <c r="M188" s="61">
        <v>8580</v>
      </c>
      <c r="N188" s="4">
        <v>3770</v>
      </c>
      <c r="O188" s="1">
        <v>800</v>
      </c>
      <c r="V188" s="1">
        <v>619840</v>
      </c>
    </row>
    <row r="189" spans="2:22" ht="13.5" thickBot="1">
      <c r="B189" s="6">
        <v>11860</v>
      </c>
      <c r="C189" s="4">
        <v>2840</v>
      </c>
      <c r="D189" s="61">
        <v>0</v>
      </c>
      <c r="E189" s="107"/>
      <c r="F189" s="57">
        <v>9380</v>
      </c>
      <c r="G189" s="9">
        <v>2500</v>
      </c>
      <c r="H189" s="4">
        <v>0</v>
      </c>
      <c r="L189" s="5">
        <v>1340</v>
      </c>
      <c r="M189" s="61">
        <v>3770</v>
      </c>
      <c r="N189" s="5">
        <v>800</v>
      </c>
      <c r="V189" s="1">
        <v>179980</v>
      </c>
    </row>
    <row r="190" spans="2:22" ht="13.5" thickBot="1">
      <c r="B190" s="6">
        <v>14160</v>
      </c>
      <c r="C190" s="4">
        <v>0</v>
      </c>
      <c r="D190" s="61">
        <v>0</v>
      </c>
      <c r="E190" s="108">
        <v>4180</v>
      </c>
      <c r="F190" s="1">
        <f>SUM(F187:F189)</f>
        <v>33440</v>
      </c>
      <c r="H190" s="5">
        <v>0</v>
      </c>
      <c r="L190" s="1">
        <f>SUM(L187:L189)</f>
        <v>9300</v>
      </c>
      <c r="M190" s="4">
        <v>4180</v>
      </c>
      <c r="N190" s="5">
        <f>SUM(N187:N189)</f>
        <v>3795420</v>
      </c>
      <c r="V190" s="1">
        <v>512280</v>
      </c>
    </row>
    <row r="191" spans="2:22" ht="13.5" thickBot="1">
      <c r="B191" s="6">
        <v>12580</v>
      </c>
      <c r="C191" s="5">
        <v>0</v>
      </c>
      <c r="D191" s="34">
        <f>SUM(D187:D190)</f>
        <v>7540</v>
      </c>
      <c r="H191" s="5">
        <f>SUM(H187:H190)</f>
        <v>5580</v>
      </c>
      <c r="M191" s="4">
        <v>33440</v>
      </c>
      <c r="V191">
        <f>SUM(V186:V190)</f>
        <v>1948450</v>
      </c>
    </row>
    <row r="192" spans="2:13" ht="13.5" thickBot="1">
      <c r="B192" s="4">
        <v>0</v>
      </c>
      <c r="C192" s="1">
        <f>SUM(C187:C191)</f>
        <v>8580</v>
      </c>
      <c r="D192" s="1">
        <v>3770</v>
      </c>
      <c r="M192" s="4">
        <v>2500</v>
      </c>
    </row>
    <row r="193" spans="2:13" ht="13.5" thickBot="1">
      <c r="B193" s="4">
        <v>0</v>
      </c>
      <c r="D193" t="s">
        <v>71</v>
      </c>
      <c r="E193" s="106" t="s">
        <v>56</v>
      </c>
      <c r="M193" s="4">
        <v>5580</v>
      </c>
    </row>
    <row r="194" spans="2:13" ht="13.5" thickBot="1">
      <c r="B194" s="4">
        <v>0</v>
      </c>
      <c r="D194" s="55"/>
      <c r="E194" s="3">
        <v>0</v>
      </c>
      <c r="M194" s="4">
        <v>49700</v>
      </c>
    </row>
    <row r="195" spans="2:16" ht="13.5" thickBot="1">
      <c r="B195" s="4">
        <v>0</v>
      </c>
      <c r="E195" s="4"/>
      <c r="M195" s="4">
        <v>437000</v>
      </c>
      <c r="O195" s="1">
        <v>800</v>
      </c>
      <c r="P195" t="s">
        <v>115</v>
      </c>
    </row>
    <row r="196" spans="2:15" ht="13.5" thickBot="1">
      <c r="B196" s="4">
        <v>0</v>
      </c>
      <c r="E196" s="4"/>
      <c r="M196" s="11">
        <v>3176040</v>
      </c>
      <c r="O196" s="1">
        <v>3795420</v>
      </c>
    </row>
    <row r="197" spans="2:16" ht="13.5" thickBot="1">
      <c r="B197" s="4">
        <v>0</v>
      </c>
      <c r="E197" s="12"/>
      <c r="M197" s="12">
        <v>9300</v>
      </c>
      <c r="O197" s="1">
        <v>3794620</v>
      </c>
      <c r="P197" t="s">
        <v>83</v>
      </c>
    </row>
    <row r="198" spans="2:14" ht="13.5" thickBot="1">
      <c r="B198" s="26">
        <f>SUM(B187:B197)</f>
        <v>60760</v>
      </c>
      <c r="E198" s="1"/>
      <c r="M198" s="1">
        <f>SUM(M187:M197)</f>
        <v>3790850</v>
      </c>
      <c r="N198" t="s">
        <v>82</v>
      </c>
    </row>
    <row r="199" spans="2:13" ht="13.5" thickBot="1">
      <c r="B199" s="4"/>
      <c r="E199" s="11"/>
      <c r="F199" s="28" t="s">
        <v>143</v>
      </c>
      <c r="M199" s="12"/>
    </row>
    <row r="200" spans="2:14" ht="13.5" thickBot="1">
      <c r="B200" s="11"/>
      <c r="E200" s="1"/>
      <c r="M200" s="1">
        <v>3794620</v>
      </c>
      <c r="N200" t="s">
        <v>83</v>
      </c>
    </row>
    <row r="201" spans="2:6" ht="12.75">
      <c r="B201" s="11"/>
      <c r="F201" s="92" t="s">
        <v>140</v>
      </c>
    </row>
    <row r="202" ht="12.75">
      <c r="B202" s="11"/>
    </row>
    <row r="203" ht="12.75">
      <c r="B203" s="11"/>
    </row>
    <row r="204" ht="12.75">
      <c r="B204" s="11"/>
    </row>
    <row r="205" ht="13.5" thickBot="1">
      <c r="B205" s="12"/>
    </row>
    <row r="206" ht="13.5" thickBot="1">
      <c r="B206" s="1"/>
    </row>
    <row r="212" ht="13.5" thickBot="1"/>
    <row r="213" spans="1:18" ht="13.5" thickBot="1">
      <c r="A213" s="53" t="s">
        <v>40</v>
      </c>
      <c r="B213" s="15" t="s">
        <v>0</v>
      </c>
      <c r="C213" s="16" t="s">
        <v>1</v>
      </c>
      <c r="D213" s="42" t="s">
        <v>2</v>
      </c>
      <c r="E213" s="43" t="s">
        <v>81</v>
      </c>
      <c r="F213" s="19" t="s">
        <v>4</v>
      </c>
      <c r="G213" s="20" t="s">
        <v>5</v>
      </c>
      <c r="H213" s="33" t="s">
        <v>6</v>
      </c>
      <c r="I213" s="109" t="s">
        <v>141</v>
      </c>
      <c r="J213" s="23" t="s">
        <v>8</v>
      </c>
      <c r="K213" s="24" t="s">
        <v>9</v>
      </c>
      <c r="L213" s="49" t="s">
        <v>14</v>
      </c>
      <c r="M213" s="1" t="s">
        <v>13</v>
      </c>
      <c r="N213" s="3" t="s">
        <v>11</v>
      </c>
      <c r="O213" s="32" t="s">
        <v>114</v>
      </c>
      <c r="P213" s="81" t="s">
        <v>113</v>
      </c>
      <c r="Q213" s="110" t="s">
        <v>142</v>
      </c>
      <c r="R213" s="111" t="s">
        <v>80</v>
      </c>
    </row>
    <row r="214" spans="1:18" ht="13.5" thickBot="1">
      <c r="A214" s="9"/>
      <c r="B214" s="7">
        <v>15400</v>
      </c>
      <c r="C214" s="3">
        <v>2260</v>
      </c>
      <c r="D214" s="56">
        <v>1520</v>
      </c>
      <c r="E214" s="56">
        <v>1800</v>
      </c>
      <c r="F214" s="56">
        <v>6980</v>
      </c>
      <c r="G214" s="7">
        <v>2180</v>
      </c>
      <c r="H214" s="3">
        <v>2380</v>
      </c>
      <c r="I214" s="1">
        <v>586650</v>
      </c>
      <c r="J214" s="1">
        <v>378020</v>
      </c>
      <c r="K214" s="9">
        <v>2426400</v>
      </c>
      <c r="L214" s="3">
        <v>2440</v>
      </c>
      <c r="M214" s="59">
        <v>96020</v>
      </c>
      <c r="N214" s="10">
        <v>3157862</v>
      </c>
      <c r="O214" s="34">
        <v>0</v>
      </c>
      <c r="P214" s="1">
        <v>0</v>
      </c>
      <c r="Q214" s="1">
        <v>0</v>
      </c>
      <c r="R214" s="1">
        <v>260</v>
      </c>
    </row>
    <row r="215" spans="2:15" ht="13.5" thickBot="1">
      <c r="B215" s="6">
        <v>13740</v>
      </c>
      <c r="C215" s="4">
        <v>3220</v>
      </c>
      <c r="D215" s="61">
        <v>3460</v>
      </c>
      <c r="E215" s="63">
        <v>1180</v>
      </c>
      <c r="F215" s="61">
        <v>9020</v>
      </c>
      <c r="G215" s="8">
        <v>0</v>
      </c>
      <c r="H215" s="4">
        <v>2320</v>
      </c>
      <c r="L215" s="4">
        <v>4620</v>
      </c>
      <c r="M215" s="61">
        <v>5722</v>
      </c>
      <c r="N215" s="4">
        <v>5230</v>
      </c>
      <c r="O215" s="1"/>
    </row>
    <row r="216" spans="2:14" ht="13.5" thickBot="1">
      <c r="B216" s="6">
        <v>14920</v>
      </c>
      <c r="C216" s="4">
        <v>242</v>
      </c>
      <c r="D216" s="61">
        <v>5480</v>
      </c>
      <c r="E216" s="107">
        <v>4660</v>
      </c>
      <c r="F216" s="57">
        <v>0</v>
      </c>
      <c r="G216" s="9">
        <f>SUM(G214:G215)</f>
        <v>2180</v>
      </c>
      <c r="H216" s="4">
        <v>0</v>
      </c>
      <c r="L216" s="5">
        <v>0</v>
      </c>
      <c r="M216" s="61">
        <v>5230</v>
      </c>
      <c r="N216" s="5">
        <v>0</v>
      </c>
    </row>
    <row r="217" spans="2:14" ht="13.5" thickBot="1">
      <c r="B217" s="6">
        <v>14580</v>
      </c>
      <c r="C217" s="4">
        <v>0</v>
      </c>
      <c r="D217" s="61">
        <v>0</v>
      </c>
      <c r="E217" s="108">
        <f>SUM(E214:E216)</f>
        <v>7640</v>
      </c>
      <c r="F217" s="1">
        <f>SUM(F214:F216)</f>
        <v>16000</v>
      </c>
      <c r="H217" s="5">
        <v>0</v>
      </c>
      <c r="L217" s="1">
        <f>SUM(L214:L216)</f>
        <v>7060</v>
      </c>
      <c r="M217" s="4">
        <v>7640</v>
      </c>
      <c r="N217" s="5">
        <f>SUM(N214:N216)</f>
        <v>3163092</v>
      </c>
    </row>
    <row r="218" spans="2:13" ht="13.5" thickBot="1">
      <c r="B218" s="6">
        <v>12140</v>
      </c>
      <c r="C218" s="5">
        <v>0</v>
      </c>
      <c r="D218" s="34">
        <f>SUM(D214:D217)</f>
        <v>10460</v>
      </c>
      <c r="H218" s="5">
        <f>SUM(H214:H217)</f>
        <v>4700</v>
      </c>
      <c r="M218" s="4">
        <v>16000</v>
      </c>
    </row>
    <row r="219" spans="2:13" ht="13.5" thickBot="1">
      <c r="B219" s="4">
        <v>11440</v>
      </c>
      <c r="C219" s="1">
        <f>SUM(C214:C218)</f>
        <v>5722</v>
      </c>
      <c r="D219" s="1">
        <v>5230</v>
      </c>
      <c r="M219" s="4">
        <v>2180</v>
      </c>
    </row>
    <row r="220" spans="2:13" ht="13.5" thickBot="1">
      <c r="B220" s="4">
        <v>13800</v>
      </c>
      <c r="D220" t="s">
        <v>71</v>
      </c>
      <c r="E220" s="106" t="s">
        <v>56</v>
      </c>
      <c r="M220" s="4">
        <v>4700</v>
      </c>
    </row>
    <row r="221" spans="2:13" ht="13.5" thickBot="1">
      <c r="B221" s="4">
        <v>0</v>
      </c>
      <c r="D221" s="55"/>
      <c r="E221" s="3">
        <v>460</v>
      </c>
      <c r="M221" s="4">
        <v>586650</v>
      </c>
    </row>
    <row r="222" spans="2:16" ht="13.5" thickBot="1">
      <c r="B222" s="4">
        <v>0</v>
      </c>
      <c r="E222" s="4">
        <v>7680</v>
      </c>
      <c r="M222" s="4">
        <v>2426400</v>
      </c>
      <c r="O222" s="1">
        <v>0</v>
      </c>
      <c r="P222" t="s">
        <v>115</v>
      </c>
    </row>
    <row r="223" spans="2:15" ht="13.5" thickBot="1">
      <c r="B223" s="4">
        <v>0</v>
      </c>
      <c r="E223" s="4">
        <v>0</v>
      </c>
      <c r="M223" s="11">
        <v>7060</v>
      </c>
      <c r="O223" s="1">
        <v>3163092</v>
      </c>
    </row>
    <row r="224" spans="2:16" ht="13.5" thickBot="1">
      <c r="B224" s="4">
        <v>0</v>
      </c>
      <c r="E224" s="12">
        <v>0</v>
      </c>
      <c r="M224" s="12">
        <v>260</v>
      </c>
      <c r="O224" s="1">
        <v>3163092</v>
      </c>
      <c r="P224" t="s">
        <v>83</v>
      </c>
    </row>
    <row r="225" spans="2:14" ht="13.5" thickBot="1">
      <c r="B225" s="26">
        <f>SUM(B214:B224)</f>
        <v>96020</v>
      </c>
      <c r="E225" s="1">
        <f>SUM(E221:E224)</f>
        <v>8140</v>
      </c>
      <c r="M225" s="1">
        <f>SUM(M214:M224)</f>
        <v>3157862</v>
      </c>
      <c r="N225" t="s">
        <v>82</v>
      </c>
    </row>
    <row r="226" spans="2:13" ht="13.5" thickBot="1">
      <c r="B226" s="4"/>
      <c r="E226" s="11">
        <v>7640</v>
      </c>
      <c r="F226" s="28" t="s">
        <v>144</v>
      </c>
      <c r="M226" s="12"/>
    </row>
    <row r="227" spans="2:14" ht="13.5" thickBot="1">
      <c r="B227" s="11"/>
      <c r="E227" s="1">
        <f>SUM(E225:E226)</f>
        <v>15780</v>
      </c>
      <c r="M227" s="1"/>
      <c r="N227" t="s">
        <v>83</v>
      </c>
    </row>
    <row r="228" spans="2:6" ht="12.75">
      <c r="B228" s="11"/>
      <c r="F228" s="92" t="s">
        <v>145</v>
      </c>
    </row>
    <row r="229" ht="12.75">
      <c r="B229" s="11"/>
    </row>
    <row r="230" ht="12.75">
      <c r="B230" s="11"/>
    </row>
    <row r="231" ht="12.75">
      <c r="B231" s="11"/>
    </row>
    <row r="232" ht="13.5" thickBot="1">
      <c r="B232" s="12"/>
    </row>
    <row r="233" ht="13.5" thickBot="1">
      <c r="B233" s="1"/>
    </row>
    <row r="237" ht="13.5" thickBot="1"/>
    <row r="238" spans="1:18" ht="13.5" thickBot="1">
      <c r="A238" s="53" t="s">
        <v>40</v>
      </c>
      <c r="B238" s="15" t="s">
        <v>0</v>
      </c>
      <c r="C238" s="16" t="s">
        <v>1</v>
      </c>
      <c r="D238" s="42" t="s">
        <v>2</v>
      </c>
      <c r="E238" s="43" t="s">
        <v>81</v>
      </c>
      <c r="F238" s="19" t="s">
        <v>4</v>
      </c>
      <c r="G238" s="20" t="s">
        <v>5</v>
      </c>
      <c r="H238" s="33" t="s">
        <v>6</v>
      </c>
      <c r="I238" s="109" t="s">
        <v>141</v>
      </c>
      <c r="J238" s="23" t="s">
        <v>8</v>
      </c>
      <c r="K238" s="24" t="s">
        <v>9</v>
      </c>
      <c r="L238" s="49" t="s">
        <v>14</v>
      </c>
      <c r="M238" s="1" t="s">
        <v>13</v>
      </c>
      <c r="N238" s="3" t="s">
        <v>11</v>
      </c>
      <c r="O238" s="32" t="s">
        <v>114</v>
      </c>
      <c r="P238" s="81" t="s">
        <v>113</v>
      </c>
      <c r="Q238" s="110" t="s">
        <v>142</v>
      </c>
      <c r="R238" s="111" t="s">
        <v>80</v>
      </c>
    </row>
    <row r="239" spans="1:18" ht="13.5" thickBot="1">
      <c r="A239" s="9"/>
      <c r="B239" s="7">
        <v>13000</v>
      </c>
      <c r="C239" s="3">
        <v>2020</v>
      </c>
      <c r="D239" s="56">
        <v>3120</v>
      </c>
      <c r="E239" s="56">
        <v>0</v>
      </c>
      <c r="F239" s="56">
        <v>9840</v>
      </c>
      <c r="G239" s="7">
        <v>2720</v>
      </c>
      <c r="H239" s="3">
        <v>2580</v>
      </c>
      <c r="I239" s="1">
        <v>619840</v>
      </c>
      <c r="J239" s="1">
        <v>489000</v>
      </c>
      <c r="K239" s="9">
        <v>3526110</v>
      </c>
      <c r="L239" s="3">
        <v>4920</v>
      </c>
      <c r="M239" s="59">
        <v>100260</v>
      </c>
      <c r="N239" s="10">
        <v>4785870</v>
      </c>
      <c r="O239" s="34">
        <v>0</v>
      </c>
      <c r="P239" s="1">
        <v>0</v>
      </c>
      <c r="Q239" s="1">
        <v>179980</v>
      </c>
      <c r="R239" s="1">
        <v>0</v>
      </c>
    </row>
    <row r="240" spans="2:15" ht="13.5" thickBot="1">
      <c r="B240" s="6">
        <v>14920</v>
      </c>
      <c r="C240" s="4">
        <v>2900</v>
      </c>
      <c r="D240" s="61">
        <v>3460</v>
      </c>
      <c r="E240" s="63"/>
      <c r="F240" s="61">
        <v>10280</v>
      </c>
      <c r="G240" s="8">
        <v>0</v>
      </c>
      <c r="H240" s="4">
        <v>1400</v>
      </c>
      <c r="L240" s="4">
        <v>780</v>
      </c>
      <c r="M240" s="61">
        <v>10840</v>
      </c>
      <c r="N240" s="4">
        <v>4660</v>
      </c>
      <c r="O240" s="1"/>
    </row>
    <row r="241" spans="2:14" ht="13.5" thickBot="1">
      <c r="B241" s="6">
        <v>13880</v>
      </c>
      <c r="C241" s="4">
        <v>2680</v>
      </c>
      <c r="D241" s="61">
        <v>2740</v>
      </c>
      <c r="E241" s="107"/>
      <c r="F241" s="57">
        <v>1340</v>
      </c>
      <c r="G241" s="9">
        <f>SUM(G239:G240)</f>
        <v>2720</v>
      </c>
      <c r="H241" s="4">
        <v>1300</v>
      </c>
      <c r="L241" s="5">
        <v>0</v>
      </c>
      <c r="M241" s="61">
        <v>4660</v>
      </c>
      <c r="N241" s="5">
        <v>0</v>
      </c>
    </row>
    <row r="242" spans="2:14" ht="13.5" thickBot="1">
      <c r="B242" s="6">
        <v>15120</v>
      </c>
      <c r="C242" s="4">
        <v>3240</v>
      </c>
      <c r="D242" s="61">
        <v>0</v>
      </c>
      <c r="E242" s="108"/>
      <c r="F242" s="1">
        <f>SUM(F239:F241)</f>
        <v>21460</v>
      </c>
      <c r="H242" s="5">
        <v>0</v>
      </c>
      <c r="L242" s="1">
        <f>SUM(L239:L241)</f>
        <v>5700</v>
      </c>
      <c r="M242" s="4">
        <v>21460</v>
      </c>
      <c r="N242" s="5">
        <f>SUM(N239:N241)</f>
        <v>4790530</v>
      </c>
    </row>
    <row r="243" spans="2:13" ht="13.5" thickBot="1">
      <c r="B243" s="6">
        <v>14340</v>
      </c>
      <c r="C243" s="5">
        <v>0</v>
      </c>
      <c r="D243" s="34">
        <f>SUM(D239:D242)</f>
        <v>9320</v>
      </c>
      <c r="H243" s="5">
        <f>SUM(H239:H242)</f>
        <v>5280</v>
      </c>
      <c r="M243" s="4">
        <v>2720</v>
      </c>
    </row>
    <row r="244" spans="2:13" ht="13.5" thickBot="1">
      <c r="B244" s="4">
        <v>15340</v>
      </c>
      <c r="C244" s="1">
        <f>SUM(C239:C243)</f>
        <v>10840</v>
      </c>
      <c r="D244" s="1">
        <v>4660</v>
      </c>
      <c r="M244" s="4">
        <v>5280</v>
      </c>
    </row>
    <row r="245" spans="2:13" ht="13.5" thickBot="1">
      <c r="B245" s="4">
        <v>13660</v>
      </c>
      <c r="D245" t="s">
        <v>71</v>
      </c>
      <c r="E245" s="106" t="s">
        <v>56</v>
      </c>
      <c r="M245" s="4">
        <v>619840</v>
      </c>
    </row>
    <row r="246" spans="2:13" ht="13.5" thickBot="1">
      <c r="B246" s="4">
        <v>0</v>
      </c>
      <c r="D246" s="55"/>
      <c r="E246" s="3">
        <v>0</v>
      </c>
      <c r="M246" s="4">
        <v>489000</v>
      </c>
    </row>
    <row r="247" spans="2:16" ht="13.5" thickBot="1">
      <c r="B247" s="4">
        <v>0</v>
      </c>
      <c r="E247" s="4"/>
      <c r="M247" s="4">
        <v>3526110</v>
      </c>
      <c r="O247" s="1">
        <v>0</v>
      </c>
      <c r="P247" t="s">
        <v>115</v>
      </c>
    </row>
    <row r="248" spans="2:15" ht="13.5" thickBot="1">
      <c r="B248" s="4">
        <v>0</v>
      </c>
      <c r="E248" s="4"/>
      <c r="M248" s="11">
        <v>5700</v>
      </c>
      <c r="O248" s="1"/>
    </row>
    <row r="249" spans="2:16" ht="13.5" thickBot="1">
      <c r="B249" s="4">
        <v>0</v>
      </c>
      <c r="E249" s="12"/>
      <c r="M249" s="12">
        <v>0</v>
      </c>
      <c r="O249" s="1">
        <v>4790530</v>
      </c>
      <c r="P249" t="s">
        <v>83</v>
      </c>
    </row>
    <row r="250" spans="2:14" ht="13.5" thickBot="1">
      <c r="B250" s="26">
        <f>SUM(B239:B249)</f>
        <v>100260</v>
      </c>
      <c r="E250" s="1"/>
      <c r="M250" s="1">
        <f>SUM(M239:M249)</f>
        <v>4785870</v>
      </c>
      <c r="N250" t="s">
        <v>82</v>
      </c>
    </row>
    <row r="251" spans="2:13" ht="13.5" thickBot="1">
      <c r="B251" s="4"/>
      <c r="E251" s="11"/>
      <c r="F251" s="28" t="s">
        <v>148</v>
      </c>
      <c r="M251" s="12"/>
    </row>
    <row r="252" spans="2:14" ht="13.5" thickBot="1">
      <c r="B252" s="11"/>
      <c r="E252" s="1"/>
      <c r="M252" s="1">
        <v>4790530</v>
      </c>
      <c r="N252" t="s">
        <v>83</v>
      </c>
    </row>
    <row r="253" spans="2:6" ht="12.75">
      <c r="B253" s="11"/>
      <c r="F253" s="92" t="s">
        <v>145</v>
      </c>
    </row>
    <row r="254" ht="12.75">
      <c r="B254" s="11"/>
    </row>
    <row r="255" ht="12.75">
      <c r="B255" s="11"/>
    </row>
    <row r="256" ht="12.75">
      <c r="B256" s="11"/>
    </row>
    <row r="257" ht="13.5" thickBot="1">
      <c r="B257" s="12"/>
    </row>
    <row r="258" ht="13.5" thickBot="1">
      <c r="B258" s="1"/>
    </row>
    <row r="261" ht="13.5" thickBot="1"/>
    <row r="262" spans="1:18" ht="13.5" thickBot="1">
      <c r="A262" s="53" t="s">
        <v>40</v>
      </c>
      <c r="B262" s="15" t="s">
        <v>0</v>
      </c>
      <c r="C262" s="16" t="s">
        <v>1</v>
      </c>
      <c r="D262" s="42" t="s">
        <v>2</v>
      </c>
      <c r="E262" s="43" t="s">
        <v>81</v>
      </c>
      <c r="F262" s="19" t="s">
        <v>4</v>
      </c>
      <c r="G262" s="20" t="s">
        <v>5</v>
      </c>
      <c r="H262" s="33" t="s">
        <v>6</v>
      </c>
      <c r="I262" s="109" t="s">
        <v>141</v>
      </c>
      <c r="J262" s="23" t="s">
        <v>8</v>
      </c>
      <c r="K262" s="24" t="s">
        <v>9</v>
      </c>
      <c r="L262" s="49" t="s">
        <v>14</v>
      </c>
      <c r="M262" s="1" t="s">
        <v>13</v>
      </c>
      <c r="N262" s="3" t="s">
        <v>11</v>
      </c>
      <c r="O262" s="50" t="s">
        <v>114</v>
      </c>
      <c r="P262" s="81" t="s">
        <v>113</v>
      </c>
      <c r="Q262" s="110" t="s">
        <v>142</v>
      </c>
      <c r="R262" s="111" t="s">
        <v>80</v>
      </c>
    </row>
    <row r="263" spans="1:18" ht="13.5" thickBot="1">
      <c r="A263" s="9">
        <v>0</v>
      </c>
      <c r="B263" s="7">
        <v>14120</v>
      </c>
      <c r="C263" s="3">
        <v>2500</v>
      </c>
      <c r="D263" s="56">
        <v>4280</v>
      </c>
      <c r="E263" s="68">
        <v>6040</v>
      </c>
      <c r="F263" s="3">
        <v>13140</v>
      </c>
      <c r="G263" s="68">
        <v>3060</v>
      </c>
      <c r="H263" s="3">
        <v>2320</v>
      </c>
      <c r="I263" s="1">
        <v>512280</v>
      </c>
      <c r="J263" s="1">
        <v>413700</v>
      </c>
      <c r="K263" s="9">
        <v>2890200</v>
      </c>
      <c r="L263" s="3">
        <v>4440</v>
      </c>
      <c r="M263" s="59">
        <v>98400</v>
      </c>
      <c r="N263" s="13">
        <v>3996650</v>
      </c>
      <c r="O263" s="3">
        <v>3800</v>
      </c>
      <c r="P263" s="34">
        <v>0</v>
      </c>
      <c r="Q263" s="1">
        <v>0</v>
      </c>
      <c r="R263" s="1">
        <v>0</v>
      </c>
    </row>
    <row r="264" spans="2:15" ht="13.5" thickBot="1">
      <c r="B264" s="6">
        <v>13980</v>
      </c>
      <c r="C264" s="4">
        <v>2680</v>
      </c>
      <c r="D264" s="61">
        <v>3600</v>
      </c>
      <c r="E264" s="82"/>
      <c r="F264" s="4">
        <v>6380</v>
      </c>
      <c r="G264" s="69">
        <v>0</v>
      </c>
      <c r="H264" s="4">
        <v>2400</v>
      </c>
      <c r="L264" s="4">
        <v>4560</v>
      </c>
      <c r="M264" s="61">
        <v>5180</v>
      </c>
      <c r="N264" s="6">
        <v>11240</v>
      </c>
      <c r="O264" s="5">
        <v>7440</v>
      </c>
    </row>
    <row r="265" spans="2:15" ht="13.5" thickBot="1">
      <c r="B265" s="6">
        <v>15080</v>
      </c>
      <c r="C265" s="4">
        <v>0</v>
      </c>
      <c r="D265" s="61">
        <v>5280</v>
      </c>
      <c r="E265" s="113"/>
      <c r="F265" s="4">
        <v>4100</v>
      </c>
      <c r="G265" s="70">
        <v>3060</v>
      </c>
      <c r="H265" s="4">
        <v>2680</v>
      </c>
      <c r="L265" s="5">
        <v>0</v>
      </c>
      <c r="M265" s="61">
        <v>7690</v>
      </c>
      <c r="N265" s="5">
        <v>7690</v>
      </c>
      <c r="O265" s="1">
        <f>SUM(O263:O264)</f>
        <v>11240</v>
      </c>
    </row>
    <row r="266" spans="2:14" ht="13.5" thickBot="1">
      <c r="B266" s="6">
        <v>10140</v>
      </c>
      <c r="C266" s="4">
        <v>0</v>
      </c>
      <c r="D266" s="61">
        <v>2220</v>
      </c>
      <c r="E266" s="112">
        <v>6040</v>
      </c>
      <c r="F266" s="4">
        <v>10980</v>
      </c>
      <c r="H266" s="5">
        <v>0</v>
      </c>
      <c r="L266" s="1">
        <f>SUM(L263:L265)</f>
        <v>9000</v>
      </c>
      <c r="M266" s="4">
        <v>7500</v>
      </c>
      <c r="N266" s="5">
        <f>SUM(N263:N265)</f>
        <v>4015580</v>
      </c>
    </row>
    <row r="267" spans="2:13" ht="13.5" thickBot="1">
      <c r="B267" s="6">
        <v>8200</v>
      </c>
      <c r="C267" s="5">
        <v>0</v>
      </c>
      <c r="D267" s="34">
        <f>SUM(D263:D266)</f>
        <v>15380</v>
      </c>
      <c r="F267" s="12">
        <v>7640</v>
      </c>
      <c r="H267" s="5">
        <f>SUM(H263:H266)</f>
        <v>7400</v>
      </c>
      <c r="M267" s="4">
        <v>42240</v>
      </c>
    </row>
    <row r="268" spans="2:13" ht="13.5" thickBot="1">
      <c r="B268" s="4">
        <v>11260</v>
      </c>
      <c r="C268" s="1">
        <f>SUM(C263:C267)</f>
        <v>5180</v>
      </c>
      <c r="D268" s="1">
        <v>7690</v>
      </c>
      <c r="F268" s="1">
        <f>SUM(F263:F267)</f>
        <v>42240</v>
      </c>
      <c r="M268" s="4">
        <v>3060</v>
      </c>
    </row>
    <row r="269" spans="2:13" ht="13.5" thickBot="1">
      <c r="B269" s="4">
        <v>13300</v>
      </c>
      <c r="D269" t="s">
        <v>71</v>
      </c>
      <c r="E269" s="106" t="s">
        <v>56</v>
      </c>
      <c r="M269" s="4">
        <v>7400</v>
      </c>
    </row>
    <row r="270" spans="2:13" ht="13.5" thickBot="1">
      <c r="B270" s="4">
        <v>12320</v>
      </c>
      <c r="D270" s="55"/>
      <c r="E270" s="3">
        <v>1460</v>
      </c>
      <c r="M270" s="4">
        <v>512280</v>
      </c>
    </row>
    <row r="271" spans="2:16" ht="13.5" thickBot="1">
      <c r="B271" s="4">
        <v>0</v>
      </c>
      <c r="E271" s="4"/>
      <c r="M271" s="4">
        <v>413700</v>
      </c>
      <c r="O271" s="1">
        <v>11240</v>
      </c>
      <c r="P271" t="s">
        <v>115</v>
      </c>
    </row>
    <row r="272" spans="2:15" ht="13.5" thickBot="1">
      <c r="B272" s="4">
        <v>0</v>
      </c>
      <c r="E272" s="4"/>
      <c r="M272" s="11">
        <v>2890200</v>
      </c>
      <c r="O272" s="1">
        <v>4015580</v>
      </c>
    </row>
    <row r="273" spans="2:16" ht="13.5" thickBot="1">
      <c r="B273" s="4">
        <v>0</v>
      </c>
      <c r="E273" s="12"/>
      <c r="M273" s="12">
        <v>9000</v>
      </c>
      <c r="O273" s="1">
        <v>4004340</v>
      </c>
      <c r="P273" t="s">
        <v>83</v>
      </c>
    </row>
    <row r="274" spans="2:14" ht="13.5" thickBot="1">
      <c r="B274" s="26">
        <f>SUM(B263:B273)</f>
        <v>98400</v>
      </c>
      <c r="E274" s="1">
        <v>7500</v>
      </c>
      <c r="M274" s="1">
        <f>SUM(M263:M273)</f>
        <v>3996650</v>
      </c>
      <c r="N274" t="s">
        <v>82</v>
      </c>
    </row>
    <row r="275" spans="2:13" ht="13.5" thickBot="1">
      <c r="B275" s="4"/>
      <c r="E275" s="82"/>
      <c r="F275" s="28" t="s">
        <v>150</v>
      </c>
      <c r="M275" s="12"/>
    </row>
    <row r="276" spans="2:14" ht="13.5" thickBot="1">
      <c r="B276" s="11"/>
      <c r="E276" s="55"/>
      <c r="M276" s="1">
        <v>4004340</v>
      </c>
      <c r="N276" t="s">
        <v>83</v>
      </c>
    </row>
    <row r="277" spans="2:6" ht="12.75">
      <c r="B277" s="11"/>
      <c r="F277" s="92" t="s">
        <v>151</v>
      </c>
    </row>
    <row r="278" ht="12.75">
      <c r="B278" s="11"/>
    </row>
    <row r="279" spans="2:5" ht="12.75">
      <c r="B279" s="11"/>
      <c r="E279" t="s">
        <v>149</v>
      </c>
    </row>
    <row r="280" ht="12.75">
      <c r="B280" s="11"/>
    </row>
    <row r="281" ht="13.5" thickBot="1">
      <c r="B281" s="12"/>
    </row>
    <row r="282" ht="13.5" thickBot="1">
      <c r="B282" s="1"/>
    </row>
  </sheetData>
  <sheetProtection/>
  <printOptions/>
  <pageMargins left="0.75" right="0.75" top="1" bottom="1" header="0.5" footer="0.5"/>
  <pageSetup fitToHeight="0" fitToWidth="1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X324"/>
  <sheetViews>
    <sheetView zoomScalePageLayoutView="0" workbookViewId="0" topLeftCell="A296">
      <selection activeCell="J306" sqref="J306"/>
    </sheetView>
  </sheetViews>
  <sheetFormatPr defaultColWidth="9.140625" defaultRowHeight="12.75"/>
  <cols>
    <col min="1" max="1" width="10.7109375" style="0" customWidth="1"/>
    <col min="4" max="4" width="12.57421875" style="0" customWidth="1"/>
    <col min="5" max="5" width="11.28125" style="0" customWidth="1"/>
    <col min="6" max="6" width="10.28125" style="0" customWidth="1"/>
    <col min="15" max="15" width="13.140625" style="0" customWidth="1"/>
    <col min="16" max="16" width="12.28125" style="0" customWidth="1"/>
    <col min="21" max="21" width="23.140625" style="0" customWidth="1"/>
    <col min="22" max="22" width="23.421875" style="0" customWidth="1"/>
    <col min="23" max="23" width="18.57421875" style="0" customWidth="1"/>
    <col min="24" max="24" width="14.28125" style="0" customWidth="1"/>
  </cols>
  <sheetData>
    <row r="1" ht="12.75">
      <c r="A1" s="181" t="s">
        <v>181</v>
      </c>
    </row>
    <row r="2" ht="13.5" thickBot="1"/>
    <row r="3" spans="1:18" ht="13.5" thickBot="1">
      <c r="A3" s="53" t="s">
        <v>40</v>
      </c>
      <c r="B3" s="15" t="s">
        <v>0</v>
      </c>
      <c r="C3" s="16" t="s">
        <v>1</v>
      </c>
      <c r="D3" s="170" t="s">
        <v>174</v>
      </c>
      <c r="E3" s="43" t="s">
        <v>81</v>
      </c>
      <c r="F3" s="19" t="s">
        <v>4</v>
      </c>
      <c r="G3" s="20" t="s">
        <v>5</v>
      </c>
      <c r="H3" s="33" t="s">
        <v>6</v>
      </c>
      <c r="I3" s="109" t="s">
        <v>141</v>
      </c>
      <c r="J3" s="23" t="s">
        <v>8</v>
      </c>
      <c r="K3" s="24" t="s">
        <v>9</v>
      </c>
      <c r="L3" s="49" t="s">
        <v>14</v>
      </c>
      <c r="M3" s="1" t="s">
        <v>13</v>
      </c>
      <c r="N3" s="3" t="s">
        <v>11</v>
      </c>
      <c r="O3" s="32" t="s">
        <v>114</v>
      </c>
      <c r="P3" s="81" t="s">
        <v>113</v>
      </c>
      <c r="Q3" s="110" t="s">
        <v>142</v>
      </c>
      <c r="R3" s="111" t="s">
        <v>80</v>
      </c>
    </row>
    <row r="4" spans="1:18" ht="13.5" thickBot="1">
      <c r="A4" s="114">
        <v>1700</v>
      </c>
      <c r="B4" s="115">
        <v>13300</v>
      </c>
      <c r="C4" s="116">
        <v>3060</v>
      </c>
      <c r="D4" s="125">
        <v>3800</v>
      </c>
      <c r="E4" s="125">
        <v>5980</v>
      </c>
      <c r="F4" s="125">
        <v>9220</v>
      </c>
      <c r="G4" s="115">
        <v>0</v>
      </c>
      <c r="H4" s="116">
        <v>2460</v>
      </c>
      <c r="I4" s="121">
        <v>560000</v>
      </c>
      <c r="J4" s="121">
        <v>366000</v>
      </c>
      <c r="K4" s="114">
        <v>4266640</v>
      </c>
      <c r="L4" s="116">
        <v>4360</v>
      </c>
      <c r="M4" s="132">
        <v>103160</v>
      </c>
      <c r="N4" s="134">
        <v>5363381</v>
      </c>
      <c r="O4" s="127">
        <v>800</v>
      </c>
      <c r="P4" s="121">
        <v>0</v>
      </c>
      <c r="Q4" s="121">
        <v>0</v>
      </c>
      <c r="R4" s="121">
        <v>0</v>
      </c>
    </row>
    <row r="5" spans="1:18" ht="13.5" thickBot="1">
      <c r="A5" s="117"/>
      <c r="B5" s="118">
        <v>11220</v>
      </c>
      <c r="C5" s="119">
        <v>4400</v>
      </c>
      <c r="D5" s="126">
        <v>7880</v>
      </c>
      <c r="E5" s="128">
        <v>2360</v>
      </c>
      <c r="F5" s="126">
        <v>9140</v>
      </c>
      <c r="G5" s="133">
        <v>0</v>
      </c>
      <c r="H5" s="119">
        <v>1200</v>
      </c>
      <c r="I5" s="117"/>
      <c r="J5" s="117"/>
      <c r="K5" s="117"/>
      <c r="L5" s="119">
        <v>4360</v>
      </c>
      <c r="M5" s="126">
        <v>12461</v>
      </c>
      <c r="N5" s="119">
        <v>800</v>
      </c>
      <c r="O5" s="121">
        <v>800</v>
      </c>
      <c r="P5" s="117"/>
      <c r="Q5" s="117"/>
      <c r="R5" s="117"/>
    </row>
    <row r="6" spans="1:18" ht="13.5" thickBot="1">
      <c r="A6" s="117"/>
      <c r="B6" s="118">
        <v>10540</v>
      </c>
      <c r="C6" s="119">
        <v>2120</v>
      </c>
      <c r="D6" s="126">
        <v>2580</v>
      </c>
      <c r="E6" s="129">
        <v>0</v>
      </c>
      <c r="F6" s="130">
        <v>6640</v>
      </c>
      <c r="G6" s="114">
        <v>0</v>
      </c>
      <c r="H6" s="119">
        <v>2220</v>
      </c>
      <c r="I6" s="117"/>
      <c r="J6" s="117"/>
      <c r="K6" s="117"/>
      <c r="L6" s="120">
        <v>0</v>
      </c>
      <c r="M6" s="126">
        <v>7180</v>
      </c>
      <c r="N6" s="120">
        <v>7180</v>
      </c>
      <c r="O6" s="117"/>
      <c r="P6" s="117"/>
      <c r="Q6" s="117"/>
      <c r="R6" s="117"/>
    </row>
    <row r="7" spans="1:18" ht="13.5" thickBot="1">
      <c r="A7" s="117"/>
      <c r="B7" s="118">
        <v>9400</v>
      </c>
      <c r="C7" s="119">
        <v>2881</v>
      </c>
      <c r="D7" s="126">
        <v>0</v>
      </c>
      <c r="E7" s="130">
        <f>SUM(E4:E6)</f>
        <v>8340</v>
      </c>
      <c r="F7" s="121">
        <f>SUM(F4:F6)</f>
        <v>25000</v>
      </c>
      <c r="G7" s="117"/>
      <c r="H7" s="120">
        <v>0</v>
      </c>
      <c r="I7" s="117"/>
      <c r="J7" s="117"/>
      <c r="K7" s="117"/>
      <c r="L7" s="121">
        <f>SUM(L4:L6)</f>
        <v>8720</v>
      </c>
      <c r="M7" s="119">
        <v>8340</v>
      </c>
      <c r="N7" s="120">
        <f>SUM(N4:N6)</f>
        <v>5371361</v>
      </c>
      <c r="O7" s="117"/>
      <c r="P7" s="117"/>
      <c r="Q7" s="117"/>
      <c r="R7" s="117"/>
    </row>
    <row r="8" spans="1:18" ht="13.5" thickBot="1">
      <c r="A8" s="117"/>
      <c r="B8" s="118">
        <v>11060</v>
      </c>
      <c r="C8" s="120">
        <v>0</v>
      </c>
      <c r="D8" s="127">
        <f>SUM(D4:D7)</f>
        <v>14260</v>
      </c>
      <c r="E8" s="117"/>
      <c r="F8" s="117"/>
      <c r="G8" s="117"/>
      <c r="H8" s="120">
        <f>SUM(H4:H7)</f>
        <v>5880</v>
      </c>
      <c r="I8" s="117"/>
      <c r="J8" s="117"/>
      <c r="K8" s="117"/>
      <c r="L8" s="117"/>
      <c r="M8" s="119">
        <v>25000</v>
      </c>
      <c r="N8" s="117"/>
      <c r="O8" s="117"/>
      <c r="P8" s="117"/>
      <c r="Q8" s="117"/>
      <c r="R8" s="117"/>
    </row>
    <row r="9" spans="1:18" ht="13.5" thickBot="1">
      <c r="A9" s="117"/>
      <c r="B9" s="119">
        <v>14920</v>
      </c>
      <c r="C9" s="121">
        <f>SUM(C4:C8)</f>
        <v>12461</v>
      </c>
      <c r="D9" s="121">
        <v>7180</v>
      </c>
      <c r="E9" s="117"/>
      <c r="F9" s="117"/>
      <c r="G9" s="117"/>
      <c r="H9" s="117"/>
      <c r="I9" s="117"/>
      <c r="J9" s="117"/>
      <c r="K9" s="117"/>
      <c r="L9" s="117"/>
      <c r="M9" s="119">
        <v>0</v>
      </c>
      <c r="N9" s="117"/>
      <c r="O9" s="117"/>
      <c r="P9" s="117"/>
      <c r="Q9" s="117"/>
      <c r="R9" s="117"/>
    </row>
    <row r="10" spans="1:18" ht="13.5" thickBot="1">
      <c r="A10" s="117"/>
      <c r="B10" s="119">
        <v>13060</v>
      </c>
      <c r="C10" s="117"/>
      <c r="D10" t="s">
        <v>71</v>
      </c>
      <c r="E10" s="131" t="s">
        <v>56</v>
      </c>
      <c r="F10" s="117"/>
      <c r="G10" s="117"/>
      <c r="H10" s="117"/>
      <c r="I10" s="117"/>
      <c r="J10" s="117"/>
      <c r="K10" s="117"/>
      <c r="L10" s="117"/>
      <c r="M10" s="119">
        <v>5880</v>
      </c>
      <c r="N10" s="117"/>
      <c r="O10" s="117"/>
      <c r="P10" s="117"/>
      <c r="Q10" s="117"/>
      <c r="R10" s="117"/>
    </row>
    <row r="11" spans="1:18" ht="13.5" thickBot="1">
      <c r="A11" s="117"/>
      <c r="B11" s="119">
        <v>12180</v>
      </c>
      <c r="C11" s="117"/>
      <c r="D11" s="55"/>
      <c r="E11" s="116">
        <v>0</v>
      </c>
      <c r="F11" s="117"/>
      <c r="G11" s="117"/>
      <c r="H11" s="117"/>
      <c r="I11" s="117"/>
      <c r="J11" s="117"/>
      <c r="K11" s="117"/>
      <c r="L11" s="117"/>
      <c r="M11" s="119">
        <v>560000</v>
      </c>
      <c r="N11" s="117"/>
      <c r="O11" s="117"/>
      <c r="P11" s="117"/>
      <c r="Q11" s="117"/>
      <c r="R11" s="117"/>
    </row>
    <row r="12" spans="1:18" ht="13.5" thickBot="1">
      <c r="A12" s="117"/>
      <c r="B12" s="119">
        <v>7480</v>
      </c>
      <c r="C12" s="117"/>
      <c r="E12" s="119"/>
      <c r="F12" s="117"/>
      <c r="G12" s="117"/>
      <c r="H12" s="117"/>
      <c r="I12" s="117"/>
      <c r="J12" s="117"/>
      <c r="K12" s="117"/>
      <c r="L12" s="117"/>
      <c r="M12" s="119">
        <v>366000</v>
      </c>
      <c r="N12" s="117"/>
      <c r="O12" s="121">
        <v>800</v>
      </c>
      <c r="P12" s="117" t="s">
        <v>115</v>
      </c>
      <c r="Q12" s="117"/>
      <c r="R12" s="117"/>
    </row>
    <row r="13" spans="1:18" ht="13.5" thickBot="1">
      <c r="A13" s="117"/>
      <c r="B13" s="119">
        <v>0</v>
      </c>
      <c r="C13" s="117"/>
      <c r="E13" s="119"/>
      <c r="F13" s="117"/>
      <c r="G13" s="117"/>
      <c r="H13" s="117"/>
      <c r="I13" s="117"/>
      <c r="J13" s="117"/>
      <c r="K13" s="117"/>
      <c r="L13" s="117"/>
      <c r="M13" s="123">
        <v>4266640</v>
      </c>
      <c r="N13" s="117"/>
      <c r="O13" s="121">
        <v>5371361</v>
      </c>
      <c r="P13" s="117"/>
      <c r="Q13" s="117"/>
      <c r="R13" s="117"/>
    </row>
    <row r="14" spans="1:18" ht="13.5" thickBot="1">
      <c r="A14" s="117"/>
      <c r="B14" s="119">
        <v>0</v>
      </c>
      <c r="C14" s="117"/>
      <c r="E14" s="124"/>
      <c r="F14" s="117"/>
      <c r="G14" s="117"/>
      <c r="H14" s="117"/>
      <c r="I14" s="117"/>
      <c r="J14" s="117"/>
      <c r="K14" s="117"/>
      <c r="L14" s="117"/>
      <c r="M14" s="124">
        <v>8720</v>
      </c>
      <c r="N14" s="117"/>
      <c r="O14" s="121">
        <v>5370561</v>
      </c>
      <c r="P14" s="117" t="s">
        <v>179</v>
      </c>
      <c r="Q14" s="117"/>
      <c r="R14" s="117"/>
    </row>
    <row r="15" spans="1:18" ht="13.5" thickBot="1">
      <c r="A15" s="117"/>
      <c r="B15" s="122">
        <f>SUM(B4:B14)</f>
        <v>103160</v>
      </c>
      <c r="C15" s="117"/>
      <c r="E15" s="121"/>
      <c r="M15" s="121">
        <f>SUM(M4:M14)</f>
        <v>5363381</v>
      </c>
      <c r="N15" s="117" t="s">
        <v>177</v>
      </c>
      <c r="O15" s="117"/>
      <c r="P15" s="117"/>
      <c r="Q15" s="117"/>
      <c r="R15" s="117"/>
    </row>
    <row r="16" spans="1:18" ht="13.5" thickBot="1">
      <c r="A16" s="117"/>
      <c r="B16" s="119"/>
      <c r="C16" s="117"/>
      <c r="E16" s="123"/>
      <c r="M16" s="124"/>
      <c r="N16" s="117"/>
      <c r="O16" s="117"/>
      <c r="P16" s="117"/>
      <c r="Q16" s="117"/>
      <c r="R16" s="117"/>
    </row>
    <row r="17" spans="1:18" ht="13.5" thickBot="1">
      <c r="A17" s="117"/>
      <c r="B17" s="123"/>
      <c r="C17" s="117"/>
      <c r="E17" s="121"/>
      <c r="M17" s="121">
        <f>N7</f>
        <v>5371361</v>
      </c>
      <c r="N17" s="117" t="s">
        <v>179</v>
      </c>
      <c r="O17" s="117"/>
      <c r="P17" s="117"/>
      <c r="Q17" s="117"/>
      <c r="R17" s="117"/>
    </row>
    <row r="18" spans="1:6" ht="12.75">
      <c r="A18" s="117"/>
      <c r="B18" s="123"/>
      <c r="C18" s="117"/>
      <c r="F18" s="92"/>
    </row>
    <row r="19" spans="1:14" ht="12.75">
      <c r="A19" s="117"/>
      <c r="B19" s="123"/>
      <c r="C19" s="117"/>
      <c r="M19" s="182">
        <f>100*(M15/M17)</f>
        <v>99.8514343012879</v>
      </c>
      <c r="N19" s="180" t="s">
        <v>193</v>
      </c>
    </row>
    <row r="20" spans="1:21" ht="12.75">
      <c r="A20" s="117"/>
      <c r="B20" s="123"/>
      <c r="C20" s="117"/>
      <c r="N20" s="184" t="s">
        <v>178</v>
      </c>
      <c r="O20" s="183"/>
      <c r="P20" s="183"/>
      <c r="Q20" s="183"/>
      <c r="R20" s="183"/>
      <c r="S20" s="183"/>
      <c r="T20" s="183"/>
      <c r="U20" s="183"/>
    </row>
    <row r="21" spans="1:14" ht="12.75">
      <c r="A21" s="117"/>
      <c r="B21" s="123"/>
      <c r="C21" s="117"/>
      <c r="N21" s="169" t="s">
        <v>180</v>
      </c>
    </row>
    <row r="22" spans="1:3" ht="13.5" thickBot="1">
      <c r="A22" s="117"/>
      <c r="B22" s="124"/>
      <c r="C22" s="117"/>
    </row>
    <row r="23" spans="1:3" ht="13.5" thickBot="1">
      <c r="A23" s="117"/>
      <c r="B23" s="121"/>
      <c r="C23" s="117"/>
    </row>
    <row r="26" ht="12.75">
      <c r="A26" s="181" t="s">
        <v>182</v>
      </c>
    </row>
    <row r="27" ht="13.5" thickBot="1"/>
    <row r="28" spans="1:18" ht="13.5" thickBot="1">
      <c r="A28" s="53" t="s">
        <v>40</v>
      </c>
      <c r="B28" s="15" t="s">
        <v>0</v>
      </c>
      <c r="C28" s="16" t="s">
        <v>1</v>
      </c>
      <c r="D28" s="42" t="s">
        <v>2</v>
      </c>
      <c r="E28" s="43" t="s">
        <v>81</v>
      </c>
      <c r="F28" s="19" t="s">
        <v>4</v>
      </c>
      <c r="G28" s="20" t="s">
        <v>5</v>
      </c>
      <c r="H28" s="33" t="s">
        <v>6</v>
      </c>
      <c r="I28" s="109" t="s">
        <v>141</v>
      </c>
      <c r="J28" s="23" t="s">
        <v>8</v>
      </c>
      <c r="K28" s="24" t="s">
        <v>9</v>
      </c>
      <c r="L28" s="49" t="s">
        <v>14</v>
      </c>
      <c r="M28" s="1" t="s">
        <v>13</v>
      </c>
      <c r="N28" s="3" t="s">
        <v>11</v>
      </c>
      <c r="O28" s="50" t="s">
        <v>114</v>
      </c>
      <c r="P28" s="81" t="s">
        <v>113</v>
      </c>
      <c r="Q28" s="110" t="s">
        <v>142</v>
      </c>
      <c r="R28" s="111" t="s">
        <v>80</v>
      </c>
    </row>
    <row r="29" spans="1:18" ht="13.5" thickBot="1">
      <c r="A29" s="114"/>
      <c r="B29" s="115">
        <v>11780</v>
      </c>
      <c r="C29" s="116">
        <v>860</v>
      </c>
      <c r="D29" s="125">
        <v>7140</v>
      </c>
      <c r="E29" s="125">
        <v>3380</v>
      </c>
      <c r="F29" s="125">
        <v>7320</v>
      </c>
      <c r="G29" s="115">
        <v>0</v>
      </c>
      <c r="H29" s="116">
        <v>2680</v>
      </c>
      <c r="I29" s="121">
        <v>496740</v>
      </c>
      <c r="J29" s="121">
        <v>396000</v>
      </c>
      <c r="K29" s="114">
        <v>936660</v>
      </c>
      <c r="L29" s="116">
        <v>3480</v>
      </c>
      <c r="M29" s="132">
        <v>64540</v>
      </c>
      <c r="N29" s="135">
        <v>4030</v>
      </c>
      <c r="O29" s="116">
        <v>3380</v>
      </c>
      <c r="P29" s="127">
        <v>0</v>
      </c>
      <c r="Q29" s="121">
        <v>0</v>
      </c>
      <c r="R29" s="121">
        <v>0</v>
      </c>
    </row>
    <row r="30" spans="1:18" ht="13.5" thickBot="1">
      <c r="A30" s="117"/>
      <c r="B30" s="118">
        <v>10280</v>
      </c>
      <c r="C30" s="119"/>
      <c r="D30" s="126">
        <v>920</v>
      </c>
      <c r="E30" s="128">
        <v>4340</v>
      </c>
      <c r="F30" s="126">
        <v>5780</v>
      </c>
      <c r="G30" s="133">
        <v>0</v>
      </c>
      <c r="H30" s="119"/>
      <c r="I30" s="117"/>
      <c r="J30" s="117"/>
      <c r="K30" s="117"/>
      <c r="L30" s="119">
        <v>1980</v>
      </c>
      <c r="M30" s="126">
        <v>860</v>
      </c>
      <c r="N30" s="118">
        <v>5740</v>
      </c>
      <c r="O30" s="119">
        <v>1060</v>
      </c>
      <c r="P30" s="117"/>
      <c r="Q30" s="117"/>
      <c r="R30" s="117"/>
    </row>
    <row r="31" spans="1:18" ht="13.5" thickBot="1">
      <c r="A31" s="117"/>
      <c r="B31" s="118">
        <v>14040</v>
      </c>
      <c r="C31" s="119"/>
      <c r="D31" s="126">
        <v>0</v>
      </c>
      <c r="E31" s="129">
        <v>700</v>
      </c>
      <c r="F31" s="130">
        <v>0</v>
      </c>
      <c r="G31" s="114">
        <v>0</v>
      </c>
      <c r="H31" s="119"/>
      <c r="I31" s="117"/>
      <c r="J31" s="117"/>
      <c r="K31" s="117"/>
      <c r="L31" s="120">
        <v>0</v>
      </c>
      <c r="M31" s="126">
        <v>4030</v>
      </c>
      <c r="N31" s="133">
        <v>1928530</v>
      </c>
      <c r="O31" s="120">
        <v>1300</v>
      </c>
      <c r="P31" s="117"/>
      <c r="Q31" s="117"/>
      <c r="R31" s="117"/>
    </row>
    <row r="32" spans="1:18" ht="13.5" thickBot="1">
      <c r="A32" s="117"/>
      <c r="B32" s="118">
        <v>14540</v>
      </c>
      <c r="C32" s="119"/>
      <c r="D32" s="126">
        <v>0</v>
      </c>
      <c r="E32" s="130">
        <v>7160</v>
      </c>
      <c r="F32" s="121">
        <f>SUM(F29:F31)</f>
        <v>13100</v>
      </c>
      <c r="G32" s="117"/>
      <c r="H32" s="120"/>
      <c r="I32" s="117"/>
      <c r="J32" s="117"/>
      <c r="K32" s="117"/>
      <c r="L32" s="121">
        <f>SUM(L29:L31)</f>
        <v>5460</v>
      </c>
      <c r="M32" s="119">
        <v>8460</v>
      </c>
      <c r="N32" s="120">
        <f>SUM(N29:N31)</f>
        <v>1938300</v>
      </c>
      <c r="O32" s="121">
        <f>SUM(O29:O31)</f>
        <v>5740</v>
      </c>
      <c r="P32" s="117"/>
      <c r="Q32" s="117"/>
      <c r="R32" s="117"/>
    </row>
    <row r="33" spans="1:18" ht="13.5" thickBot="1">
      <c r="A33" s="117"/>
      <c r="B33" s="118">
        <v>13900</v>
      </c>
      <c r="C33" s="120"/>
      <c r="D33" s="127">
        <f>SUM(D29:D32)</f>
        <v>8060</v>
      </c>
      <c r="E33" s="117"/>
      <c r="F33" s="117"/>
      <c r="G33" s="117"/>
      <c r="H33" s="120">
        <v>2680</v>
      </c>
      <c r="I33" s="117"/>
      <c r="J33" s="117"/>
      <c r="K33" s="117"/>
      <c r="L33" s="117"/>
      <c r="M33" s="119">
        <v>13100</v>
      </c>
      <c r="N33" s="117"/>
      <c r="O33" s="117"/>
      <c r="P33" s="117"/>
      <c r="Q33" s="117"/>
      <c r="R33" s="117"/>
    </row>
    <row r="34" spans="1:18" ht="13.5" thickBot="1">
      <c r="A34" s="117"/>
      <c r="B34" s="119">
        <v>0</v>
      </c>
      <c r="C34" s="121">
        <v>860</v>
      </c>
      <c r="D34" s="121">
        <v>4030</v>
      </c>
      <c r="E34" s="117"/>
      <c r="F34" s="117"/>
      <c r="G34" s="117"/>
      <c r="H34" s="117"/>
      <c r="I34" s="117"/>
      <c r="J34" s="117"/>
      <c r="K34" s="117"/>
      <c r="L34" s="117"/>
      <c r="M34" s="119">
        <v>2680</v>
      </c>
      <c r="N34" s="117"/>
      <c r="O34" s="117"/>
      <c r="P34" s="117"/>
      <c r="Q34" s="117"/>
      <c r="R34" s="117"/>
    </row>
    <row r="35" spans="1:18" ht="13.5" thickBot="1">
      <c r="A35" s="117"/>
      <c r="B35" s="119">
        <v>0</v>
      </c>
      <c r="C35" s="117"/>
      <c r="D35" t="s">
        <v>71</v>
      </c>
      <c r="E35" s="131" t="s">
        <v>56</v>
      </c>
      <c r="F35" s="117"/>
      <c r="G35" s="117"/>
      <c r="H35" s="117"/>
      <c r="I35" s="117"/>
      <c r="J35" s="117"/>
      <c r="K35" s="117"/>
      <c r="L35" s="117"/>
      <c r="M35" s="119">
        <v>496740</v>
      </c>
      <c r="N35" s="117"/>
      <c r="O35" s="117"/>
      <c r="P35" s="117"/>
      <c r="Q35" s="117"/>
      <c r="R35" s="117"/>
    </row>
    <row r="36" spans="1:18" ht="13.5" thickBot="1">
      <c r="A36" s="117"/>
      <c r="B36" s="119">
        <v>0</v>
      </c>
      <c r="C36" s="117"/>
      <c r="D36" s="55"/>
      <c r="E36" s="116">
        <v>1300</v>
      </c>
      <c r="F36" s="117"/>
      <c r="G36" s="117"/>
      <c r="H36" s="117"/>
      <c r="I36" s="117"/>
      <c r="J36" s="117"/>
      <c r="K36" s="117"/>
      <c r="L36" s="117"/>
      <c r="M36" s="119">
        <v>396000</v>
      </c>
      <c r="N36" s="117"/>
      <c r="O36" s="117"/>
      <c r="P36" s="117"/>
      <c r="Q36" s="117"/>
      <c r="R36" s="117"/>
    </row>
    <row r="37" spans="1:18" ht="13.5" thickBot="1">
      <c r="A37" s="117"/>
      <c r="B37" s="119">
        <v>0</v>
      </c>
      <c r="C37" s="117"/>
      <c r="E37" s="119"/>
      <c r="F37" s="117"/>
      <c r="G37" s="117"/>
      <c r="H37" s="117"/>
      <c r="I37" s="117"/>
      <c r="J37" s="117"/>
      <c r="K37" s="117"/>
      <c r="L37" s="117"/>
      <c r="M37" s="119">
        <v>936660</v>
      </c>
      <c r="N37" s="117"/>
      <c r="O37" s="121">
        <v>5740</v>
      </c>
      <c r="P37" s="117" t="s">
        <v>115</v>
      </c>
      <c r="Q37" s="117"/>
      <c r="R37" s="117"/>
    </row>
    <row r="38" spans="1:18" ht="13.5" thickBot="1">
      <c r="A38" s="117"/>
      <c r="B38" s="119">
        <v>0</v>
      </c>
      <c r="C38" s="117"/>
      <c r="E38" s="119"/>
      <c r="F38" s="117"/>
      <c r="G38" s="117"/>
      <c r="H38" s="117"/>
      <c r="I38" s="117"/>
      <c r="J38" s="117"/>
      <c r="K38" s="117"/>
      <c r="L38" s="117"/>
      <c r="M38" s="123">
        <v>5460</v>
      </c>
      <c r="N38" s="117"/>
      <c r="O38" s="121">
        <v>1938300</v>
      </c>
      <c r="P38" s="117"/>
      <c r="Q38" s="117"/>
      <c r="R38" s="117"/>
    </row>
    <row r="39" spans="1:18" ht="13.5" thickBot="1">
      <c r="A39" s="117"/>
      <c r="B39" s="119">
        <v>0</v>
      </c>
      <c r="C39" s="117"/>
      <c r="E39" s="124"/>
      <c r="F39" s="117"/>
      <c r="G39" s="117"/>
      <c r="H39" s="117"/>
      <c r="I39" s="117"/>
      <c r="J39" s="117"/>
      <c r="K39" s="117"/>
      <c r="L39" s="117"/>
      <c r="M39" s="124">
        <v>0</v>
      </c>
      <c r="N39" s="117"/>
      <c r="O39" s="121">
        <v>1932560</v>
      </c>
      <c r="P39" s="117" t="s">
        <v>179</v>
      </c>
      <c r="Q39" s="117"/>
      <c r="R39" s="117"/>
    </row>
    <row r="40" spans="1:18" ht="13.5" thickBot="1">
      <c r="A40" s="117"/>
      <c r="B40" s="122">
        <f>SUM(B29:B39)</f>
        <v>64540</v>
      </c>
      <c r="C40" s="117"/>
      <c r="E40" s="121">
        <v>1300</v>
      </c>
      <c r="M40" s="121">
        <f>SUM(M29:M39)</f>
        <v>1928530</v>
      </c>
      <c r="N40" s="117" t="s">
        <v>177</v>
      </c>
      <c r="O40" s="117"/>
      <c r="P40" s="117"/>
      <c r="Q40" s="117"/>
      <c r="R40" s="117"/>
    </row>
    <row r="41" spans="1:18" ht="13.5" thickBot="1">
      <c r="A41" s="117"/>
      <c r="B41" s="119"/>
      <c r="C41" s="117"/>
      <c r="E41" s="123">
        <v>7160</v>
      </c>
      <c r="F41" s="28"/>
      <c r="M41" s="124"/>
      <c r="N41" s="117"/>
      <c r="O41" s="117"/>
      <c r="P41" s="117"/>
      <c r="Q41" s="117"/>
      <c r="R41" s="117"/>
    </row>
    <row r="42" spans="1:18" ht="13.5" thickBot="1">
      <c r="A42" s="117"/>
      <c r="B42" s="123"/>
      <c r="C42" s="117"/>
      <c r="E42" s="121">
        <f>SUM(E40:E41)</f>
        <v>8460</v>
      </c>
      <c r="M42" s="121">
        <f>N32</f>
        <v>1938300</v>
      </c>
      <c r="N42" s="117" t="s">
        <v>179</v>
      </c>
      <c r="O42" s="117"/>
      <c r="P42" s="117"/>
      <c r="Q42" s="117"/>
      <c r="R42" s="117"/>
    </row>
    <row r="43" spans="1:6" ht="12.75">
      <c r="A43" s="117"/>
      <c r="B43" s="123"/>
      <c r="C43" s="117"/>
      <c r="F43" s="92"/>
    </row>
    <row r="44" spans="1:14" ht="12.75">
      <c r="A44" s="117"/>
      <c r="B44" s="123"/>
      <c r="C44" s="117"/>
      <c r="M44" s="182">
        <f>100*(M40/M42)</f>
        <v>99.49595005933034</v>
      </c>
      <c r="N44" s="180" t="s">
        <v>193</v>
      </c>
    </row>
    <row r="45" spans="1:14" ht="12.75">
      <c r="A45" s="117"/>
      <c r="B45" s="123"/>
      <c r="C45" s="117"/>
      <c r="N45" s="184" t="s">
        <v>178</v>
      </c>
    </row>
    <row r="46" spans="1:14" ht="12.75">
      <c r="A46" s="117"/>
      <c r="B46" s="123"/>
      <c r="C46" s="117"/>
      <c r="N46" s="169" t="s">
        <v>180</v>
      </c>
    </row>
    <row r="47" spans="1:3" ht="13.5" thickBot="1">
      <c r="A47" s="117"/>
      <c r="B47" s="124"/>
      <c r="C47" s="117"/>
    </row>
    <row r="48" spans="1:3" ht="13.5" thickBot="1">
      <c r="A48" s="117"/>
      <c r="B48" s="121"/>
      <c r="C48" s="117"/>
    </row>
    <row r="50" ht="12.75">
      <c r="A50" s="181" t="s">
        <v>183</v>
      </c>
    </row>
    <row r="51" ht="13.5" thickBot="1"/>
    <row r="52" spans="1:18" ht="13.5" thickBot="1">
      <c r="A52" s="53" t="s">
        <v>40</v>
      </c>
      <c r="B52" s="15" t="s">
        <v>0</v>
      </c>
      <c r="C52" s="16" t="s">
        <v>1</v>
      </c>
      <c r="D52" s="42" t="s">
        <v>2</v>
      </c>
      <c r="E52" s="43" t="s">
        <v>81</v>
      </c>
      <c r="F52" s="19" t="s">
        <v>4</v>
      </c>
      <c r="G52" s="20" t="s">
        <v>5</v>
      </c>
      <c r="H52" s="33" t="s">
        <v>6</v>
      </c>
      <c r="I52" s="109" t="s">
        <v>141</v>
      </c>
      <c r="J52" s="23" t="s">
        <v>8</v>
      </c>
      <c r="K52" s="24" t="s">
        <v>9</v>
      </c>
      <c r="L52" s="49" t="s">
        <v>14</v>
      </c>
      <c r="M52" s="1" t="s">
        <v>13</v>
      </c>
      <c r="N52" s="3" t="s">
        <v>11</v>
      </c>
      <c r="O52" s="50" t="s">
        <v>114</v>
      </c>
      <c r="P52" s="81" t="s">
        <v>113</v>
      </c>
      <c r="Q52" s="110" t="s">
        <v>142</v>
      </c>
      <c r="R52" s="111" t="s">
        <v>80</v>
      </c>
    </row>
    <row r="53" spans="1:18" ht="13.5" thickBot="1">
      <c r="A53" s="114"/>
      <c r="B53" s="115">
        <v>12900</v>
      </c>
      <c r="C53" s="116">
        <v>2740</v>
      </c>
      <c r="D53" s="125">
        <v>10320</v>
      </c>
      <c r="E53" s="125">
        <v>1020</v>
      </c>
      <c r="F53" s="125">
        <v>9140</v>
      </c>
      <c r="G53" s="115">
        <v>2700</v>
      </c>
      <c r="H53" s="116">
        <v>4540</v>
      </c>
      <c r="I53" s="121">
        <v>663000</v>
      </c>
      <c r="J53" s="121">
        <v>280080</v>
      </c>
      <c r="K53" s="114">
        <v>2385380</v>
      </c>
      <c r="L53" s="116">
        <v>4380</v>
      </c>
      <c r="M53" s="132">
        <v>110420</v>
      </c>
      <c r="N53" s="135">
        <v>4740</v>
      </c>
      <c r="O53" s="116">
        <v>0</v>
      </c>
      <c r="P53" s="127">
        <v>0</v>
      </c>
      <c r="Q53" s="121">
        <v>0</v>
      </c>
      <c r="R53" s="121">
        <v>0</v>
      </c>
    </row>
    <row r="54" spans="1:18" ht="13.5" thickBot="1">
      <c r="A54" s="117"/>
      <c r="B54" s="118">
        <v>11300</v>
      </c>
      <c r="C54" s="119">
        <v>3040</v>
      </c>
      <c r="D54" s="126"/>
      <c r="E54" s="128">
        <v>3720</v>
      </c>
      <c r="F54" s="126">
        <v>9620</v>
      </c>
      <c r="G54" s="133"/>
      <c r="H54" s="119">
        <v>0</v>
      </c>
      <c r="I54" s="117"/>
      <c r="J54" s="117"/>
      <c r="K54" s="117"/>
      <c r="L54" s="119">
        <v>4880</v>
      </c>
      <c r="M54" s="126">
        <v>8300</v>
      </c>
      <c r="N54" s="118">
        <v>3492340</v>
      </c>
      <c r="O54" s="119"/>
      <c r="P54" s="117"/>
      <c r="Q54" s="117"/>
      <c r="R54" s="117"/>
    </row>
    <row r="55" spans="1:18" ht="13.5" thickBot="1">
      <c r="A55" s="117"/>
      <c r="B55" s="118">
        <v>10020</v>
      </c>
      <c r="C55" s="119">
        <v>2520</v>
      </c>
      <c r="D55" s="126"/>
      <c r="E55" s="129">
        <v>0</v>
      </c>
      <c r="F55" s="130">
        <v>0</v>
      </c>
      <c r="G55" s="114">
        <v>2700</v>
      </c>
      <c r="H55" s="119">
        <v>0</v>
      </c>
      <c r="I55" s="117"/>
      <c r="J55" s="117"/>
      <c r="K55" s="117"/>
      <c r="L55" s="120">
        <v>0</v>
      </c>
      <c r="M55" s="126">
        <v>5160</v>
      </c>
      <c r="N55" s="133">
        <v>0</v>
      </c>
      <c r="O55" s="120"/>
      <c r="P55" s="117"/>
      <c r="Q55" s="117"/>
      <c r="R55" s="117"/>
    </row>
    <row r="56" spans="1:18" ht="13.5" thickBot="1">
      <c r="A56" s="117"/>
      <c r="B56" s="118">
        <v>14140</v>
      </c>
      <c r="C56" s="119">
        <v>0</v>
      </c>
      <c r="D56" s="126"/>
      <c r="E56" s="130">
        <f>SUM(E53:E55)</f>
        <v>4740</v>
      </c>
      <c r="F56" s="121">
        <f>SUM(F53:F55)</f>
        <v>18760</v>
      </c>
      <c r="G56" s="117"/>
      <c r="H56" s="120">
        <v>0</v>
      </c>
      <c r="I56" s="117"/>
      <c r="J56" s="117"/>
      <c r="K56" s="117"/>
      <c r="L56" s="121">
        <f>SUM(L53:L55)</f>
        <v>9260</v>
      </c>
      <c r="M56" s="119">
        <v>4740</v>
      </c>
      <c r="N56" s="120">
        <f>SUM(N53:N55)</f>
        <v>3497080</v>
      </c>
      <c r="O56" s="121">
        <v>0</v>
      </c>
      <c r="P56" s="117"/>
      <c r="Q56" s="117"/>
      <c r="R56" s="117"/>
    </row>
    <row r="57" spans="1:18" ht="13.5" thickBot="1">
      <c r="A57" s="117"/>
      <c r="B57" s="118">
        <v>13620</v>
      </c>
      <c r="C57" s="120">
        <v>0</v>
      </c>
      <c r="D57" s="127">
        <v>10320</v>
      </c>
      <c r="E57" s="117"/>
      <c r="F57" s="117"/>
      <c r="G57" s="117"/>
      <c r="H57" s="120">
        <v>4540</v>
      </c>
      <c r="I57" s="117"/>
      <c r="J57" s="117"/>
      <c r="K57" s="117"/>
      <c r="L57" s="117"/>
      <c r="M57" s="119">
        <v>18760</v>
      </c>
      <c r="N57" s="117"/>
      <c r="O57" s="117"/>
      <c r="P57" s="117"/>
      <c r="Q57" s="117"/>
      <c r="R57" s="117"/>
    </row>
    <row r="58" spans="1:18" ht="13.5" thickBot="1">
      <c r="A58" s="117"/>
      <c r="B58" s="119">
        <v>13600</v>
      </c>
      <c r="C58" s="121">
        <f>SUM(C53:C57)</f>
        <v>8300</v>
      </c>
      <c r="D58" s="121">
        <v>5160</v>
      </c>
      <c r="E58" s="117"/>
      <c r="F58" s="117"/>
      <c r="G58" s="117"/>
      <c r="H58" s="117"/>
      <c r="I58" s="117"/>
      <c r="J58" s="117"/>
      <c r="K58" s="117"/>
      <c r="L58" s="117"/>
      <c r="M58" s="119">
        <v>2700</v>
      </c>
      <c r="N58" s="117"/>
      <c r="O58" s="117"/>
      <c r="P58" s="117"/>
      <c r="Q58" s="117"/>
      <c r="R58" s="117"/>
    </row>
    <row r="59" spans="1:18" ht="13.5" thickBot="1">
      <c r="A59" s="117"/>
      <c r="B59" s="119">
        <v>9480</v>
      </c>
      <c r="C59" s="117"/>
      <c r="D59" t="s">
        <v>71</v>
      </c>
      <c r="E59" s="131" t="s">
        <v>56</v>
      </c>
      <c r="F59" s="117"/>
      <c r="G59" s="117"/>
      <c r="H59" s="117"/>
      <c r="I59" s="117"/>
      <c r="J59" s="117"/>
      <c r="K59" s="117"/>
      <c r="L59" s="117"/>
      <c r="M59" s="119">
        <v>4540</v>
      </c>
      <c r="N59" s="117"/>
      <c r="O59" s="117"/>
      <c r="P59" s="117"/>
      <c r="Q59" s="117"/>
      <c r="R59" s="117"/>
    </row>
    <row r="60" spans="1:18" ht="13.5" thickBot="1">
      <c r="A60" s="117"/>
      <c r="B60" s="119">
        <v>12320</v>
      </c>
      <c r="C60" s="117"/>
      <c r="D60" s="55"/>
      <c r="E60" s="116">
        <v>0</v>
      </c>
      <c r="F60" s="117"/>
      <c r="G60" s="117"/>
      <c r="H60" s="117"/>
      <c r="I60" s="117"/>
      <c r="J60" s="117"/>
      <c r="K60" s="117"/>
      <c r="L60" s="117"/>
      <c r="M60" s="119">
        <v>9260</v>
      </c>
      <c r="N60" s="117"/>
      <c r="O60" s="117"/>
      <c r="P60" s="117"/>
      <c r="Q60" s="117"/>
      <c r="R60" s="117"/>
    </row>
    <row r="61" spans="1:18" ht="13.5" thickBot="1">
      <c r="A61" s="117"/>
      <c r="B61" s="119">
        <v>13040</v>
      </c>
      <c r="C61" s="117"/>
      <c r="E61" s="119"/>
      <c r="F61" s="117"/>
      <c r="G61" s="117"/>
      <c r="H61" s="117"/>
      <c r="I61" s="117"/>
      <c r="J61" s="117"/>
      <c r="K61" s="117"/>
      <c r="L61" s="117"/>
      <c r="M61" s="119">
        <v>663000</v>
      </c>
      <c r="N61" s="117"/>
      <c r="O61" s="121">
        <v>0</v>
      </c>
      <c r="P61" s="117" t="s">
        <v>115</v>
      </c>
      <c r="Q61" s="117"/>
      <c r="R61" s="117"/>
    </row>
    <row r="62" spans="1:18" ht="13.5" thickBot="1">
      <c r="A62" s="117"/>
      <c r="B62" s="119">
        <v>0</v>
      </c>
      <c r="C62" s="117"/>
      <c r="E62" s="119"/>
      <c r="F62" s="117"/>
      <c r="G62" s="117"/>
      <c r="H62" s="117"/>
      <c r="I62" s="117"/>
      <c r="J62" s="117"/>
      <c r="K62" s="117"/>
      <c r="L62" s="117"/>
      <c r="M62" s="123">
        <v>280080</v>
      </c>
      <c r="N62" s="117"/>
      <c r="O62" s="121"/>
      <c r="P62" s="117"/>
      <c r="Q62" s="117"/>
      <c r="R62" s="117"/>
    </row>
    <row r="63" spans="1:18" ht="13.5" thickBot="1">
      <c r="A63" s="117"/>
      <c r="B63" s="119">
        <v>0</v>
      </c>
      <c r="C63" s="117"/>
      <c r="E63" s="124"/>
      <c r="F63" s="117"/>
      <c r="G63" s="117"/>
      <c r="H63" s="117"/>
      <c r="I63" s="117"/>
      <c r="J63" s="117"/>
      <c r="K63" s="117"/>
      <c r="L63" s="117"/>
      <c r="M63" s="124">
        <v>2385380</v>
      </c>
      <c r="N63" s="117"/>
      <c r="O63" s="121">
        <v>3497080</v>
      </c>
      <c r="P63" s="117" t="s">
        <v>179</v>
      </c>
      <c r="Q63" s="117"/>
      <c r="R63" s="117"/>
    </row>
    <row r="64" spans="1:18" ht="13.5" thickBot="1">
      <c r="A64" s="117"/>
      <c r="B64" s="122">
        <f>SUM(B53:B63)</f>
        <v>110420</v>
      </c>
      <c r="C64" s="117"/>
      <c r="E64" s="121"/>
      <c r="M64" s="121">
        <f>SUM(M53:M63)</f>
        <v>3492340</v>
      </c>
      <c r="N64" s="117" t="s">
        <v>177</v>
      </c>
      <c r="O64" s="117"/>
      <c r="P64" s="117"/>
      <c r="Q64" s="117"/>
      <c r="R64" s="117"/>
    </row>
    <row r="65" spans="1:18" ht="13.5" thickBot="1">
      <c r="A65" s="117"/>
      <c r="B65" s="119"/>
      <c r="C65" s="117"/>
      <c r="E65" s="123"/>
      <c r="F65" s="28"/>
      <c r="M65" s="124"/>
      <c r="N65" s="117"/>
      <c r="O65" s="117"/>
      <c r="P65" s="117"/>
      <c r="Q65" s="117"/>
      <c r="R65" s="117"/>
    </row>
    <row r="66" spans="1:18" ht="13.5" thickBot="1">
      <c r="A66" s="117"/>
      <c r="B66" s="123"/>
      <c r="C66" s="117"/>
      <c r="E66" s="121">
        <v>4740</v>
      </c>
      <c r="M66" s="121">
        <v>3497080</v>
      </c>
      <c r="N66" s="117" t="s">
        <v>179</v>
      </c>
      <c r="O66" s="117"/>
      <c r="P66" s="117"/>
      <c r="Q66" s="117"/>
      <c r="R66" s="117"/>
    </row>
    <row r="67" spans="1:6" ht="12.75">
      <c r="A67" s="117"/>
      <c r="B67" s="123"/>
      <c r="C67" s="117"/>
      <c r="F67" s="92"/>
    </row>
    <row r="68" spans="1:14" ht="12.75">
      <c r="A68" s="117"/>
      <c r="B68" s="123"/>
      <c r="C68" s="117"/>
      <c r="M68" s="182">
        <f>100*(M64/M66)</f>
        <v>99.86445834810756</v>
      </c>
      <c r="N68" s="180" t="s">
        <v>193</v>
      </c>
    </row>
    <row r="69" spans="1:14" ht="12.75">
      <c r="A69" s="117"/>
      <c r="B69" s="123"/>
      <c r="C69" s="117"/>
      <c r="N69" s="184" t="s">
        <v>178</v>
      </c>
    </row>
    <row r="70" spans="1:14" ht="12.75">
      <c r="A70" s="117"/>
      <c r="B70" s="123"/>
      <c r="C70" s="117"/>
      <c r="N70" s="169" t="s">
        <v>180</v>
      </c>
    </row>
    <row r="71" spans="1:3" ht="13.5" thickBot="1">
      <c r="A71" s="117"/>
      <c r="B71" s="124"/>
      <c r="C71" s="117"/>
    </row>
    <row r="72" spans="1:3" ht="13.5" thickBot="1">
      <c r="A72" s="117"/>
      <c r="B72" s="121"/>
      <c r="C72" s="117"/>
    </row>
    <row r="74" ht="12.75">
      <c r="A74" s="28" t="s">
        <v>184</v>
      </c>
    </row>
    <row r="75" ht="13.5" thickBot="1"/>
    <row r="76" spans="1:18" ht="13.5" thickBot="1">
      <c r="A76" s="53" t="s">
        <v>40</v>
      </c>
      <c r="B76" s="15" t="s">
        <v>0</v>
      </c>
      <c r="C76" s="16" t="s">
        <v>1</v>
      </c>
      <c r="D76" s="42" t="s">
        <v>2</v>
      </c>
      <c r="E76" s="43" t="s">
        <v>81</v>
      </c>
      <c r="F76" s="19" t="s">
        <v>4</v>
      </c>
      <c r="G76" s="20" t="s">
        <v>5</v>
      </c>
      <c r="H76" s="33" t="s">
        <v>6</v>
      </c>
      <c r="I76" s="109" t="s">
        <v>141</v>
      </c>
      <c r="J76" s="23" t="s">
        <v>8</v>
      </c>
      <c r="K76" s="24" t="s">
        <v>9</v>
      </c>
      <c r="L76" s="49" t="s">
        <v>14</v>
      </c>
      <c r="M76" s="1" t="s">
        <v>13</v>
      </c>
      <c r="N76" s="3" t="s">
        <v>11</v>
      </c>
      <c r="O76" s="50" t="s">
        <v>114</v>
      </c>
      <c r="P76" s="81" t="s">
        <v>113</v>
      </c>
      <c r="Q76" s="110" t="s">
        <v>142</v>
      </c>
      <c r="R76" s="111" t="s">
        <v>80</v>
      </c>
    </row>
    <row r="77" spans="1:18" ht="13.5" thickBot="1">
      <c r="A77" s="114"/>
      <c r="B77" s="115">
        <v>13160</v>
      </c>
      <c r="C77" s="115">
        <v>3240</v>
      </c>
      <c r="D77" s="116">
        <v>4100</v>
      </c>
      <c r="E77" s="125">
        <v>2800</v>
      </c>
      <c r="F77" s="125">
        <v>10760</v>
      </c>
      <c r="G77" s="115">
        <v>5040</v>
      </c>
      <c r="H77" s="116">
        <v>2820</v>
      </c>
      <c r="I77" s="121">
        <v>551140</v>
      </c>
      <c r="J77" s="121">
        <v>505000</v>
      </c>
      <c r="K77" s="114">
        <v>2450230</v>
      </c>
      <c r="L77" s="116">
        <v>5160</v>
      </c>
      <c r="M77" s="132">
        <v>78680</v>
      </c>
      <c r="N77" s="135">
        <v>3654205</v>
      </c>
      <c r="O77" s="116">
        <v>1160</v>
      </c>
      <c r="P77" s="127">
        <v>0</v>
      </c>
      <c r="Q77" s="121">
        <v>0</v>
      </c>
      <c r="R77" s="121">
        <v>0</v>
      </c>
    </row>
    <row r="78" spans="1:18" ht="13.5" thickBot="1">
      <c r="A78" s="117"/>
      <c r="B78" s="118">
        <v>11840</v>
      </c>
      <c r="C78" s="118">
        <v>2860</v>
      </c>
      <c r="D78" s="119">
        <v>5320</v>
      </c>
      <c r="E78" s="128">
        <v>3700</v>
      </c>
      <c r="F78" s="126">
        <v>10540</v>
      </c>
      <c r="G78" s="133">
        <v>2340</v>
      </c>
      <c r="H78" s="119"/>
      <c r="I78" s="117"/>
      <c r="J78" s="117"/>
      <c r="K78" s="117"/>
      <c r="L78" s="119"/>
      <c r="M78" s="126">
        <v>8420</v>
      </c>
      <c r="N78" s="118">
        <v>1160</v>
      </c>
      <c r="O78" s="119"/>
      <c r="P78" s="117"/>
      <c r="Q78" s="117"/>
      <c r="R78" s="117"/>
    </row>
    <row r="79" spans="1:18" ht="13.5" thickBot="1">
      <c r="A79" s="117"/>
      <c r="B79" s="118">
        <v>11200</v>
      </c>
      <c r="C79" s="118">
        <v>2320</v>
      </c>
      <c r="D79" s="119">
        <v>9120</v>
      </c>
      <c r="E79" s="129">
        <v>0</v>
      </c>
      <c r="F79" s="130">
        <v>0</v>
      </c>
      <c r="G79" s="114">
        <f>SUM(G77:G78)</f>
        <v>7380</v>
      </c>
      <c r="H79" s="119"/>
      <c r="I79" s="117"/>
      <c r="J79" s="117"/>
      <c r="K79" s="117"/>
      <c r="L79" s="120"/>
      <c r="M79" s="126">
        <v>26362</v>
      </c>
      <c r="N79" s="133">
        <v>8788</v>
      </c>
      <c r="O79" s="120"/>
      <c r="P79" s="117"/>
      <c r="Q79" s="117"/>
      <c r="R79" s="117"/>
    </row>
    <row r="80" spans="1:18" ht="13.5" thickBot="1">
      <c r="A80" s="117"/>
      <c r="B80" s="118">
        <v>12780</v>
      </c>
      <c r="C80" s="118">
        <v>0</v>
      </c>
      <c r="D80" s="119">
        <v>7950</v>
      </c>
      <c r="E80" s="130">
        <f>SUM(E77:E79)</f>
        <v>6500</v>
      </c>
      <c r="F80" s="121">
        <f>SUM(F77:F79)</f>
        <v>21300</v>
      </c>
      <c r="G80" s="117"/>
      <c r="H80" s="120"/>
      <c r="I80" s="117"/>
      <c r="J80" s="117"/>
      <c r="K80" s="117"/>
      <c r="L80" s="121">
        <v>5160</v>
      </c>
      <c r="M80" s="119">
        <v>6500</v>
      </c>
      <c r="N80" s="120">
        <f>SUM(N77:N79)</f>
        <v>3664153</v>
      </c>
      <c r="O80" s="121"/>
      <c r="P80" s="117"/>
      <c r="Q80" s="117"/>
      <c r="R80" s="117"/>
    </row>
    <row r="81" spans="1:18" ht="13.5" thickBot="1">
      <c r="A81" s="117"/>
      <c r="B81" s="118">
        <v>11580</v>
      </c>
      <c r="C81" s="133">
        <v>0</v>
      </c>
      <c r="D81" s="120">
        <v>8660</v>
      </c>
      <c r="E81" s="117"/>
      <c r="F81" s="117"/>
      <c r="G81" s="117"/>
      <c r="H81" s="120">
        <v>2820</v>
      </c>
      <c r="I81" s="117"/>
      <c r="J81" s="117"/>
      <c r="K81" s="117"/>
      <c r="L81" s="117"/>
      <c r="M81" s="119">
        <v>21300</v>
      </c>
      <c r="N81" s="117"/>
      <c r="O81" s="117"/>
      <c r="P81" s="117"/>
      <c r="Q81" s="117"/>
      <c r="R81" s="117"/>
    </row>
    <row r="82" spans="1:18" ht="13.5" thickBot="1">
      <c r="A82" s="117"/>
      <c r="B82" s="119">
        <v>8760</v>
      </c>
      <c r="C82" s="121">
        <f>SUM(C77:C81)</f>
        <v>8420</v>
      </c>
      <c r="D82" s="120">
        <f>SUM(D77:D81)</f>
        <v>35150</v>
      </c>
      <c r="E82" s="117"/>
      <c r="F82" s="117"/>
      <c r="G82" s="117"/>
      <c r="H82" s="117"/>
      <c r="I82" s="117"/>
      <c r="J82" s="117"/>
      <c r="K82" s="117"/>
      <c r="L82" s="117"/>
      <c r="M82" s="119">
        <v>7380</v>
      </c>
      <c r="N82" s="117"/>
      <c r="O82" s="117"/>
      <c r="P82" s="117"/>
      <c r="Q82" s="117"/>
      <c r="R82" s="117"/>
    </row>
    <row r="83" spans="1:18" ht="13.5" thickBot="1">
      <c r="A83" s="117"/>
      <c r="B83" s="119">
        <v>9360</v>
      </c>
      <c r="C83" s="117"/>
      <c r="D83" t="s">
        <v>153</v>
      </c>
      <c r="E83" s="131" t="s">
        <v>56</v>
      </c>
      <c r="F83" s="117"/>
      <c r="G83" s="117"/>
      <c r="H83" s="117"/>
      <c r="I83" s="117"/>
      <c r="J83" s="117"/>
      <c r="K83" s="117"/>
      <c r="L83" s="117"/>
      <c r="M83" s="119">
        <v>2820</v>
      </c>
      <c r="N83" s="117"/>
      <c r="O83" s="117"/>
      <c r="P83" s="117"/>
      <c r="Q83" s="117"/>
      <c r="R83" s="117"/>
    </row>
    <row r="84" spans="1:18" ht="13.5" thickBot="1">
      <c r="A84" s="117"/>
      <c r="B84" s="119">
        <v>0</v>
      </c>
      <c r="C84" s="117"/>
      <c r="D84" s="121">
        <v>8788</v>
      </c>
      <c r="E84" s="116"/>
      <c r="F84" s="117"/>
      <c r="G84" s="117"/>
      <c r="H84" s="117"/>
      <c r="I84" s="117"/>
      <c r="J84" s="117"/>
      <c r="K84" s="117"/>
      <c r="L84" s="117"/>
      <c r="M84" s="119">
        <v>551140</v>
      </c>
      <c r="N84" s="117"/>
      <c r="O84" s="117"/>
      <c r="P84" s="117"/>
      <c r="Q84" s="117"/>
      <c r="R84" s="117"/>
    </row>
    <row r="85" spans="1:18" ht="13.5" thickBot="1">
      <c r="A85" s="117"/>
      <c r="B85" s="119">
        <v>0</v>
      </c>
      <c r="C85" s="117"/>
      <c r="E85" s="119"/>
      <c r="F85" s="117"/>
      <c r="G85" s="117"/>
      <c r="H85" s="117"/>
      <c r="I85" s="117"/>
      <c r="J85" s="117"/>
      <c r="K85" s="117"/>
      <c r="L85" s="117"/>
      <c r="M85" s="119">
        <v>505000</v>
      </c>
      <c r="N85" s="117"/>
      <c r="O85" s="121">
        <v>3664153</v>
      </c>
      <c r="P85" s="117"/>
      <c r="Q85" s="117"/>
      <c r="R85" s="117"/>
    </row>
    <row r="86" spans="1:18" ht="13.5" thickBot="1">
      <c r="A86" s="117"/>
      <c r="B86" s="119">
        <v>0</v>
      </c>
      <c r="C86" s="117"/>
      <c r="E86" s="119"/>
      <c r="F86" s="117"/>
      <c r="G86" s="117"/>
      <c r="H86" s="117"/>
      <c r="I86" s="117"/>
      <c r="J86" s="117"/>
      <c r="K86" s="117"/>
      <c r="L86" s="117"/>
      <c r="M86" s="123">
        <v>2450230</v>
      </c>
      <c r="N86" s="117"/>
      <c r="O86" s="121">
        <v>8788</v>
      </c>
      <c r="P86" s="117"/>
      <c r="Q86" s="117"/>
      <c r="R86" s="117"/>
    </row>
    <row r="87" spans="1:18" ht="13.5" thickBot="1">
      <c r="A87" s="117"/>
      <c r="B87" s="119">
        <v>0</v>
      </c>
      <c r="C87" s="117"/>
      <c r="E87" s="124"/>
      <c r="F87" s="117"/>
      <c r="G87" s="117"/>
      <c r="H87" s="117"/>
      <c r="I87" s="117"/>
      <c r="J87" s="117"/>
      <c r="K87" s="117"/>
      <c r="L87" s="117"/>
      <c r="M87" s="124">
        <v>5160</v>
      </c>
      <c r="N87" s="117"/>
      <c r="O87" s="121">
        <v>3655365</v>
      </c>
      <c r="P87" s="117" t="s">
        <v>179</v>
      </c>
      <c r="Q87" s="117"/>
      <c r="R87" s="117"/>
    </row>
    <row r="88" spans="1:18" ht="13.5" thickBot="1">
      <c r="A88" s="117"/>
      <c r="B88" s="122">
        <f>SUM(B77:B87)</f>
        <v>78680</v>
      </c>
      <c r="C88" s="117"/>
      <c r="E88" s="121"/>
      <c r="M88" s="121">
        <f>SUM(M77:M87)</f>
        <v>3662992</v>
      </c>
      <c r="N88" s="117" t="s">
        <v>177</v>
      </c>
      <c r="O88" s="117"/>
      <c r="P88" s="117"/>
      <c r="Q88" s="117"/>
      <c r="R88" s="117"/>
    </row>
    <row r="89" spans="1:18" ht="13.5" thickBot="1">
      <c r="A89" s="117"/>
      <c r="B89" s="119"/>
      <c r="C89" s="117"/>
      <c r="E89" s="123"/>
      <c r="F89" s="28"/>
      <c r="M89" s="124"/>
      <c r="N89" s="117"/>
      <c r="O89" s="117"/>
      <c r="P89" s="117"/>
      <c r="Q89" s="117"/>
      <c r="R89" s="117"/>
    </row>
    <row r="90" spans="1:18" ht="13.5" thickBot="1">
      <c r="A90" s="117"/>
      <c r="B90" s="123"/>
      <c r="C90" s="117"/>
      <c r="E90" s="121"/>
      <c r="M90" s="121">
        <f>N80</f>
        <v>3664153</v>
      </c>
      <c r="N90" s="117" t="s">
        <v>179</v>
      </c>
      <c r="O90" s="117"/>
      <c r="P90" s="117"/>
      <c r="Q90" s="117"/>
      <c r="R90" s="117"/>
    </row>
    <row r="91" spans="1:6" ht="12.75">
      <c r="A91" s="117"/>
      <c r="B91" s="123"/>
      <c r="C91" s="117"/>
      <c r="F91" s="92"/>
    </row>
    <row r="92" spans="1:14" ht="12.75">
      <c r="A92" s="117"/>
      <c r="B92" s="123"/>
      <c r="C92" t="s">
        <v>152</v>
      </c>
      <c r="M92" s="182">
        <f>100*(M88/M90)</f>
        <v>99.96831464188313</v>
      </c>
      <c r="N92" s="180" t="s">
        <v>193</v>
      </c>
    </row>
    <row r="93" spans="1:14" ht="12.75">
      <c r="A93" s="117"/>
      <c r="B93" s="123"/>
      <c r="C93" s="117"/>
      <c r="N93" s="184" t="s">
        <v>178</v>
      </c>
    </row>
    <row r="94" spans="1:14" ht="12.75">
      <c r="A94" s="117"/>
      <c r="B94" s="123"/>
      <c r="C94" s="117"/>
      <c r="N94" s="169" t="s">
        <v>180</v>
      </c>
    </row>
    <row r="95" spans="1:3" ht="13.5" thickBot="1">
      <c r="A95" s="117"/>
      <c r="B95" s="124"/>
      <c r="C95" s="117"/>
    </row>
    <row r="96" spans="1:3" ht="13.5" thickBot="1">
      <c r="A96" s="117"/>
      <c r="B96" s="121"/>
      <c r="C96" s="117"/>
    </row>
    <row r="98" ht="12.75">
      <c r="A98" s="181" t="s">
        <v>185</v>
      </c>
    </row>
    <row r="99" ht="13.5" thickBot="1"/>
    <row r="100" spans="1:18" ht="13.5" thickBot="1">
      <c r="A100" s="53" t="s">
        <v>40</v>
      </c>
      <c r="B100" s="15" t="s">
        <v>0</v>
      </c>
      <c r="C100" s="16" t="s">
        <v>1</v>
      </c>
      <c r="D100" s="42" t="s">
        <v>2</v>
      </c>
      <c r="E100" s="43" t="s">
        <v>81</v>
      </c>
      <c r="F100" s="19" t="s">
        <v>4</v>
      </c>
      <c r="G100" s="20" t="s">
        <v>5</v>
      </c>
      <c r="H100" s="33" t="s">
        <v>6</v>
      </c>
      <c r="I100" s="109" t="s">
        <v>141</v>
      </c>
      <c r="J100" s="23" t="s">
        <v>8</v>
      </c>
      <c r="K100" s="24" t="s">
        <v>9</v>
      </c>
      <c r="L100" s="49" t="s">
        <v>14</v>
      </c>
      <c r="M100" s="1" t="s">
        <v>13</v>
      </c>
      <c r="N100" s="3" t="s">
        <v>11</v>
      </c>
      <c r="O100" s="50" t="s">
        <v>114</v>
      </c>
      <c r="P100" s="81" t="s">
        <v>113</v>
      </c>
      <c r="Q100" s="110" t="s">
        <v>142</v>
      </c>
      <c r="R100" s="111" t="s">
        <v>80</v>
      </c>
    </row>
    <row r="101" spans="1:18" ht="13.5" thickBot="1">
      <c r="A101" s="114"/>
      <c r="B101" s="115">
        <v>12020</v>
      </c>
      <c r="C101" s="116">
        <v>3040</v>
      </c>
      <c r="D101" s="125">
        <v>920</v>
      </c>
      <c r="E101" s="125">
        <v>520</v>
      </c>
      <c r="F101" s="138">
        <v>9420</v>
      </c>
      <c r="G101" s="116">
        <v>2540</v>
      </c>
      <c r="H101" s="125">
        <v>2900</v>
      </c>
      <c r="I101" s="121">
        <v>571400</v>
      </c>
      <c r="J101" s="121">
        <v>530000</v>
      </c>
      <c r="K101" s="114">
        <v>2984760</v>
      </c>
      <c r="L101" s="116">
        <v>6940</v>
      </c>
      <c r="M101" s="132">
        <v>107800</v>
      </c>
      <c r="N101" s="135">
        <v>4242152</v>
      </c>
      <c r="O101" s="116">
        <v>880</v>
      </c>
      <c r="P101" s="127">
        <v>2280</v>
      </c>
      <c r="Q101" s="121">
        <v>0</v>
      </c>
      <c r="R101" s="121">
        <v>0</v>
      </c>
    </row>
    <row r="102" spans="1:18" ht="12.75">
      <c r="A102" s="117"/>
      <c r="B102" s="118">
        <v>12420</v>
      </c>
      <c r="C102" s="119">
        <v>1680</v>
      </c>
      <c r="D102" s="126">
        <v>8880</v>
      </c>
      <c r="E102" s="128">
        <v>3780</v>
      </c>
      <c r="F102" s="137">
        <v>10460</v>
      </c>
      <c r="G102" s="119">
        <v>2012</v>
      </c>
      <c r="H102" s="126"/>
      <c r="I102" s="117"/>
      <c r="J102" s="117"/>
      <c r="K102" s="117"/>
      <c r="L102" s="119"/>
      <c r="M102" s="126">
        <v>6980</v>
      </c>
      <c r="N102" s="118">
        <v>4900</v>
      </c>
      <c r="O102" s="119">
        <v>260</v>
      </c>
      <c r="P102" s="117"/>
      <c r="Q102" s="117"/>
      <c r="R102" s="117"/>
    </row>
    <row r="103" spans="1:18" ht="13.5" thickBot="1">
      <c r="A103" s="117"/>
      <c r="B103" s="118">
        <v>15140</v>
      </c>
      <c r="C103" s="119">
        <v>2260</v>
      </c>
      <c r="D103" s="126">
        <v>0</v>
      </c>
      <c r="E103" s="129">
        <v>0</v>
      </c>
      <c r="F103" s="136">
        <v>0</v>
      </c>
      <c r="G103" s="120">
        <v>2400</v>
      </c>
      <c r="H103" s="126"/>
      <c r="I103" s="117"/>
      <c r="J103" s="117"/>
      <c r="K103" s="117"/>
      <c r="L103" s="120"/>
      <c r="M103" s="126">
        <v>4900</v>
      </c>
      <c r="N103" s="133">
        <v>1140</v>
      </c>
      <c r="O103" s="120">
        <v>0</v>
      </c>
      <c r="P103" s="117"/>
      <c r="Q103" s="117"/>
      <c r="R103" s="117"/>
    </row>
    <row r="104" spans="1:18" ht="13.5" thickBot="1">
      <c r="A104" s="117"/>
      <c r="B104" s="118">
        <v>14600</v>
      </c>
      <c r="C104" s="119">
        <v>0</v>
      </c>
      <c r="D104" s="126">
        <v>0</v>
      </c>
      <c r="E104" s="130">
        <f>SUM(E101:E103)</f>
        <v>4300</v>
      </c>
      <c r="F104" s="121">
        <f>SUM(F101:F103)</f>
        <v>19880</v>
      </c>
      <c r="G104" s="121">
        <f>SUM(G101:G103)</f>
        <v>6952</v>
      </c>
      <c r="H104" s="120"/>
      <c r="I104" s="117"/>
      <c r="J104" s="117"/>
      <c r="K104" s="117"/>
      <c r="L104" s="121">
        <v>6940</v>
      </c>
      <c r="M104" s="119">
        <v>4300</v>
      </c>
      <c r="N104" s="120">
        <f>SUM(N101:N103)</f>
        <v>4248192</v>
      </c>
      <c r="O104" s="121">
        <f>SUM(O101:O103)</f>
        <v>1140</v>
      </c>
      <c r="P104" s="117"/>
      <c r="Q104" s="117"/>
      <c r="R104" s="117"/>
    </row>
    <row r="105" spans="1:18" ht="13.5" thickBot="1">
      <c r="A105" s="117"/>
      <c r="B105" s="118">
        <v>13140</v>
      </c>
      <c r="C105" s="120">
        <v>0</v>
      </c>
      <c r="D105" s="127">
        <f>SUM(D101:D104)</f>
        <v>9800</v>
      </c>
      <c r="E105" s="117"/>
      <c r="F105" s="117"/>
      <c r="G105" s="117"/>
      <c r="H105" s="120">
        <v>2900</v>
      </c>
      <c r="I105" s="117"/>
      <c r="J105" s="117"/>
      <c r="K105" s="117"/>
      <c r="L105" s="117"/>
      <c r="M105" s="119">
        <v>19880</v>
      </c>
      <c r="N105" s="117"/>
      <c r="O105" s="117"/>
      <c r="P105" s="117"/>
      <c r="Q105" s="117"/>
      <c r="R105" s="117"/>
    </row>
    <row r="106" spans="1:18" ht="13.5" thickBot="1">
      <c r="A106" s="117"/>
      <c r="B106" s="119">
        <v>13160</v>
      </c>
      <c r="C106" s="121">
        <f>SUM(C101:C105)</f>
        <v>6980</v>
      </c>
      <c r="D106" s="121">
        <v>4900</v>
      </c>
      <c r="E106" s="117"/>
      <c r="F106" s="117"/>
      <c r="G106" s="117"/>
      <c r="H106" s="117"/>
      <c r="I106" s="117"/>
      <c r="J106" s="117"/>
      <c r="K106" s="117"/>
      <c r="L106" s="117"/>
      <c r="M106" s="119">
        <v>6952</v>
      </c>
      <c r="N106" s="117"/>
      <c r="O106" s="117"/>
      <c r="P106" s="117"/>
      <c r="Q106" s="117"/>
      <c r="R106" s="117"/>
    </row>
    <row r="107" spans="1:18" ht="13.5" thickBot="1">
      <c r="A107" s="117"/>
      <c r="B107" s="119">
        <v>12560</v>
      </c>
      <c r="C107" s="117"/>
      <c r="D107" t="s">
        <v>71</v>
      </c>
      <c r="E107" s="131" t="s">
        <v>56</v>
      </c>
      <c r="F107" s="117"/>
      <c r="G107" s="117"/>
      <c r="H107" s="117"/>
      <c r="I107" s="117"/>
      <c r="J107" s="117"/>
      <c r="K107" s="117"/>
      <c r="L107" s="117"/>
      <c r="M107" s="119">
        <v>2900</v>
      </c>
      <c r="N107" s="117"/>
      <c r="O107" s="117"/>
      <c r="P107" s="117"/>
      <c r="Q107" s="117"/>
      <c r="R107" s="117"/>
    </row>
    <row r="108" spans="1:18" ht="13.5" thickBot="1">
      <c r="A108" s="117"/>
      <c r="B108" s="119">
        <v>14760</v>
      </c>
      <c r="C108" s="117"/>
      <c r="D108" s="55"/>
      <c r="E108" s="116">
        <v>1840</v>
      </c>
      <c r="F108" s="117"/>
      <c r="G108" s="117"/>
      <c r="H108" s="117"/>
      <c r="I108" s="117"/>
      <c r="J108" s="117"/>
      <c r="K108" s="117"/>
      <c r="L108" s="117"/>
      <c r="M108" s="119">
        <v>2280</v>
      </c>
      <c r="N108" s="117"/>
      <c r="O108" s="117"/>
      <c r="P108" s="117"/>
      <c r="Q108" s="117"/>
      <c r="R108" s="117"/>
    </row>
    <row r="109" spans="1:18" ht="13.5" thickBot="1">
      <c r="A109" s="117"/>
      <c r="B109" s="119">
        <v>0</v>
      </c>
      <c r="C109" s="117"/>
      <c r="E109" s="119"/>
      <c r="F109" s="117"/>
      <c r="G109" s="117"/>
      <c r="H109" s="117"/>
      <c r="I109" s="117"/>
      <c r="J109" s="117"/>
      <c r="K109" s="117"/>
      <c r="L109" s="117"/>
      <c r="M109" s="119">
        <v>571400</v>
      </c>
      <c r="N109" s="117"/>
      <c r="O109" s="121">
        <v>1140</v>
      </c>
      <c r="P109" s="117" t="s">
        <v>115</v>
      </c>
      <c r="Q109" s="117"/>
      <c r="R109" s="117"/>
    </row>
    <row r="110" spans="1:18" ht="13.5" thickBot="1">
      <c r="A110" s="117"/>
      <c r="B110" s="119">
        <v>0</v>
      </c>
      <c r="C110" s="117"/>
      <c r="E110" s="119"/>
      <c r="F110" s="117"/>
      <c r="G110" s="117"/>
      <c r="H110" s="117"/>
      <c r="I110" s="117"/>
      <c r="J110" s="117"/>
      <c r="K110" s="117"/>
      <c r="L110" s="117"/>
      <c r="M110" s="123">
        <v>530000</v>
      </c>
      <c r="N110" s="117"/>
      <c r="O110" s="121"/>
      <c r="P110" s="117"/>
      <c r="Q110" s="117"/>
      <c r="R110" s="117"/>
    </row>
    <row r="111" spans="1:18" ht="13.5" thickBot="1">
      <c r="A111" s="117"/>
      <c r="B111" s="119">
        <v>0</v>
      </c>
      <c r="C111" s="117"/>
      <c r="E111" s="124"/>
      <c r="F111" s="117"/>
      <c r="G111" s="117"/>
      <c r="H111" s="117"/>
      <c r="I111" s="117"/>
      <c r="J111" s="117"/>
      <c r="K111" s="117"/>
      <c r="L111" s="117"/>
      <c r="M111" s="124">
        <v>2984760</v>
      </c>
      <c r="N111" s="117"/>
      <c r="O111" s="121">
        <v>4247052</v>
      </c>
      <c r="P111" s="117" t="s">
        <v>179</v>
      </c>
      <c r="Q111" s="117"/>
      <c r="R111" s="117"/>
    </row>
    <row r="112" spans="1:18" ht="13.5" thickBot="1">
      <c r="A112" s="117"/>
      <c r="B112" s="122">
        <f>SUM(B101:B111)</f>
        <v>107800</v>
      </c>
      <c r="C112" s="117"/>
      <c r="E112" s="121">
        <v>1840</v>
      </c>
      <c r="M112" s="121">
        <f>SUM(M101:M111)</f>
        <v>4242152</v>
      </c>
      <c r="N112" s="117" t="s">
        <v>177</v>
      </c>
      <c r="O112" s="117"/>
      <c r="P112" s="117"/>
      <c r="Q112" s="117"/>
      <c r="R112" s="117"/>
    </row>
    <row r="113" spans="1:18" ht="13.5" thickBot="1">
      <c r="A113" s="117"/>
      <c r="B113" s="119"/>
      <c r="C113" s="117"/>
      <c r="E113" s="123">
        <v>4300</v>
      </c>
      <c r="F113" s="28"/>
      <c r="M113" s="124"/>
      <c r="N113" s="117"/>
      <c r="O113" s="117"/>
      <c r="P113" s="117"/>
      <c r="Q113" s="117"/>
      <c r="R113" s="117"/>
    </row>
    <row r="114" spans="1:18" ht="13.5" thickBot="1">
      <c r="A114" s="117"/>
      <c r="B114" s="123"/>
      <c r="C114" s="117"/>
      <c r="E114" s="121">
        <f>SUM(E112:E113)</f>
        <v>6140</v>
      </c>
      <c r="M114" s="121">
        <f>N104</f>
        <v>4248192</v>
      </c>
      <c r="N114" s="117" t="s">
        <v>179</v>
      </c>
      <c r="O114" s="117"/>
      <c r="P114" s="117"/>
      <c r="Q114" s="117"/>
      <c r="R114" s="117"/>
    </row>
    <row r="115" spans="1:6" ht="12.75">
      <c r="A115" s="117"/>
      <c r="B115" s="123"/>
      <c r="C115" s="117"/>
      <c r="F115" s="92"/>
    </row>
    <row r="116" spans="1:14" ht="12.75">
      <c r="A116" s="117"/>
      <c r="B116" s="123"/>
      <c r="C116" s="117"/>
      <c r="M116" s="182">
        <f>100*(M112/M114)</f>
        <v>99.85782186869143</v>
      </c>
      <c r="N116" s="180" t="s">
        <v>193</v>
      </c>
    </row>
    <row r="117" spans="1:14" ht="12.75">
      <c r="A117" s="117"/>
      <c r="B117" s="123"/>
      <c r="C117" s="117"/>
      <c r="N117" s="184" t="s">
        <v>178</v>
      </c>
    </row>
    <row r="118" spans="1:14" ht="12.75">
      <c r="A118" s="117"/>
      <c r="B118" s="123"/>
      <c r="C118" s="117"/>
      <c r="N118" s="169" t="s">
        <v>180</v>
      </c>
    </row>
    <row r="119" spans="1:3" ht="13.5" thickBot="1">
      <c r="A119" s="117"/>
      <c r="B119" s="124"/>
      <c r="C119" s="117"/>
    </row>
    <row r="120" spans="1:3" ht="13.5" thickBot="1">
      <c r="A120" s="117"/>
      <c r="B120" s="121"/>
      <c r="C120" s="117"/>
    </row>
    <row r="123" ht="12.75">
      <c r="A123" s="181" t="s">
        <v>186</v>
      </c>
    </row>
    <row r="124" ht="13.5" thickBot="1">
      <c r="D124" t="s">
        <v>159</v>
      </c>
    </row>
    <row r="125" spans="1:18" ht="13.5" thickBot="1">
      <c r="A125" s="53" t="s">
        <v>40</v>
      </c>
      <c r="B125" s="15" t="s">
        <v>0</v>
      </c>
      <c r="C125" s="16" t="s">
        <v>1</v>
      </c>
      <c r="D125" s="42" t="s">
        <v>2</v>
      </c>
      <c r="E125" s="43" t="s">
        <v>81</v>
      </c>
      <c r="F125" s="45" t="s">
        <v>4</v>
      </c>
      <c r="G125" s="20" t="s">
        <v>5</v>
      </c>
      <c r="H125" s="33" t="s">
        <v>6</v>
      </c>
      <c r="I125" s="109" t="s">
        <v>141</v>
      </c>
      <c r="J125" s="23" t="s">
        <v>8</v>
      </c>
      <c r="K125" s="24" t="s">
        <v>9</v>
      </c>
      <c r="L125" s="49" t="s">
        <v>14</v>
      </c>
      <c r="M125" s="1" t="s">
        <v>13</v>
      </c>
      <c r="N125" s="3" t="s">
        <v>11</v>
      </c>
      <c r="O125" s="50" t="s">
        <v>114</v>
      </c>
      <c r="P125" s="81" t="s">
        <v>113</v>
      </c>
      <c r="Q125" s="110" t="s">
        <v>142</v>
      </c>
      <c r="R125" s="111" t="s">
        <v>80</v>
      </c>
    </row>
    <row r="126" spans="1:18" ht="13.5" thickBot="1">
      <c r="A126" s="114"/>
      <c r="B126" s="115">
        <v>13740</v>
      </c>
      <c r="C126" s="116">
        <v>3180</v>
      </c>
      <c r="D126" s="125">
        <v>4800</v>
      </c>
      <c r="E126" s="138">
        <v>4000</v>
      </c>
      <c r="F126" s="116">
        <v>5640</v>
      </c>
      <c r="G126" s="138">
        <v>1940</v>
      </c>
      <c r="H126" s="116">
        <v>2600</v>
      </c>
      <c r="I126" s="121">
        <v>735360</v>
      </c>
      <c r="J126" s="150">
        <v>510000</v>
      </c>
      <c r="K126" s="154">
        <v>3329560</v>
      </c>
      <c r="L126" s="116">
        <v>2500</v>
      </c>
      <c r="M126" s="156">
        <v>120700</v>
      </c>
      <c r="N126" s="135">
        <v>3600</v>
      </c>
      <c r="O126" s="116">
        <v>0</v>
      </c>
      <c r="P126" s="127">
        <v>0</v>
      </c>
      <c r="Q126" s="121">
        <v>0</v>
      </c>
      <c r="R126" s="121">
        <v>0</v>
      </c>
    </row>
    <row r="127" spans="1:18" ht="13.5" thickBot="1">
      <c r="A127" s="117"/>
      <c r="B127" s="118">
        <v>12640</v>
      </c>
      <c r="C127" s="119">
        <v>2820</v>
      </c>
      <c r="D127" s="126">
        <v>2400</v>
      </c>
      <c r="E127" s="139">
        <v>3020</v>
      </c>
      <c r="F127" s="119">
        <v>5420</v>
      </c>
      <c r="G127" s="136">
        <v>2140</v>
      </c>
      <c r="H127" s="119">
        <v>2500</v>
      </c>
      <c r="I127" s="117"/>
      <c r="J127" s="117"/>
      <c r="K127" s="117"/>
      <c r="L127" s="119">
        <v>2620</v>
      </c>
      <c r="M127" s="157">
        <v>10920</v>
      </c>
      <c r="N127" s="118">
        <v>4768380</v>
      </c>
      <c r="O127" s="119"/>
      <c r="P127" s="117"/>
      <c r="Q127" s="117"/>
      <c r="R127" s="117"/>
    </row>
    <row r="128" spans="1:18" ht="13.5" thickBot="1">
      <c r="A128" s="117"/>
      <c r="B128" s="118">
        <v>13720</v>
      </c>
      <c r="C128" s="119">
        <v>2900</v>
      </c>
      <c r="D128" s="126">
        <v>0</v>
      </c>
      <c r="E128" s="140">
        <v>0</v>
      </c>
      <c r="F128" s="119">
        <v>5220</v>
      </c>
      <c r="G128" s="159">
        <f>SUM(G126:G127)</f>
        <v>4080</v>
      </c>
      <c r="H128" s="119">
        <v>0</v>
      </c>
      <c r="I128" s="117"/>
      <c r="J128" s="117"/>
      <c r="K128" s="117"/>
      <c r="L128" s="120">
        <v>1480</v>
      </c>
      <c r="M128" s="157">
        <v>3600</v>
      </c>
      <c r="N128" s="133">
        <v>0</v>
      </c>
      <c r="O128" s="120"/>
      <c r="P128" s="117"/>
      <c r="Q128" s="117"/>
      <c r="R128" s="117"/>
    </row>
    <row r="129" spans="1:18" ht="13.5" thickBot="1">
      <c r="A129" s="117"/>
      <c r="B129" s="118">
        <v>11600</v>
      </c>
      <c r="C129" s="119">
        <v>2020</v>
      </c>
      <c r="D129" s="126">
        <v>0</v>
      </c>
      <c r="E129" s="152">
        <f>SUM(E126:E128)</f>
        <v>7020</v>
      </c>
      <c r="F129" s="119">
        <v>5440</v>
      </c>
      <c r="G129" s="117"/>
      <c r="H129" s="120">
        <v>0</v>
      </c>
      <c r="I129" s="117"/>
      <c r="J129" s="117"/>
      <c r="K129" s="117"/>
      <c r="L129" s="121">
        <v>1960</v>
      </c>
      <c r="M129" s="158">
        <v>7020</v>
      </c>
      <c r="N129" s="120">
        <f>SUM(N126:N128)</f>
        <v>4771980</v>
      </c>
      <c r="O129" s="121">
        <v>0</v>
      </c>
      <c r="P129" s="117"/>
      <c r="Q129" s="117"/>
      <c r="R129" s="117"/>
    </row>
    <row r="130" spans="1:18" ht="13.5" thickBot="1">
      <c r="A130" s="117"/>
      <c r="B130" s="118">
        <v>13100</v>
      </c>
      <c r="C130" s="120">
        <v>0</v>
      </c>
      <c r="D130" s="151">
        <f>SUM(D126:D129)</f>
        <v>7200</v>
      </c>
      <c r="E130" s="117"/>
      <c r="F130" s="119">
        <v>7160</v>
      </c>
      <c r="G130" s="117"/>
      <c r="H130" s="153">
        <f>SUM(H126:H129)</f>
        <v>5100</v>
      </c>
      <c r="I130" s="117"/>
      <c r="J130" s="117"/>
      <c r="K130" s="117"/>
      <c r="L130" s="155">
        <f>SUM(L126:L129)</f>
        <v>8560</v>
      </c>
      <c r="M130" s="158">
        <v>33480</v>
      </c>
      <c r="N130" s="117"/>
      <c r="O130" s="117"/>
      <c r="P130" s="117"/>
      <c r="Q130" s="117"/>
      <c r="R130" s="117"/>
    </row>
    <row r="131" spans="1:18" ht="13.5" thickBot="1">
      <c r="A131" s="117"/>
      <c r="B131" s="119">
        <v>13920</v>
      </c>
      <c r="C131" s="150">
        <f>SUM(C126:C130)</f>
        <v>10920</v>
      </c>
      <c r="D131" s="121">
        <v>3600</v>
      </c>
      <c r="E131" s="117"/>
      <c r="F131" s="120">
        <v>4600</v>
      </c>
      <c r="G131" s="117"/>
      <c r="H131" s="117"/>
      <c r="I131" s="117"/>
      <c r="J131" s="117"/>
      <c r="K131" s="117"/>
      <c r="L131" s="117"/>
      <c r="M131" s="158">
        <v>4080</v>
      </c>
      <c r="N131" s="117"/>
      <c r="O131" s="117"/>
      <c r="P131" s="117"/>
      <c r="Q131" s="117"/>
      <c r="R131" s="117"/>
    </row>
    <row r="132" spans="1:18" ht="13.5" thickBot="1">
      <c r="A132" s="117"/>
      <c r="B132" s="119">
        <v>12880</v>
      </c>
      <c r="C132" s="117"/>
      <c r="D132" t="s">
        <v>71</v>
      </c>
      <c r="E132" s="131" t="s">
        <v>56</v>
      </c>
      <c r="F132" s="153">
        <f>SUM(F126:F131)</f>
        <v>33480</v>
      </c>
      <c r="G132" s="117"/>
      <c r="H132" s="117"/>
      <c r="I132" s="117"/>
      <c r="J132" s="117"/>
      <c r="K132" s="117"/>
      <c r="L132" s="117"/>
      <c r="M132" s="158">
        <v>5100</v>
      </c>
      <c r="N132" s="117"/>
      <c r="O132" s="117"/>
      <c r="P132" s="117"/>
      <c r="Q132" s="117"/>
      <c r="R132" s="117"/>
    </row>
    <row r="133" spans="1:18" ht="13.5" thickBot="1">
      <c r="A133" s="117"/>
      <c r="B133" s="119">
        <v>14100</v>
      </c>
      <c r="C133" s="117"/>
      <c r="D133" s="55"/>
      <c r="E133" s="116"/>
      <c r="F133" s="117"/>
      <c r="G133" s="117"/>
      <c r="H133" s="117"/>
      <c r="I133" s="117"/>
      <c r="J133" s="117"/>
      <c r="K133" s="117"/>
      <c r="L133" s="117"/>
      <c r="M133" s="119">
        <v>735360</v>
      </c>
      <c r="N133" s="117"/>
      <c r="O133" s="117"/>
      <c r="P133" s="117"/>
      <c r="Q133" s="117"/>
      <c r="R133" s="117"/>
    </row>
    <row r="134" spans="1:18" ht="13.5" thickBot="1">
      <c r="A134" s="117"/>
      <c r="B134" s="119">
        <v>15000</v>
      </c>
      <c r="C134" s="117"/>
      <c r="E134" s="119"/>
      <c r="F134" s="117"/>
      <c r="G134" s="117"/>
      <c r="H134" s="117"/>
      <c r="I134" s="117"/>
      <c r="J134" s="117"/>
      <c r="K134" s="117"/>
      <c r="L134" s="117"/>
      <c r="M134" s="158">
        <v>510000</v>
      </c>
      <c r="N134" s="117"/>
      <c r="O134" s="121">
        <v>0</v>
      </c>
      <c r="P134" s="117" t="s">
        <v>115</v>
      </c>
      <c r="Q134" s="117"/>
      <c r="R134" s="117"/>
    </row>
    <row r="135" spans="1:18" ht="13.5" thickBot="1">
      <c r="A135" s="117"/>
      <c r="B135" s="119">
        <v>0</v>
      </c>
      <c r="C135" s="117"/>
      <c r="E135" s="119"/>
      <c r="F135" s="117"/>
      <c r="G135" s="117"/>
      <c r="H135" s="117"/>
      <c r="I135" s="117"/>
      <c r="J135" s="117"/>
      <c r="K135" s="117"/>
      <c r="L135" s="117"/>
      <c r="M135" s="158">
        <v>3329560</v>
      </c>
      <c r="N135" s="117"/>
      <c r="O135" s="121"/>
      <c r="P135" s="117"/>
      <c r="Q135" s="117"/>
      <c r="R135" s="117"/>
    </row>
    <row r="136" spans="1:18" ht="13.5" thickBot="1">
      <c r="A136" s="117"/>
      <c r="B136" s="119">
        <v>0</v>
      </c>
      <c r="C136" s="117"/>
      <c r="E136" s="124"/>
      <c r="F136" s="117"/>
      <c r="G136" s="117"/>
      <c r="H136" s="117"/>
      <c r="I136" s="117"/>
      <c r="J136" s="117"/>
      <c r="K136" s="117"/>
      <c r="L136" s="117"/>
      <c r="M136" s="124">
        <v>8560</v>
      </c>
      <c r="N136" s="117"/>
      <c r="O136" s="121">
        <v>4765380</v>
      </c>
      <c r="P136" s="117" t="s">
        <v>179</v>
      </c>
      <c r="Q136" s="117"/>
      <c r="R136" s="117"/>
    </row>
    <row r="137" spans="1:18" ht="13.5" thickBot="1">
      <c r="A137" s="117"/>
      <c r="B137" s="150">
        <f>SUM(B126:B136)</f>
        <v>120700</v>
      </c>
      <c r="C137" s="117"/>
      <c r="E137" s="121"/>
      <c r="M137" s="121">
        <f>SUM(M126:M136)</f>
        <v>4768380</v>
      </c>
      <c r="N137" s="117" t="s">
        <v>177</v>
      </c>
      <c r="O137" s="117"/>
      <c r="P137" s="117"/>
      <c r="Q137" s="117"/>
      <c r="R137" s="117"/>
    </row>
    <row r="138" spans="1:18" ht="13.5" thickBot="1">
      <c r="A138" s="117"/>
      <c r="B138" s="119"/>
      <c r="C138" s="117"/>
      <c r="E138" s="123"/>
      <c r="F138" s="28"/>
      <c r="M138" s="124"/>
      <c r="N138" s="117"/>
      <c r="O138" s="117"/>
      <c r="P138" s="117"/>
      <c r="Q138" s="117"/>
      <c r="R138" s="117"/>
    </row>
    <row r="139" spans="1:18" ht="13.5" thickBot="1">
      <c r="A139" s="117"/>
      <c r="B139" s="123"/>
      <c r="C139" s="117"/>
      <c r="E139" s="121"/>
      <c r="M139" s="121">
        <f>N129</f>
        <v>4771980</v>
      </c>
      <c r="N139" s="117" t="s">
        <v>179</v>
      </c>
      <c r="O139" s="117"/>
      <c r="P139" s="117"/>
      <c r="Q139" s="117"/>
      <c r="R139" s="117"/>
    </row>
    <row r="140" spans="1:6" ht="12.75">
      <c r="A140" s="117"/>
      <c r="B140" s="123"/>
      <c r="C140" s="117"/>
      <c r="F140" s="92"/>
    </row>
    <row r="141" spans="1:14" ht="12.75">
      <c r="A141" s="117"/>
      <c r="B141" s="123"/>
      <c r="C141" s="117"/>
      <c r="M141" s="182">
        <f>100*(M137/M139)</f>
        <v>99.92455961676285</v>
      </c>
      <c r="N141" s="180" t="s">
        <v>193</v>
      </c>
    </row>
    <row r="142" spans="1:14" ht="12.75">
      <c r="A142" s="117"/>
      <c r="B142" s="123"/>
      <c r="C142" s="117"/>
      <c r="N142" s="184" t="s">
        <v>178</v>
      </c>
    </row>
    <row r="143" spans="1:14" ht="12.75">
      <c r="A143" s="117"/>
      <c r="B143" s="123"/>
      <c r="C143" s="117"/>
      <c r="N143" s="169" t="s">
        <v>180</v>
      </c>
    </row>
    <row r="144" spans="1:3" ht="13.5" thickBot="1">
      <c r="A144" s="117"/>
      <c r="B144" s="124"/>
      <c r="C144" s="117"/>
    </row>
    <row r="145" spans="1:3" ht="13.5" thickBot="1">
      <c r="A145" s="117"/>
      <c r="B145" s="121"/>
      <c r="C145" s="117"/>
    </row>
    <row r="147" ht="12.75">
      <c r="A147" s="181" t="s">
        <v>187</v>
      </c>
    </row>
    <row r="148" ht="13.5" thickBot="1"/>
    <row r="149" spans="1:18" ht="13.5" thickBot="1">
      <c r="A149" s="53" t="s">
        <v>40</v>
      </c>
      <c r="B149" s="15" t="s">
        <v>0</v>
      </c>
      <c r="C149" s="16" t="s">
        <v>1</v>
      </c>
      <c r="D149" s="42" t="s">
        <v>2</v>
      </c>
      <c r="E149" s="43" t="s">
        <v>81</v>
      </c>
      <c r="F149" s="19" t="s">
        <v>4</v>
      </c>
      <c r="G149" s="20" t="s">
        <v>5</v>
      </c>
      <c r="H149" s="33" t="s">
        <v>6</v>
      </c>
      <c r="I149" s="109" t="s">
        <v>141</v>
      </c>
      <c r="J149" s="23" t="s">
        <v>8</v>
      </c>
      <c r="K149" s="24" t="s">
        <v>9</v>
      </c>
      <c r="L149" s="49" t="s">
        <v>14</v>
      </c>
      <c r="M149" s="1" t="s">
        <v>13</v>
      </c>
      <c r="N149" s="3" t="s">
        <v>11</v>
      </c>
      <c r="O149" s="50" t="s">
        <v>114</v>
      </c>
      <c r="P149" s="81" t="s">
        <v>113</v>
      </c>
      <c r="Q149" s="110" t="s">
        <v>142</v>
      </c>
      <c r="R149" s="111" t="s">
        <v>80</v>
      </c>
    </row>
    <row r="150" spans="1:18" ht="13.5" thickBot="1">
      <c r="A150" s="114"/>
      <c r="B150" s="115">
        <v>14860</v>
      </c>
      <c r="C150" s="116">
        <v>2060</v>
      </c>
      <c r="D150" s="125">
        <v>920</v>
      </c>
      <c r="E150" s="125">
        <v>1740</v>
      </c>
      <c r="F150" s="125">
        <v>5760</v>
      </c>
      <c r="G150" s="115">
        <v>2080</v>
      </c>
      <c r="H150" s="116">
        <v>1140</v>
      </c>
      <c r="I150" s="121">
        <v>575580</v>
      </c>
      <c r="J150" s="121">
        <v>384000</v>
      </c>
      <c r="K150" s="114">
        <v>3261000</v>
      </c>
      <c r="L150" s="116">
        <v>2480</v>
      </c>
      <c r="M150" s="132">
        <v>141500</v>
      </c>
      <c r="N150" s="135">
        <v>3890</v>
      </c>
      <c r="O150" s="116">
        <v>0</v>
      </c>
      <c r="P150" s="127">
        <v>0</v>
      </c>
      <c r="Q150" s="121">
        <v>0</v>
      </c>
      <c r="R150" s="121">
        <v>0</v>
      </c>
    </row>
    <row r="151" spans="1:18" ht="13.5" thickBot="1">
      <c r="A151" s="117"/>
      <c r="B151" s="118">
        <v>13820</v>
      </c>
      <c r="C151" s="119">
        <v>2860</v>
      </c>
      <c r="D151" s="126">
        <v>6740</v>
      </c>
      <c r="E151" s="128">
        <v>2100</v>
      </c>
      <c r="F151" s="126">
        <v>4940</v>
      </c>
      <c r="G151" s="133">
        <v>1720</v>
      </c>
      <c r="H151" s="119">
        <v>2000</v>
      </c>
      <c r="I151" s="117"/>
      <c r="J151" s="117"/>
      <c r="K151" s="117"/>
      <c r="L151" s="119">
        <v>2960</v>
      </c>
      <c r="M151" s="126">
        <v>8040</v>
      </c>
      <c r="N151" s="118">
        <v>4412410</v>
      </c>
      <c r="O151" s="119"/>
      <c r="P151" s="117"/>
      <c r="Q151" s="117"/>
      <c r="R151" s="117"/>
    </row>
    <row r="152" spans="1:18" ht="13.5" thickBot="1">
      <c r="A152" s="117"/>
      <c r="B152" s="118">
        <v>13560</v>
      </c>
      <c r="C152" s="119">
        <v>3120</v>
      </c>
      <c r="D152" s="126">
        <v>120</v>
      </c>
      <c r="E152" s="129">
        <v>9040</v>
      </c>
      <c r="F152" s="130">
        <v>0</v>
      </c>
      <c r="G152" s="114">
        <f>SUM(G150:G151)</f>
        <v>3800</v>
      </c>
      <c r="H152" s="119">
        <v>0</v>
      </c>
      <c r="I152" s="117"/>
      <c r="J152" s="117"/>
      <c r="K152" s="117"/>
      <c r="L152" s="120">
        <v>0</v>
      </c>
      <c r="M152" s="126">
        <v>3890</v>
      </c>
      <c r="N152" s="133">
        <v>0</v>
      </c>
      <c r="O152" s="120"/>
      <c r="P152" s="117"/>
      <c r="Q152" s="117"/>
      <c r="R152" s="117"/>
    </row>
    <row r="153" spans="1:18" ht="13.5" thickBot="1">
      <c r="A153" s="117"/>
      <c r="B153" s="118">
        <v>7940</v>
      </c>
      <c r="C153" s="119">
        <v>0</v>
      </c>
      <c r="D153" s="126">
        <v>0</v>
      </c>
      <c r="E153" s="130">
        <f>SUM(E150:E152)</f>
        <v>12880</v>
      </c>
      <c r="F153" s="121">
        <f>SUM(F150:F152)</f>
        <v>10700</v>
      </c>
      <c r="G153" s="117"/>
      <c r="H153" s="120">
        <v>0</v>
      </c>
      <c r="I153" s="117"/>
      <c r="J153" s="117"/>
      <c r="K153" s="117"/>
      <c r="L153" s="121">
        <f>SUM(L150:L152)</f>
        <v>5440</v>
      </c>
      <c r="M153" s="119">
        <v>15320</v>
      </c>
      <c r="N153" s="120">
        <f>SUM(N150:N152)</f>
        <v>4416300</v>
      </c>
      <c r="O153" s="121">
        <v>0</v>
      </c>
      <c r="P153" s="117"/>
      <c r="Q153" s="117"/>
      <c r="R153" s="117"/>
    </row>
    <row r="154" spans="1:18" ht="13.5" thickBot="1">
      <c r="A154" s="117"/>
      <c r="B154" s="118">
        <v>12360</v>
      </c>
      <c r="C154" s="120">
        <v>0</v>
      </c>
      <c r="D154" s="127">
        <f>SUM(D150:D153)</f>
        <v>7780</v>
      </c>
      <c r="E154" s="117"/>
      <c r="F154" s="117"/>
      <c r="G154" s="117"/>
      <c r="H154" s="120">
        <f>SUM(H150:H153)</f>
        <v>3140</v>
      </c>
      <c r="I154" s="117"/>
      <c r="J154" s="117"/>
      <c r="K154" s="117"/>
      <c r="L154" s="117"/>
      <c r="M154" s="119">
        <v>10700</v>
      </c>
      <c r="N154" s="117"/>
      <c r="O154" s="117"/>
      <c r="P154" s="117"/>
      <c r="Q154" s="117"/>
      <c r="R154" s="117"/>
    </row>
    <row r="155" spans="1:18" ht="13.5" thickBot="1">
      <c r="A155" s="117"/>
      <c r="B155" s="119">
        <v>13840</v>
      </c>
      <c r="C155" s="121">
        <f>SUM(C150:C154)</f>
        <v>8040</v>
      </c>
      <c r="D155" s="121">
        <v>3890</v>
      </c>
      <c r="E155" s="117"/>
      <c r="F155" s="117"/>
      <c r="G155" s="117"/>
      <c r="H155" s="117"/>
      <c r="I155" s="117"/>
      <c r="J155" s="117"/>
      <c r="K155" s="117"/>
      <c r="L155" s="117"/>
      <c r="M155" s="119">
        <v>3140</v>
      </c>
      <c r="N155" s="117"/>
      <c r="O155" s="117"/>
      <c r="P155" s="117"/>
      <c r="Q155" s="117"/>
      <c r="R155" s="117"/>
    </row>
    <row r="156" spans="1:18" ht="13.5" thickBot="1">
      <c r="A156" s="117"/>
      <c r="B156" s="119">
        <v>12780</v>
      </c>
      <c r="C156" s="117"/>
      <c r="D156" t="s">
        <v>71</v>
      </c>
      <c r="E156" s="131" t="s">
        <v>56</v>
      </c>
      <c r="F156" s="117"/>
      <c r="G156" s="117"/>
      <c r="H156" s="117"/>
      <c r="I156" s="117"/>
      <c r="J156" s="117"/>
      <c r="K156" s="117"/>
      <c r="L156" s="117"/>
      <c r="M156" s="119">
        <v>3800</v>
      </c>
      <c r="N156" s="117"/>
      <c r="O156" s="117"/>
      <c r="P156" s="117"/>
      <c r="Q156" s="117"/>
      <c r="R156" s="117"/>
    </row>
    <row r="157" spans="1:18" ht="13.5" thickBot="1">
      <c r="A157" s="117"/>
      <c r="B157" s="119">
        <v>12460</v>
      </c>
      <c r="C157" s="117"/>
      <c r="D157" s="55"/>
      <c r="E157" s="116">
        <v>1100</v>
      </c>
      <c r="F157" s="117"/>
      <c r="G157" s="117"/>
      <c r="H157" s="117"/>
      <c r="I157" s="117"/>
      <c r="J157" s="117"/>
      <c r="K157" s="117"/>
      <c r="L157" s="117"/>
      <c r="M157" s="119">
        <v>575580</v>
      </c>
      <c r="N157" s="117"/>
      <c r="O157" s="117"/>
      <c r="P157" s="117"/>
      <c r="Q157" s="117"/>
      <c r="R157" s="117"/>
    </row>
    <row r="158" spans="1:18" ht="13.5" thickBot="1">
      <c r="A158" s="117"/>
      <c r="B158" s="119">
        <v>13480</v>
      </c>
      <c r="C158" s="117"/>
      <c r="E158" s="119">
        <v>680</v>
      </c>
      <c r="F158" s="117"/>
      <c r="G158" s="117"/>
      <c r="H158" s="117"/>
      <c r="I158" s="117"/>
      <c r="J158" s="117"/>
      <c r="K158" s="117"/>
      <c r="L158" s="117"/>
      <c r="M158" s="119">
        <v>384000</v>
      </c>
      <c r="N158" s="117"/>
      <c r="O158" s="121">
        <v>0</v>
      </c>
      <c r="P158" s="117" t="s">
        <v>115</v>
      </c>
      <c r="Q158" s="117"/>
      <c r="R158" s="117"/>
    </row>
    <row r="159" spans="1:18" ht="13.5" thickBot="1">
      <c r="A159" s="117"/>
      <c r="B159" s="119">
        <v>12220</v>
      </c>
      <c r="C159" s="117"/>
      <c r="E159" s="119">
        <v>660</v>
      </c>
      <c r="F159" s="117"/>
      <c r="G159" s="117"/>
      <c r="H159" s="117"/>
      <c r="I159" s="117"/>
      <c r="J159" s="117"/>
      <c r="K159" s="117"/>
      <c r="L159" s="117"/>
      <c r="M159" s="123">
        <v>3261000</v>
      </c>
      <c r="N159" s="117"/>
      <c r="O159" s="121"/>
      <c r="P159" s="117"/>
      <c r="Q159" s="117"/>
      <c r="R159" s="117"/>
    </row>
    <row r="160" spans="1:18" ht="13.5" thickBot="1">
      <c r="A160" s="117"/>
      <c r="B160" s="119">
        <v>14180</v>
      </c>
      <c r="C160" s="117"/>
      <c r="E160" s="124">
        <v>0</v>
      </c>
      <c r="F160" s="117"/>
      <c r="G160" s="117"/>
      <c r="H160" s="117"/>
      <c r="I160" s="117"/>
      <c r="J160" s="117"/>
      <c r="K160" s="117"/>
      <c r="L160" s="117"/>
      <c r="M160" s="124">
        <v>5440</v>
      </c>
      <c r="N160" s="117"/>
      <c r="O160" s="121">
        <v>4416300</v>
      </c>
      <c r="P160" s="117" t="s">
        <v>179</v>
      </c>
      <c r="Q160" s="117"/>
      <c r="R160" s="117"/>
    </row>
    <row r="161" spans="1:18" ht="13.5" thickBot="1">
      <c r="A161" s="117"/>
      <c r="B161" s="122">
        <f>SUM(B150:B160)</f>
        <v>141500</v>
      </c>
      <c r="C161" s="117"/>
      <c r="E161" s="121">
        <f>SUM(E157:E160)</f>
        <v>2440</v>
      </c>
      <c r="M161" s="121">
        <f>SUM(M150:M160)</f>
        <v>4412410</v>
      </c>
      <c r="N161" s="117" t="s">
        <v>177</v>
      </c>
      <c r="O161" s="117"/>
      <c r="P161" s="117"/>
      <c r="Q161" s="117"/>
      <c r="R161" s="117"/>
    </row>
    <row r="162" spans="1:18" ht="13.5" thickBot="1">
      <c r="A162" s="117"/>
      <c r="B162" s="119"/>
      <c r="C162" s="117"/>
      <c r="E162" s="123">
        <v>12880</v>
      </c>
      <c r="F162" s="28"/>
      <c r="M162" s="124"/>
      <c r="N162" s="117"/>
      <c r="O162" s="117"/>
      <c r="P162" s="117"/>
      <c r="Q162" s="117"/>
      <c r="R162" s="117"/>
    </row>
    <row r="163" spans="1:18" ht="13.5" thickBot="1">
      <c r="A163" s="117"/>
      <c r="B163" s="123"/>
      <c r="C163" s="117"/>
      <c r="E163" s="121">
        <f>SUM(E161:E162)</f>
        <v>15320</v>
      </c>
      <c r="M163" s="121">
        <f>N153</f>
        <v>4416300</v>
      </c>
      <c r="N163" s="117" t="s">
        <v>179</v>
      </c>
      <c r="O163" s="117"/>
      <c r="P163" s="117"/>
      <c r="Q163" s="117"/>
      <c r="R163" s="117"/>
    </row>
    <row r="164" spans="1:6" ht="12.75">
      <c r="A164" s="117"/>
      <c r="B164" s="123"/>
      <c r="C164" s="117"/>
      <c r="F164" s="92"/>
    </row>
    <row r="165" spans="1:14" ht="12.75">
      <c r="A165" s="117"/>
      <c r="B165" s="123"/>
      <c r="C165" s="117"/>
      <c r="M165" s="182">
        <f>100*(M161/M163)</f>
        <v>99.91191721576885</v>
      </c>
      <c r="N165" s="180" t="s">
        <v>193</v>
      </c>
    </row>
    <row r="166" spans="1:14" ht="12.75">
      <c r="A166" s="117"/>
      <c r="B166" s="123"/>
      <c r="C166" s="117"/>
      <c r="N166" s="184" t="s">
        <v>178</v>
      </c>
    </row>
    <row r="167" spans="1:14" ht="12.75">
      <c r="A167" s="117"/>
      <c r="B167" s="123"/>
      <c r="C167" s="117"/>
      <c r="N167" s="169" t="s">
        <v>180</v>
      </c>
    </row>
    <row r="168" spans="1:3" ht="13.5" thickBot="1">
      <c r="A168" s="117"/>
      <c r="B168" s="124"/>
      <c r="C168" s="117"/>
    </row>
    <row r="169" spans="1:3" ht="13.5" thickBot="1">
      <c r="A169" s="117"/>
      <c r="B169" s="121"/>
      <c r="C169" s="117"/>
    </row>
    <row r="171" ht="12.75">
      <c r="A171" s="181" t="s">
        <v>188</v>
      </c>
    </row>
    <row r="172" ht="13.5" thickBot="1"/>
    <row r="173" spans="1:18" ht="13.5" thickBot="1">
      <c r="A173" s="53" t="s">
        <v>40</v>
      </c>
      <c r="B173" s="15" t="s">
        <v>0</v>
      </c>
      <c r="C173" s="16" t="s">
        <v>1</v>
      </c>
      <c r="D173" s="42" t="s">
        <v>2</v>
      </c>
      <c r="E173" s="43" t="s">
        <v>81</v>
      </c>
      <c r="F173" s="19" t="s">
        <v>4</v>
      </c>
      <c r="G173" s="20" t="s">
        <v>5</v>
      </c>
      <c r="H173" s="33" t="s">
        <v>6</v>
      </c>
      <c r="I173" s="109" t="s">
        <v>141</v>
      </c>
      <c r="J173" s="23" t="s">
        <v>8</v>
      </c>
      <c r="K173" s="24" t="s">
        <v>9</v>
      </c>
      <c r="L173" s="49" t="s">
        <v>14</v>
      </c>
      <c r="M173" s="1" t="s">
        <v>13</v>
      </c>
      <c r="N173" s="3" t="s">
        <v>11</v>
      </c>
      <c r="O173" s="50" t="s">
        <v>114</v>
      </c>
      <c r="P173" s="81" t="s">
        <v>113</v>
      </c>
      <c r="Q173" s="110" t="s">
        <v>142</v>
      </c>
      <c r="R173" s="111" t="s">
        <v>80</v>
      </c>
    </row>
    <row r="174" spans="1:18" ht="13.5" thickBot="1">
      <c r="A174" s="114"/>
      <c r="B174" s="115">
        <v>14860</v>
      </c>
      <c r="C174" s="116">
        <v>2840</v>
      </c>
      <c r="D174" s="125">
        <v>900</v>
      </c>
      <c r="E174" s="138">
        <v>2480</v>
      </c>
      <c r="F174" s="116">
        <v>5800</v>
      </c>
      <c r="G174" s="138">
        <v>2200</v>
      </c>
      <c r="H174" s="116">
        <v>2640</v>
      </c>
      <c r="I174" s="144">
        <v>459860</v>
      </c>
      <c r="J174" s="144">
        <v>413000</v>
      </c>
      <c r="K174" s="145">
        <v>3463860</v>
      </c>
      <c r="L174" s="116">
        <v>1460</v>
      </c>
      <c r="M174" s="132">
        <v>78440</v>
      </c>
      <c r="N174" s="135">
        <v>3690</v>
      </c>
      <c r="O174" s="116"/>
      <c r="P174" s="160">
        <v>0</v>
      </c>
      <c r="Q174" s="144">
        <v>0</v>
      </c>
      <c r="R174" s="144">
        <v>0</v>
      </c>
    </row>
    <row r="175" spans="1:18" ht="13.5" thickBot="1">
      <c r="A175" s="117"/>
      <c r="B175" s="118">
        <v>13800</v>
      </c>
      <c r="C175" s="119">
        <v>3020</v>
      </c>
      <c r="D175" s="126">
        <v>6480</v>
      </c>
      <c r="E175" s="139">
        <v>0</v>
      </c>
      <c r="F175" s="119">
        <v>4800</v>
      </c>
      <c r="G175" s="136">
        <v>1860</v>
      </c>
      <c r="H175" s="119"/>
      <c r="I175" s="117"/>
      <c r="J175" s="117"/>
      <c r="K175" s="117"/>
      <c r="L175" s="119">
        <v>2640</v>
      </c>
      <c r="M175" s="126">
        <v>7700</v>
      </c>
      <c r="N175" s="118">
        <f>M185</f>
        <v>4468730</v>
      </c>
      <c r="O175" s="119"/>
      <c r="P175" s="117"/>
      <c r="Q175" s="117"/>
      <c r="R175" s="117"/>
    </row>
    <row r="176" spans="1:18" ht="13.5" thickBot="1">
      <c r="A176" s="117"/>
      <c r="B176" s="118">
        <v>15320</v>
      </c>
      <c r="C176" s="119">
        <v>1840</v>
      </c>
      <c r="D176" s="126">
        <v>0</v>
      </c>
      <c r="E176" s="140">
        <v>0</v>
      </c>
      <c r="F176" s="119">
        <v>7100</v>
      </c>
      <c r="G176" s="163">
        <f>SUM(G174:G175)</f>
        <v>4060</v>
      </c>
      <c r="H176" s="119"/>
      <c r="I176" s="117"/>
      <c r="J176" s="117"/>
      <c r="K176" s="117"/>
      <c r="L176" s="120"/>
      <c r="M176" s="126">
        <v>3690</v>
      </c>
      <c r="N176" s="133"/>
      <c r="O176" s="120"/>
      <c r="P176" s="117"/>
      <c r="Q176" s="117"/>
      <c r="R176" s="117"/>
    </row>
    <row r="177" spans="1:18" ht="13.5" thickBot="1">
      <c r="A177" s="117"/>
      <c r="B177" s="118">
        <v>11920</v>
      </c>
      <c r="C177" s="119">
        <v>0</v>
      </c>
      <c r="D177" s="126">
        <v>0</v>
      </c>
      <c r="E177" s="162">
        <v>2480</v>
      </c>
      <c r="F177" s="119">
        <v>8080</v>
      </c>
      <c r="G177" s="117"/>
      <c r="H177" s="120"/>
      <c r="I177" s="117"/>
      <c r="J177" s="117"/>
      <c r="K177" s="117"/>
      <c r="L177" s="144">
        <f>SUM(L174:L176)</f>
        <v>4100</v>
      </c>
      <c r="M177" s="119">
        <v>2480</v>
      </c>
      <c r="N177" s="146">
        <f>N174+N175</f>
        <v>4472420</v>
      </c>
      <c r="O177" s="144">
        <v>0</v>
      </c>
      <c r="P177" s="117"/>
      <c r="Q177" s="117"/>
      <c r="R177" s="117"/>
    </row>
    <row r="178" spans="1:18" ht="13.5" thickBot="1">
      <c r="A178" s="117"/>
      <c r="B178" s="118">
        <v>11840</v>
      </c>
      <c r="C178" s="120">
        <v>0</v>
      </c>
      <c r="D178" s="160">
        <f>SUM(D174:D177)</f>
        <v>7380</v>
      </c>
      <c r="E178" s="117"/>
      <c r="F178" s="120">
        <v>3120</v>
      </c>
      <c r="G178" s="117"/>
      <c r="H178" s="146">
        <v>2640</v>
      </c>
      <c r="I178" s="117"/>
      <c r="J178" s="117"/>
      <c r="K178" s="117"/>
      <c r="L178" s="117"/>
      <c r="M178" s="119">
        <v>28900</v>
      </c>
      <c r="N178" s="117"/>
      <c r="O178" s="117"/>
      <c r="P178" s="117"/>
      <c r="Q178" s="117"/>
      <c r="R178" s="117"/>
    </row>
    <row r="179" spans="1:18" ht="13.5" thickBot="1">
      <c r="A179" s="117"/>
      <c r="B179" s="119">
        <v>10700</v>
      </c>
      <c r="C179" s="144">
        <f>SUM(C174:C178)</f>
        <v>7700</v>
      </c>
      <c r="D179" s="161">
        <v>3690</v>
      </c>
      <c r="E179" s="117"/>
      <c r="F179" s="144">
        <f>SUM(F174:F178)</f>
        <v>28900</v>
      </c>
      <c r="G179" s="117"/>
      <c r="H179" s="117"/>
      <c r="I179" s="117"/>
      <c r="J179" s="117"/>
      <c r="K179" s="117"/>
      <c r="L179" s="117"/>
      <c r="M179" s="119">
        <v>4060</v>
      </c>
      <c r="N179" s="117"/>
      <c r="O179" s="117"/>
      <c r="P179" s="117"/>
      <c r="Q179" s="117"/>
      <c r="R179" s="117"/>
    </row>
    <row r="180" spans="1:18" ht="13.5" thickBot="1">
      <c r="A180" s="117"/>
      <c r="B180" s="119">
        <v>0</v>
      </c>
      <c r="C180" s="117"/>
      <c r="D180" t="s">
        <v>71</v>
      </c>
      <c r="E180" s="131" t="s">
        <v>56</v>
      </c>
      <c r="F180" s="117"/>
      <c r="G180" s="117"/>
      <c r="H180" s="117"/>
      <c r="I180" s="117"/>
      <c r="J180" s="117"/>
      <c r="K180" s="117"/>
      <c r="L180" s="117"/>
      <c r="M180" s="119">
        <v>2640</v>
      </c>
      <c r="N180" s="117"/>
      <c r="O180" s="117"/>
      <c r="P180" s="117"/>
      <c r="Q180" s="117"/>
      <c r="R180" s="117"/>
    </row>
    <row r="181" spans="1:18" ht="13.5" thickBot="1">
      <c r="A181" s="117"/>
      <c r="B181" s="119">
        <v>0</v>
      </c>
      <c r="C181" s="117"/>
      <c r="D181" s="55"/>
      <c r="E181" s="116"/>
      <c r="F181" s="117"/>
      <c r="G181" s="117"/>
      <c r="H181" s="117"/>
      <c r="I181" s="117"/>
      <c r="J181" s="117"/>
      <c r="K181" s="117"/>
      <c r="L181" s="117"/>
      <c r="M181" s="119">
        <v>459860</v>
      </c>
      <c r="N181" s="117"/>
      <c r="O181" s="117"/>
      <c r="P181" s="117"/>
      <c r="Q181" s="117"/>
      <c r="R181" s="117"/>
    </row>
    <row r="182" spans="1:18" ht="13.5" thickBot="1">
      <c r="A182" s="117"/>
      <c r="B182" s="119">
        <v>0</v>
      </c>
      <c r="C182" s="117"/>
      <c r="E182" s="119"/>
      <c r="F182" s="117"/>
      <c r="G182" s="117"/>
      <c r="H182" s="117"/>
      <c r="I182" s="117"/>
      <c r="J182" s="117"/>
      <c r="K182" s="117"/>
      <c r="L182" s="117"/>
      <c r="M182" s="119">
        <v>413000</v>
      </c>
      <c r="N182" s="117"/>
      <c r="O182" s="121"/>
      <c r="P182" s="117" t="s">
        <v>115</v>
      </c>
      <c r="Q182" s="117"/>
      <c r="R182" s="117"/>
    </row>
    <row r="183" spans="1:18" ht="13.5" thickBot="1">
      <c r="A183" s="117"/>
      <c r="B183" s="119">
        <v>0</v>
      </c>
      <c r="C183" s="117"/>
      <c r="E183" s="119"/>
      <c r="F183" s="117"/>
      <c r="G183" s="117"/>
      <c r="H183" s="117"/>
      <c r="I183" s="117"/>
      <c r="J183" s="117"/>
      <c r="K183" s="117"/>
      <c r="L183" s="117"/>
      <c r="M183" s="123">
        <v>3463860</v>
      </c>
      <c r="N183" s="117"/>
      <c r="O183" s="121"/>
      <c r="P183" s="117"/>
      <c r="Q183" s="117"/>
      <c r="R183" s="117"/>
    </row>
    <row r="184" spans="1:18" ht="13.5" thickBot="1">
      <c r="A184" s="117"/>
      <c r="B184" s="119">
        <v>0</v>
      </c>
      <c r="C184" s="117"/>
      <c r="E184" s="124"/>
      <c r="F184" s="117"/>
      <c r="G184" s="117"/>
      <c r="H184" s="117"/>
      <c r="I184" s="117"/>
      <c r="J184" s="117"/>
      <c r="K184" s="117"/>
      <c r="L184" s="117"/>
      <c r="M184" s="124">
        <v>4100</v>
      </c>
      <c r="N184" s="117"/>
      <c r="O184" s="121"/>
      <c r="P184" s="117" t="s">
        <v>179</v>
      </c>
      <c r="Q184" s="117"/>
      <c r="R184" s="117"/>
    </row>
    <row r="185" spans="1:18" ht="13.5" thickBot="1">
      <c r="A185" s="117"/>
      <c r="B185" s="141">
        <f>SUM(B174:B184)</f>
        <v>78440</v>
      </c>
      <c r="C185" s="117"/>
      <c r="E185" s="121"/>
      <c r="M185" s="144">
        <f>SUM(M174:M184)</f>
        <v>4468730</v>
      </c>
      <c r="N185" s="117" t="s">
        <v>177</v>
      </c>
      <c r="O185" s="117"/>
      <c r="P185" s="117"/>
      <c r="Q185" s="117"/>
      <c r="R185" s="117"/>
    </row>
    <row r="186" spans="1:18" ht="13.5" thickBot="1">
      <c r="A186" s="117"/>
      <c r="B186" s="119"/>
      <c r="C186" s="117"/>
      <c r="E186" s="123"/>
      <c r="F186" s="28"/>
      <c r="M186" s="124"/>
      <c r="N186" s="117"/>
      <c r="O186" s="117"/>
      <c r="P186" s="117"/>
      <c r="Q186" s="117"/>
      <c r="R186" s="117"/>
    </row>
    <row r="187" spans="1:18" ht="13.5" thickBot="1">
      <c r="A187" s="117"/>
      <c r="B187" s="123"/>
      <c r="C187" s="117"/>
      <c r="E187" s="121"/>
      <c r="M187" s="144">
        <f>N177</f>
        <v>4472420</v>
      </c>
      <c r="N187" s="117" t="s">
        <v>179</v>
      </c>
      <c r="O187" s="117"/>
      <c r="P187" s="117"/>
      <c r="Q187" s="117"/>
      <c r="R187" s="117"/>
    </row>
    <row r="188" spans="1:6" ht="12.75">
      <c r="A188" s="117"/>
      <c r="B188" s="123"/>
      <c r="C188" s="117"/>
      <c r="F188" s="92"/>
    </row>
    <row r="189" spans="1:14" ht="12.75">
      <c r="A189" s="117"/>
      <c r="B189" s="123"/>
      <c r="C189" s="117"/>
      <c r="M189" s="182">
        <f>100*(M185/M187)</f>
        <v>99.91749433192768</v>
      </c>
      <c r="N189" s="180" t="s">
        <v>193</v>
      </c>
    </row>
    <row r="190" spans="1:14" ht="12.75">
      <c r="A190" s="117"/>
      <c r="B190" s="123"/>
      <c r="C190" s="117"/>
      <c r="N190" s="184" t="s">
        <v>178</v>
      </c>
    </row>
    <row r="191" spans="1:14" ht="12.75">
      <c r="A191" s="117"/>
      <c r="B191" s="123"/>
      <c r="C191" s="117"/>
      <c r="N191" s="169" t="s">
        <v>180</v>
      </c>
    </row>
    <row r="192" spans="1:3" ht="13.5" thickBot="1">
      <c r="A192" s="117"/>
      <c r="B192" s="124"/>
      <c r="C192" s="117"/>
    </row>
    <row r="193" spans="1:3" ht="13.5" thickBot="1">
      <c r="A193" s="117"/>
      <c r="B193" s="121"/>
      <c r="C193" s="117"/>
    </row>
    <row r="195" ht="12.75">
      <c r="A195" s="181" t="s">
        <v>189</v>
      </c>
    </row>
    <row r="196" ht="13.5" thickBot="1"/>
    <row r="197" spans="1:18" ht="13.5" thickBot="1">
      <c r="A197" s="53" t="s">
        <v>40</v>
      </c>
      <c r="B197" s="15" t="s">
        <v>0</v>
      </c>
      <c r="C197" s="16" t="s">
        <v>1</v>
      </c>
      <c r="D197" s="42" t="s">
        <v>2</v>
      </c>
      <c r="E197" s="142" t="s">
        <v>81</v>
      </c>
      <c r="F197" s="19" t="s">
        <v>4</v>
      </c>
      <c r="G197" s="20" t="s">
        <v>5</v>
      </c>
      <c r="H197" s="33" t="s">
        <v>6</v>
      </c>
      <c r="I197" s="109" t="s">
        <v>141</v>
      </c>
      <c r="J197" s="23" t="s">
        <v>8</v>
      </c>
      <c r="K197" s="24" t="s">
        <v>9</v>
      </c>
      <c r="L197" s="49" t="s">
        <v>14</v>
      </c>
      <c r="M197" s="1" t="s">
        <v>13</v>
      </c>
      <c r="N197" s="3" t="s">
        <v>11</v>
      </c>
      <c r="O197" s="50" t="s">
        <v>114</v>
      </c>
      <c r="P197" s="81" t="s">
        <v>113</v>
      </c>
      <c r="Q197" s="110" t="s">
        <v>142</v>
      </c>
      <c r="R197" s="111" t="s">
        <v>80</v>
      </c>
    </row>
    <row r="198" spans="1:18" ht="13.5" thickBot="1">
      <c r="A198" s="114"/>
      <c r="B198" s="115">
        <v>14160</v>
      </c>
      <c r="C198" s="116">
        <v>3000</v>
      </c>
      <c r="D198" s="125">
        <v>6740</v>
      </c>
      <c r="E198" s="119">
        <v>5320</v>
      </c>
      <c r="F198" s="125">
        <v>7620</v>
      </c>
      <c r="G198" s="115">
        <v>2460</v>
      </c>
      <c r="H198" s="116">
        <v>2520</v>
      </c>
      <c r="I198" s="147"/>
      <c r="J198" s="147">
        <v>374000</v>
      </c>
      <c r="K198" s="148">
        <v>2940262</v>
      </c>
      <c r="L198" s="119">
        <v>1400</v>
      </c>
      <c r="M198" s="132">
        <f>B209</f>
        <v>95760</v>
      </c>
      <c r="N198" s="135">
        <f>D204</f>
        <v>3370</v>
      </c>
      <c r="O198" s="116">
        <v>1240</v>
      </c>
      <c r="P198" s="149">
        <v>0</v>
      </c>
      <c r="Q198" s="147">
        <v>0</v>
      </c>
      <c r="R198" s="121">
        <v>0</v>
      </c>
    </row>
    <row r="199" spans="1:18" ht="13.5" thickBot="1">
      <c r="A199" s="117"/>
      <c r="B199" s="118">
        <v>12840</v>
      </c>
      <c r="C199" s="119">
        <v>2740</v>
      </c>
      <c r="D199" s="126"/>
      <c r="E199" s="123">
        <v>6340</v>
      </c>
      <c r="F199" s="126">
        <v>4860</v>
      </c>
      <c r="G199" s="133"/>
      <c r="H199" s="119">
        <v>2600</v>
      </c>
      <c r="I199" s="117"/>
      <c r="J199" s="117"/>
      <c r="K199" s="117"/>
      <c r="L199" s="119">
        <v>2580</v>
      </c>
      <c r="M199" s="126">
        <f>C203</f>
        <v>13780</v>
      </c>
      <c r="N199" s="118">
        <f>M209</f>
        <v>3487972</v>
      </c>
      <c r="O199" s="119"/>
      <c r="P199" s="117"/>
      <c r="Q199" s="117"/>
      <c r="R199" s="117"/>
    </row>
    <row r="200" spans="1:18" ht="13.5" thickBot="1">
      <c r="A200" s="117"/>
      <c r="B200" s="118">
        <v>12620</v>
      </c>
      <c r="C200" s="119">
        <v>3080</v>
      </c>
      <c r="D200" s="126"/>
      <c r="E200" s="143">
        <v>1680</v>
      </c>
      <c r="F200" s="130">
        <v>5160</v>
      </c>
      <c r="G200" s="145">
        <f>G198</f>
        <v>2460</v>
      </c>
      <c r="H200" s="119"/>
      <c r="I200" s="117"/>
      <c r="J200" s="117"/>
      <c r="K200" s="117"/>
      <c r="L200" s="119">
        <v>4580</v>
      </c>
      <c r="M200" s="126">
        <f>D204</f>
        <v>3370</v>
      </c>
      <c r="N200" s="133">
        <v>1240</v>
      </c>
      <c r="O200" s="120"/>
      <c r="P200" s="117"/>
      <c r="Q200" s="117"/>
      <c r="R200" s="117"/>
    </row>
    <row r="201" spans="1:18" ht="13.5" thickBot="1">
      <c r="A201" s="117"/>
      <c r="B201" s="118">
        <v>12760</v>
      </c>
      <c r="C201" s="119"/>
      <c r="D201" s="119"/>
      <c r="E201" s="120">
        <v>1240</v>
      </c>
      <c r="F201" s="144">
        <f>SUM(F198:F200)</f>
        <v>17640</v>
      </c>
      <c r="G201" s="117"/>
      <c r="H201" s="120"/>
      <c r="I201" s="117"/>
      <c r="J201" s="117"/>
      <c r="K201" s="117"/>
      <c r="L201" s="119">
        <v>4500</v>
      </c>
      <c r="M201" s="119">
        <f>E202</f>
        <v>14580</v>
      </c>
      <c r="N201" s="146">
        <f>N198+N199+N200</f>
        <v>3492582</v>
      </c>
      <c r="O201" s="144">
        <f>SUM(O198:O200)</f>
        <v>1240</v>
      </c>
      <c r="P201" s="117"/>
      <c r="Q201" s="117"/>
      <c r="R201" s="117"/>
    </row>
    <row r="202" spans="1:18" ht="13.5" thickBot="1">
      <c r="A202" s="117"/>
      <c r="B202" s="118">
        <v>14240</v>
      </c>
      <c r="C202" s="120"/>
      <c r="D202" s="120"/>
      <c r="E202" s="144">
        <f>SUM(E198:E201)</f>
        <v>14580</v>
      </c>
      <c r="F202" s="117"/>
      <c r="G202" s="117"/>
      <c r="H202" s="146">
        <f>SUM(H198:H201)</f>
        <v>5120</v>
      </c>
      <c r="I202" s="117"/>
      <c r="J202" s="117"/>
      <c r="K202" s="117"/>
      <c r="L202" s="119">
        <v>5000</v>
      </c>
      <c r="M202" s="119">
        <f>F201</f>
        <v>17640</v>
      </c>
      <c r="N202" s="117"/>
      <c r="O202" s="117"/>
      <c r="P202" s="117"/>
      <c r="Q202" s="117"/>
      <c r="R202" s="117"/>
    </row>
    <row r="203" spans="1:18" ht="13.5" thickBot="1">
      <c r="A203" s="117"/>
      <c r="B203" s="119">
        <v>13780</v>
      </c>
      <c r="C203" s="144">
        <f>SUM(B203)</f>
        <v>13780</v>
      </c>
      <c r="D203" s="144">
        <f>SUM(D198:D202)</f>
        <v>6740</v>
      </c>
      <c r="E203" s="117"/>
      <c r="F203" s="117"/>
      <c r="G203" s="117"/>
      <c r="H203" s="117"/>
      <c r="I203" s="117"/>
      <c r="J203" s="117"/>
      <c r="K203" s="117"/>
      <c r="L203" s="120">
        <v>2940</v>
      </c>
      <c r="M203" s="119">
        <f>G200</f>
        <v>2460</v>
      </c>
      <c r="N203" s="117"/>
      <c r="O203" s="117"/>
      <c r="P203" s="117"/>
      <c r="Q203" s="117"/>
      <c r="R203" s="117"/>
    </row>
    <row r="204" spans="1:18" ht="13.5" thickBot="1">
      <c r="A204" s="117"/>
      <c r="B204" s="119">
        <v>15360</v>
      </c>
      <c r="C204" s="117"/>
      <c r="D204" s="164">
        <f>D203/2</f>
        <v>3370</v>
      </c>
      <c r="E204" s="131" t="s">
        <v>56</v>
      </c>
      <c r="F204" s="117"/>
      <c r="G204" s="117"/>
      <c r="H204" s="117"/>
      <c r="I204" s="117"/>
      <c r="J204" s="117"/>
      <c r="K204" s="117"/>
      <c r="L204" s="144">
        <f>SUM(L198:L203)</f>
        <v>21000</v>
      </c>
      <c r="M204" s="119">
        <f>H202</f>
        <v>5120</v>
      </c>
      <c r="N204" s="117"/>
      <c r="O204" s="117"/>
      <c r="P204" s="117"/>
      <c r="Q204" s="117"/>
      <c r="R204" s="117"/>
    </row>
    <row r="205" spans="1:18" ht="13.5" thickBot="1">
      <c r="A205" s="117"/>
      <c r="B205" s="119"/>
      <c r="C205" s="117"/>
      <c r="D205" s="55"/>
      <c r="E205" s="116"/>
      <c r="F205" s="117"/>
      <c r="G205" s="117"/>
      <c r="H205" s="117"/>
      <c r="I205" s="117"/>
      <c r="J205" s="117"/>
      <c r="K205" s="117"/>
      <c r="L205" s="117"/>
      <c r="M205" s="119">
        <f>I198</f>
        <v>0</v>
      </c>
      <c r="N205" s="117"/>
      <c r="O205" s="117"/>
      <c r="P205" s="117"/>
      <c r="Q205" s="117"/>
      <c r="R205" s="117"/>
    </row>
    <row r="206" spans="1:18" ht="13.5" thickBot="1">
      <c r="A206" s="117"/>
      <c r="B206" s="119"/>
      <c r="C206" s="117"/>
      <c r="E206" s="119"/>
      <c r="F206" s="117"/>
      <c r="G206" s="117"/>
      <c r="H206" s="117"/>
      <c r="I206" s="117"/>
      <c r="J206" s="117"/>
      <c r="K206" s="117"/>
      <c r="L206" s="117"/>
      <c r="M206" s="119">
        <f>J198</f>
        <v>374000</v>
      </c>
      <c r="N206" s="117"/>
      <c r="O206" s="121"/>
      <c r="P206" s="117" t="s">
        <v>115</v>
      </c>
      <c r="Q206" s="117"/>
      <c r="R206" s="117"/>
    </row>
    <row r="207" spans="1:18" ht="13.5" thickBot="1">
      <c r="A207" s="117"/>
      <c r="B207" s="119"/>
      <c r="C207" s="117"/>
      <c r="E207" s="119"/>
      <c r="F207" s="117"/>
      <c r="G207" s="117"/>
      <c r="H207" s="117"/>
      <c r="I207" s="117"/>
      <c r="J207" s="117"/>
      <c r="K207" s="117"/>
      <c r="L207" s="117"/>
      <c r="M207" s="123">
        <f>K198</f>
        <v>2940262</v>
      </c>
      <c r="N207" s="117"/>
      <c r="O207" s="121"/>
      <c r="P207" s="117"/>
      <c r="Q207" s="117"/>
      <c r="R207" s="117"/>
    </row>
    <row r="208" spans="1:18" ht="13.5" thickBot="1">
      <c r="A208" s="117"/>
      <c r="B208" s="119"/>
      <c r="C208" s="117"/>
      <c r="E208" s="124"/>
      <c r="F208" s="117"/>
      <c r="G208" s="117"/>
      <c r="H208" s="117"/>
      <c r="I208" s="117"/>
      <c r="J208" s="117"/>
      <c r="K208" s="117"/>
      <c r="L208" s="117"/>
      <c r="M208" s="124">
        <f>L204</f>
        <v>21000</v>
      </c>
      <c r="N208" s="117"/>
      <c r="O208" s="121"/>
      <c r="P208" s="117" t="s">
        <v>179</v>
      </c>
      <c r="Q208" s="117"/>
      <c r="R208" s="117"/>
    </row>
    <row r="209" spans="1:18" ht="13.5" thickBot="1">
      <c r="A209" s="117"/>
      <c r="B209" s="141">
        <f>SUM(B198:B208)</f>
        <v>95760</v>
      </c>
      <c r="C209" s="117"/>
      <c r="E209" s="121"/>
      <c r="M209" s="144">
        <f>SUM(M198:M208)</f>
        <v>3487972</v>
      </c>
      <c r="N209" s="117" t="s">
        <v>177</v>
      </c>
      <c r="O209" s="117"/>
      <c r="P209" s="117"/>
      <c r="Q209" s="117"/>
      <c r="R209" s="117"/>
    </row>
    <row r="210" spans="1:18" ht="13.5" thickBot="1">
      <c r="A210" s="117"/>
      <c r="B210" s="119"/>
      <c r="C210" s="117"/>
      <c r="E210" s="123"/>
      <c r="F210" s="28"/>
      <c r="M210" s="124"/>
      <c r="N210" s="117"/>
      <c r="O210" s="117"/>
      <c r="P210" s="117"/>
      <c r="Q210" s="117"/>
      <c r="R210" s="117"/>
    </row>
    <row r="211" spans="1:18" ht="13.5" thickBot="1">
      <c r="A211" s="117"/>
      <c r="B211" s="123"/>
      <c r="C211" s="117"/>
      <c r="E211" s="121"/>
      <c r="M211" s="144">
        <f>N201</f>
        <v>3492582</v>
      </c>
      <c r="N211" s="117" t="s">
        <v>179</v>
      </c>
      <c r="O211" s="117"/>
      <c r="P211" s="117"/>
      <c r="Q211" s="117"/>
      <c r="R211" s="117"/>
    </row>
    <row r="212" spans="1:6" ht="12.75">
      <c r="A212" s="117"/>
      <c r="B212" s="123"/>
      <c r="C212" s="117"/>
      <c r="F212" s="92"/>
    </row>
    <row r="213" spans="1:14" ht="12.75">
      <c r="A213" s="117"/>
      <c r="B213" s="123"/>
      <c r="C213" s="117"/>
      <c r="M213" s="182">
        <f>100*(M209/M211)</f>
        <v>99.86800596235106</v>
      </c>
      <c r="N213" s="180" t="s">
        <v>193</v>
      </c>
    </row>
    <row r="214" spans="1:14" ht="12.75">
      <c r="A214" s="117"/>
      <c r="B214" s="123"/>
      <c r="C214" s="117"/>
      <c r="N214" s="184" t="s">
        <v>178</v>
      </c>
    </row>
    <row r="215" spans="1:14" ht="12.75">
      <c r="A215" s="117"/>
      <c r="B215" s="123"/>
      <c r="C215" s="117"/>
      <c r="N215" s="169" t="s">
        <v>180</v>
      </c>
    </row>
    <row r="216" spans="1:3" ht="13.5" thickBot="1">
      <c r="A216" s="117"/>
      <c r="B216" s="124"/>
      <c r="C216" s="117"/>
    </row>
    <row r="217" spans="1:3" ht="13.5" thickBot="1">
      <c r="A217" s="117"/>
      <c r="B217" s="121"/>
      <c r="C217" s="117"/>
    </row>
    <row r="219" ht="12.75">
      <c r="A219" s="181" t="s">
        <v>190</v>
      </c>
    </row>
    <row r="220" ht="13.5" thickBot="1"/>
    <row r="221" spans="1:18" ht="13.5" thickBot="1">
      <c r="A221" s="53" t="s">
        <v>40</v>
      </c>
      <c r="B221" s="15" t="s">
        <v>0</v>
      </c>
      <c r="C221" s="16" t="s">
        <v>1</v>
      </c>
      <c r="D221" s="42" t="s">
        <v>2</v>
      </c>
      <c r="E221" s="142" t="s">
        <v>81</v>
      </c>
      <c r="F221" s="19" t="s">
        <v>4</v>
      </c>
      <c r="G221" s="20" t="s">
        <v>5</v>
      </c>
      <c r="H221" s="33" t="s">
        <v>6</v>
      </c>
      <c r="I221" s="109" t="s">
        <v>141</v>
      </c>
      <c r="J221" s="23" t="s">
        <v>8</v>
      </c>
      <c r="K221" s="24" t="s">
        <v>9</v>
      </c>
      <c r="L221" s="49" t="s">
        <v>14</v>
      </c>
      <c r="M221" s="1" t="s">
        <v>13</v>
      </c>
      <c r="N221" s="3" t="s">
        <v>11</v>
      </c>
      <c r="O221" s="50" t="s">
        <v>114</v>
      </c>
      <c r="P221" s="81" t="s">
        <v>113</v>
      </c>
      <c r="Q221" s="110" t="s">
        <v>142</v>
      </c>
      <c r="R221" s="111" t="s">
        <v>80</v>
      </c>
    </row>
    <row r="222" spans="1:18" ht="13.5" thickBot="1">
      <c r="A222" s="114"/>
      <c r="B222" s="115">
        <v>12140</v>
      </c>
      <c r="C222" s="116">
        <v>3060</v>
      </c>
      <c r="D222" s="167"/>
      <c r="E222" s="119">
        <v>4480</v>
      </c>
      <c r="F222" s="125">
        <v>10060</v>
      </c>
      <c r="G222" s="115">
        <v>1580</v>
      </c>
      <c r="H222" s="116">
        <v>2640</v>
      </c>
      <c r="I222" s="147"/>
      <c r="J222" s="147">
        <f>(567*1000)+647</f>
        <v>567647</v>
      </c>
      <c r="K222" s="148">
        <f>3667*1000</f>
        <v>3667000</v>
      </c>
      <c r="L222" s="119">
        <v>2440</v>
      </c>
      <c r="M222" s="132">
        <f>B237</f>
        <v>121400</v>
      </c>
      <c r="N222" s="135">
        <f>D232</f>
        <v>0</v>
      </c>
      <c r="O222" s="168"/>
      <c r="P222" s="149">
        <v>0</v>
      </c>
      <c r="Q222" s="147">
        <v>0</v>
      </c>
      <c r="R222" s="121">
        <v>0</v>
      </c>
    </row>
    <row r="223" spans="1:18" ht="12.75">
      <c r="A223" s="137"/>
      <c r="B223" s="118">
        <v>12140</v>
      </c>
      <c r="C223" s="119">
        <v>2900</v>
      </c>
      <c r="D223" s="126"/>
      <c r="E223" s="119"/>
      <c r="F223" s="126">
        <v>8400</v>
      </c>
      <c r="G223" s="118"/>
      <c r="H223" s="119"/>
      <c r="I223" s="165"/>
      <c r="J223" s="165"/>
      <c r="K223" s="165"/>
      <c r="L223" s="119">
        <v>3980</v>
      </c>
      <c r="M223" s="126">
        <f>C231</f>
        <v>18520</v>
      </c>
      <c r="N223" s="118">
        <f>M233</f>
        <v>4434277</v>
      </c>
      <c r="O223" s="119"/>
      <c r="P223" s="165"/>
      <c r="Q223" s="165"/>
      <c r="R223" s="137"/>
    </row>
    <row r="224" spans="1:18" ht="12.75">
      <c r="A224" s="137"/>
      <c r="B224" s="118">
        <v>8940</v>
      </c>
      <c r="C224" s="119">
        <v>2360</v>
      </c>
      <c r="D224" s="126"/>
      <c r="E224" s="119"/>
      <c r="F224" s="126">
        <v>5760</v>
      </c>
      <c r="G224" s="118"/>
      <c r="H224" s="119"/>
      <c r="I224" s="165"/>
      <c r="J224" s="165"/>
      <c r="K224" s="165"/>
      <c r="L224" s="119"/>
      <c r="M224" s="126">
        <f>D232</f>
        <v>0</v>
      </c>
      <c r="N224" s="166"/>
      <c r="O224" s="119"/>
      <c r="P224" s="165"/>
      <c r="Q224" s="165"/>
      <c r="R224" s="137"/>
    </row>
    <row r="225" spans="1:18" ht="12.75">
      <c r="A225" s="137"/>
      <c r="B225" s="118">
        <v>12860</v>
      </c>
      <c r="C225" s="119">
        <v>2480</v>
      </c>
      <c r="D225" s="126"/>
      <c r="E225" s="119"/>
      <c r="F225" s="126">
        <v>5670</v>
      </c>
      <c r="G225" s="118"/>
      <c r="H225" s="119"/>
      <c r="I225" s="165"/>
      <c r="J225" s="165"/>
      <c r="K225" s="165"/>
      <c r="L225" s="119"/>
      <c r="M225" s="119">
        <f>E230</f>
        <v>4480</v>
      </c>
      <c r="N225" s="166"/>
      <c r="O225" s="119"/>
      <c r="P225" s="165"/>
      <c r="Q225" s="165"/>
      <c r="R225" s="137"/>
    </row>
    <row r="226" spans="1:18" ht="13.5" thickBot="1">
      <c r="A226" s="117"/>
      <c r="B226" s="118">
        <v>8780</v>
      </c>
      <c r="C226" s="119">
        <v>7720</v>
      </c>
      <c r="D226" s="126"/>
      <c r="E226" s="123"/>
      <c r="F226" s="126">
        <v>1420</v>
      </c>
      <c r="G226" s="133"/>
      <c r="H226" s="119"/>
      <c r="I226" s="117"/>
      <c r="J226" s="117"/>
      <c r="K226" s="117"/>
      <c r="L226" s="119"/>
      <c r="M226" s="119">
        <f>F229</f>
        <v>44590</v>
      </c>
      <c r="O226" s="119"/>
      <c r="P226" s="117"/>
      <c r="Q226" s="117"/>
      <c r="R226" s="117"/>
    </row>
    <row r="227" spans="1:18" ht="13.5" thickBot="1">
      <c r="A227" s="117"/>
      <c r="B227" s="118">
        <v>12240</v>
      </c>
      <c r="C227" s="119"/>
      <c r="D227" s="126"/>
      <c r="E227" s="123"/>
      <c r="F227" s="126">
        <v>4600</v>
      </c>
      <c r="G227" s="133"/>
      <c r="H227" s="119"/>
      <c r="I227" s="117"/>
      <c r="J227" s="117"/>
      <c r="K227" s="117"/>
      <c r="L227" s="119"/>
      <c r="M227" s="119">
        <f>G228</f>
        <v>1580</v>
      </c>
      <c r="N227" s="118"/>
      <c r="O227" s="119"/>
      <c r="P227" s="117"/>
      <c r="Q227" s="117"/>
      <c r="R227" s="117"/>
    </row>
    <row r="228" spans="1:18" ht="13.5" thickBot="1">
      <c r="A228" s="117"/>
      <c r="B228" s="118">
        <v>15140</v>
      </c>
      <c r="C228" s="119"/>
      <c r="D228" s="126"/>
      <c r="E228" s="143"/>
      <c r="F228" s="130">
        <v>8680</v>
      </c>
      <c r="G228" s="145">
        <f>SUM(G222:G226)</f>
        <v>1580</v>
      </c>
      <c r="H228" s="119"/>
      <c r="I228" s="117"/>
      <c r="J228" s="117"/>
      <c r="K228" s="117"/>
      <c r="L228" s="119"/>
      <c r="M228" s="119">
        <f>H230</f>
        <v>2640</v>
      </c>
      <c r="N228" s="133"/>
      <c r="O228" s="120"/>
      <c r="P228" s="117"/>
      <c r="Q228" s="117"/>
      <c r="R228" s="117"/>
    </row>
    <row r="229" spans="1:18" ht="13.5" thickBot="1">
      <c r="A229" s="117"/>
      <c r="B229" s="118">
        <v>9180</v>
      </c>
      <c r="C229" s="119"/>
      <c r="D229" s="119"/>
      <c r="E229" s="120"/>
      <c r="F229" s="144">
        <f>SUM(F222:F228)</f>
        <v>44590</v>
      </c>
      <c r="G229" s="117"/>
      <c r="H229" s="120"/>
      <c r="I229" s="117"/>
      <c r="J229" s="117"/>
      <c r="K229" s="117"/>
      <c r="L229" s="119"/>
      <c r="M229" s="119">
        <f>I222</f>
        <v>0</v>
      </c>
      <c r="N229" s="146">
        <f>N222+N223+N228</f>
        <v>4434277</v>
      </c>
      <c r="O229" s="144">
        <f>SUM(O222:O228)</f>
        <v>0</v>
      </c>
      <c r="P229" s="117"/>
      <c r="Q229" s="117"/>
      <c r="R229" s="117"/>
    </row>
    <row r="230" spans="1:18" ht="13.5" thickBot="1">
      <c r="A230" s="117"/>
      <c r="B230" s="119">
        <v>15400</v>
      </c>
      <c r="C230" s="120"/>
      <c r="D230" s="120"/>
      <c r="E230" s="144">
        <f>SUM(E222:E229)</f>
        <v>4480</v>
      </c>
      <c r="F230" s="117"/>
      <c r="G230" s="117"/>
      <c r="H230" s="146">
        <f>SUM(H222:H229)</f>
        <v>2640</v>
      </c>
      <c r="I230" s="117"/>
      <c r="J230" s="117"/>
      <c r="K230" s="117"/>
      <c r="L230" s="119"/>
      <c r="M230" s="119">
        <f>J222</f>
        <v>567647</v>
      </c>
      <c r="N230" s="117"/>
      <c r="O230" s="117"/>
      <c r="P230" s="117"/>
      <c r="Q230" s="117"/>
      <c r="R230" s="117"/>
    </row>
    <row r="231" spans="1:18" ht="13.5" thickBot="1">
      <c r="A231" s="117"/>
      <c r="B231" s="123">
        <v>14580</v>
      </c>
      <c r="C231" s="144">
        <f>SUM(C222:C226)</f>
        <v>18520</v>
      </c>
      <c r="D231" s="144">
        <f>SUM(D222:D230)</f>
        <v>0</v>
      </c>
      <c r="E231" s="117"/>
      <c r="F231" s="117"/>
      <c r="G231" s="117"/>
      <c r="H231" s="117"/>
      <c r="I231" s="117"/>
      <c r="J231" s="117"/>
      <c r="K231" s="117"/>
      <c r="L231" s="120"/>
      <c r="M231" s="123">
        <f>K222</f>
        <v>3667000</v>
      </c>
      <c r="N231" s="117"/>
      <c r="O231" s="117"/>
      <c r="P231" s="117"/>
      <c r="Q231" s="117"/>
      <c r="R231" s="117"/>
    </row>
    <row r="232" spans="1:18" ht="13.5" thickBot="1">
      <c r="A232" s="117"/>
      <c r="B232" s="119"/>
      <c r="C232" s="117"/>
      <c r="D232" s="164">
        <f>D231/2</f>
        <v>0</v>
      </c>
      <c r="E232" s="131" t="s">
        <v>56</v>
      </c>
      <c r="F232" s="117"/>
      <c r="G232" s="117"/>
      <c r="H232" s="117"/>
      <c r="I232" s="117"/>
      <c r="J232" s="117"/>
      <c r="K232" s="117"/>
      <c r="L232" s="144">
        <f>SUM(L222:L231)</f>
        <v>6420</v>
      </c>
      <c r="M232" s="124">
        <f>L232</f>
        <v>6420</v>
      </c>
      <c r="N232" s="117"/>
      <c r="O232" s="117"/>
      <c r="P232" s="117"/>
      <c r="Q232" s="117"/>
      <c r="R232" s="117"/>
    </row>
    <row r="233" spans="1:18" ht="13.5" thickBot="1">
      <c r="A233" s="117"/>
      <c r="B233" s="119"/>
      <c r="C233" s="117"/>
      <c r="D233" s="55"/>
      <c r="E233" s="168"/>
      <c r="F233" s="117"/>
      <c r="G233" s="117"/>
      <c r="H233" s="117"/>
      <c r="I233" s="117"/>
      <c r="J233" s="117"/>
      <c r="K233" s="117"/>
      <c r="L233" s="117"/>
      <c r="M233" s="144">
        <f>SUM(M222:M232)</f>
        <v>4434277</v>
      </c>
      <c r="N233" s="117" t="s">
        <v>177</v>
      </c>
      <c r="O233" s="117"/>
      <c r="P233" s="117"/>
      <c r="Q233" s="117"/>
      <c r="R233" s="117"/>
    </row>
    <row r="234" spans="1:18" ht="13.5" thickBot="1">
      <c r="A234" s="117"/>
      <c r="B234" s="119"/>
      <c r="C234" s="117"/>
      <c r="E234" s="119"/>
      <c r="F234" s="117"/>
      <c r="G234" s="117"/>
      <c r="H234" s="117"/>
      <c r="I234" s="117"/>
      <c r="J234" s="117"/>
      <c r="K234" s="117"/>
      <c r="L234" s="117"/>
      <c r="M234" s="124"/>
      <c r="N234" s="117"/>
      <c r="O234" s="121"/>
      <c r="P234" s="117" t="s">
        <v>115</v>
      </c>
      <c r="Q234" s="117"/>
      <c r="R234" s="117"/>
    </row>
    <row r="235" spans="1:18" ht="13.5" thickBot="1">
      <c r="A235" s="117"/>
      <c r="B235" s="119"/>
      <c r="C235" s="117"/>
      <c r="E235" s="119"/>
      <c r="F235" s="117"/>
      <c r="G235" s="117"/>
      <c r="H235" s="117"/>
      <c r="I235" s="117"/>
      <c r="J235" s="117"/>
      <c r="K235" s="117"/>
      <c r="L235" s="117"/>
      <c r="M235" s="144">
        <f>N229</f>
        <v>4434277</v>
      </c>
      <c r="N235" s="117" t="s">
        <v>179</v>
      </c>
      <c r="O235" s="121"/>
      <c r="P235" s="117"/>
      <c r="Q235" s="117"/>
      <c r="R235" s="117"/>
    </row>
    <row r="236" spans="1:18" ht="13.5" thickBot="1">
      <c r="A236" s="117"/>
      <c r="B236" s="119"/>
      <c r="C236" s="117"/>
      <c r="E236" s="124"/>
      <c r="F236" s="117"/>
      <c r="G236" s="117"/>
      <c r="H236" s="117"/>
      <c r="I236" s="117"/>
      <c r="J236" s="117"/>
      <c r="K236" s="117"/>
      <c r="L236" s="117"/>
      <c r="N236" s="117"/>
      <c r="O236" s="121"/>
      <c r="P236" s="117" t="s">
        <v>179</v>
      </c>
      <c r="Q236" s="117"/>
      <c r="R236" s="117"/>
    </row>
    <row r="237" spans="1:18" ht="13.5" thickBot="1">
      <c r="A237" s="117"/>
      <c r="B237" s="141">
        <f>SUM(B222:B236)</f>
        <v>121400</v>
      </c>
      <c r="C237" s="117"/>
      <c r="E237" s="121"/>
      <c r="M237" s="182">
        <f>100*(M233/M235)</f>
        <v>100</v>
      </c>
      <c r="N237" s="180" t="s">
        <v>193</v>
      </c>
      <c r="O237" s="117"/>
      <c r="P237" s="117"/>
      <c r="Q237" s="117"/>
      <c r="R237" s="117"/>
    </row>
    <row r="238" spans="1:18" ht="13.5" thickBot="1">
      <c r="A238" s="117"/>
      <c r="B238" s="119"/>
      <c r="C238" s="117"/>
      <c r="E238" s="123"/>
      <c r="F238" s="28"/>
      <c r="N238" s="184" t="s">
        <v>178</v>
      </c>
      <c r="O238" s="117"/>
      <c r="P238" s="117"/>
      <c r="Q238" s="117"/>
      <c r="R238" s="117"/>
    </row>
    <row r="239" spans="1:18" ht="13.5" thickBot="1">
      <c r="A239" s="117"/>
      <c r="B239" s="123"/>
      <c r="C239" s="117"/>
      <c r="E239" s="121"/>
      <c r="N239" s="169" t="s">
        <v>180</v>
      </c>
      <c r="O239" s="117"/>
      <c r="P239" s="117"/>
      <c r="Q239" s="117"/>
      <c r="R239" s="117"/>
    </row>
    <row r="240" spans="1:6" ht="12.75">
      <c r="A240" s="117"/>
      <c r="B240" s="123"/>
      <c r="C240" s="117"/>
      <c r="F240" s="92"/>
    </row>
    <row r="241" spans="1:14" ht="12.75">
      <c r="A241" s="117"/>
      <c r="B241" s="123"/>
      <c r="C241" s="117"/>
      <c r="M241" s="219">
        <f>M233</f>
        <v>4434277</v>
      </c>
      <c r="N241" s="169" t="s">
        <v>215</v>
      </c>
    </row>
    <row r="242" spans="1:3" ht="12.75">
      <c r="A242" s="117"/>
      <c r="B242" s="123"/>
      <c r="C242" s="117"/>
    </row>
    <row r="243" spans="1:3" ht="12.75">
      <c r="A243" s="117"/>
      <c r="B243" s="123"/>
      <c r="C243" s="117"/>
    </row>
    <row r="244" spans="1:3" ht="13.5" thickBot="1">
      <c r="A244" s="117"/>
      <c r="B244" s="124"/>
      <c r="C244" s="117"/>
    </row>
    <row r="245" spans="1:3" ht="13.5" thickBot="1">
      <c r="A245" s="117"/>
      <c r="B245" s="121"/>
      <c r="C245" s="117"/>
    </row>
    <row r="247" ht="12.75">
      <c r="A247" s="181" t="s">
        <v>191</v>
      </c>
    </row>
    <row r="248" ht="13.5" thickBot="1">
      <c r="P248" t="s">
        <v>160</v>
      </c>
    </row>
    <row r="249" spans="1:18" ht="13.5" thickBot="1">
      <c r="A249" s="53" t="s">
        <v>40</v>
      </c>
      <c r="B249" s="15" t="s">
        <v>0</v>
      </c>
      <c r="C249" s="16" t="s">
        <v>1</v>
      </c>
      <c r="D249" s="42" t="s">
        <v>2</v>
      </c>
      <c r="E249" s="142" t="s">
        <v>81</v>
      </c>
      <c r="F249" s="19" t="s">
        <v>4</v>
      </c>
      <c r="G249" s="20" t="s">
        <v>5</v>
      </c>
      <c r="H249" s="33" t="s">
        <v>6</v>
      </c>
      <c r="I249" s="109" t="s">
        <v>141</v>
      </c>
      <c r="J249" s="23" t="s">
        <v>8</v>
      </c>
      <c r="K249" s="24" t="s">
        <v>9</v>
      </c>
      <c r="L249" s="49" t="s">
        <v>14</v>
      </c>
      <c r="M249" s="1" t="s">
        <v>13</v>
      </c>
      <c r="N249" s="3" t="s">
        <v>11</v>
      </c>
      <c r="O249" s="50" t="s">
        <v>114</v>
      </c>
      <c r="P249" s="81" t="s">
        <v>113</v>
      </c>
      <c r="Q249" s="110" t="s">
        <v>142</v>
      </c>
      <c r="R249" s="111" t="s">
        <v>80</v>
      </c>
    </row>
    <row r="250" spans="1:18" ht="13.5" thickBot="1">
      <c r="A250" s="114"/>
      <c r="B250" s="115">
        <v>10900</v>
      </c>
      <c r="C250" s="116">
        <v>2200</v>
      </c>
      <c r="D250" s="167">
        <v>8560</v>
      </c>
      <c r="E250" s="119">
        <v>6700</v>
      </c>
      <c r="F250" s="125">
        <v>5000</v>
      </c>
      <c r="G250" s="115">
        <v>2240</v>
      </c>
      <c r="H250" s="116">
        <v>2900</v>
      </c>
      <c r="I250" s="147"/>
      <c r="J250" s="147">
        <f>(351*1000)+389</f>
        <v>351389</v>
      </c>
      <c r="K250" s="148">
        <f>2658*1000</f>
        <v>2658000</v>
      </c>
      <c r="L250" s="119">
        <v>8220</v>
      </c>
      <c r="M250" s="132">
        <f>B265</f>
        <v>104660</v>
      </c>
      <c r="N250" s="135">
        <f>D260</f>
        <v>4280</v>
      </c>
      <c r="O250" s="168">
        <v>2400</v>
      </c>
      <c r="P250" s="149">
        <v>1880</v>
      </c>
      <c r="Q250" s="147">
        <v>0</v>
      </c>
      <c r="R250" s="121">
        <v>0</v>
      </c>
    </row>
    <row r="251" spans="1:18" ht="12.75">
      <c r="A251" s="137"/>
      <c r="B251" s="118">
        <v>15280</v>
      </c>
      <c r="C251" s="119">
        <v>1800</v>
      </c>
      <c r="D251" s="126"/>
      <c r="E251" s="119">
        <v>7000</v>
      </c>
      <c r="F251" s="126">
        <v>5260</v>
      </c>
      <c r="G251" s="118"/>
      <c r="H251" s="119"/>
      <c r="I251" s="165"/>
      <c r="J251" s="165"/>
      <c r="K251" s="165"/>
      <c r="L251" s="119">
        <v>2940</v>
      </c>
      <c r="M251" s="126">
        <f>C259</f>
        <v>13480</v>
      </c>
      <c r="N251" s="118">
        <f>M261</f>
        <v>3197129</v>
      </c>
      <c r="O251" s="119"/>
      <c r="P251" s="165"/>
      <c r="Q251" s="165"/>
      <c r="R251" s="137"/>
    </row>
    <row r="252" spans="1:18" ht="12.75">
      <c r="A252" s="137"/>
      <c r="B252" s="118">
        <v>13700</v>
      </c>
      <c r="C252" s="119">
        <v>1940</v>
      </c>
      <c r="D252" s="126"/>
      <c r="E252" s="119">
        <v>4260</v>
      </c>
      <c r="F252" s="126">
        <v>10860</v>
      </c>
      <c r="G252" s="118"/>
      <c r="H252" s="119"/>
      <c r="I252" s="165"/>
      <c r="J252" s="165"/>
      <c r="K252" s="165"/>
      <c r="L252" s="119">
        <v>3780</v>
      </c>
      <c r="M252" s="126">
        <f>D260</f>
        <v>4280</v>
      </c>
      <c r="N252" s="166"/>
      <c r="O252" s="119"/>
      <c r="P252" s="165"/>
      <c r="Q252" s="165"/>
      <c r="R252" s="137"/>
    </row>
    <row r="253" spans="1:18" ht="12.75">
      <c r="A253" s="137"/>
      <c r="B253" s="118">
        <v>11040</v>
      </c>
      <c r="C253" s="119">
        <v>1900</v>
      </c>
      <c r="D253" s="126"/>
      <c r="E253" s="119"/>
      <c r="F253" s="126">
        <v>4280</v>
      </c>
      <c r="G253" s="118"/>
      <c r="H253" s="119"/>
      <c r="I253" s="165"/>
      <c r="J253" s="165"/>
      <c r="K253" s="165"/>
      <c r="L253" s="119"/>
      <c r="M253" s="119">
        <f>E258</f>
        <v>17960</v>
      </c>
      <c r="N253" s="166"/>
      <c r="O253" s="119"/>
      <c r="P253" s="165"/>
      <c r="Q253" s="165"/>
      <c r="R253" s="137"/>
    </row>
    <row r="254" spans="1:18" ht="13.5" thickBot="1">
      <c r="A254" s="117"/>
      <c r="B254" s="118">
        <v>15080</v>
      </c>
      <c r="C254" s="119">
        <f>5.64*1000</f>
        <v>5640</v>
      </c>
      <c r="D254" s="126"/>
      <c r="E254" s="123"/>
      <c r="F254" s="126"/>
      <c r="G254" s="133"/>
      <c r="H254" s="119"/>
      <c r="I254" s="117"/>
      <c r="J254" s="117"/>
      <c r="K254" s="117"/>
      <c r="L254" s="119"/>
      <c r="M254" s="119">
        <f>F257</f>
        <v>25400</v>
      </c>
      <c r="O254" s="119"/>
      <c r="P254" s="117"/>
      <c r="Q254" s="117"/>
      <c r="R254" s="117"/>
    </row>
    <row r="255" spans="1:18" ht="13.5" thickBot="1">
      <c r="A255" s="117"/>
      <c r="B255" s="118">
        <v>13720</v>
      </c>
      <c r="C255" s="119"/>
      <c r="D255" s="126"/>
      <c r="E255" s="123"/>
      <c r="F255" s="126"/>
      <c r="G255" s="133"/>
      <c r="H255" s="119"/>
      <c r="I255" s="117"/>
      <c r="J255" s="117"/>
      <c r="K255" s="117"/>
      <c r="L255" s="119"/>
      <c r="M255" s="119">
        <f>G256</f>
        <v>2240</v>
      </c>
      <c r="N255" s="118"/>
      <c r="O255" s="119"/>
      <c r="P255" s="117"/>
      <c r="Q255" s="117"/>
      <c r="R255" s="117"/>
    </row>
    <row r="256" spans="1:18" ht="13.5" thickBot="1">
      <c r="A256" s="117"/>
      <c r="B256" s="118">
        <v>9860</v>
      </c>
      <c r="C256" s="119"/>
      <c r="D256" s="126"/>
      <c r="E256" s="143"/>
      <c r="F256" s="130"/>
      <c r="G256" s="145">
        <f>SUM(G250:G254)</f>
        <v>2240</v>
      </c>
      <c r="H256" s="119"/>
      <c r="I256" s="117"/>
      <c r="J256" s="117"/>
      <c r="K256" s="117"/>
      <c r="L256" s="119"/>
      <c r="M256" s="119">
        <f>H258</f>
        <v>2900</v>
      </c>
      <c r="N256" s="133"/>
      <c r="O256" s="120"/>
      <c r="P256" s="117"/>
      <c r="Q256" s="117"/>
      <c r="R256" s="117"/>
    </row>
    <row r="257" spans="1:18" ht="13.5" thickBot="1">
      <c r="A257" s="117"/>
      <c r="B257" s="118">
        <v>15080</v>
      </c>
      <c r="C257" s="119"/>
      <c r="D257" s="119"/>
      <c r="E257" s="120"/>
      <c r="F257" s="144">
        <f>SUM(F250:F256)</f>
        <v>25400</v>
      </c>
      <c r="G257" s="117"/>
      <c r="H257" s="120"/>
      <c r="I257" s="117"/>
      <c r="J257" s="117"/>
      <c r="K257" s="117"/>
      <c r="L257" s="119"/>
      <c r="M257" s="119">
        <f>P250</f>
        <v>1880</v>
      </c>
      <c r="N257" s="146">
        <f>N250+N251+N256</f>
        <v>3201409</v>
      </c>
      <c r="O257" s="144">
        <f>SUM(O250:O256)</f>
        <v>2400</v>
      </c>
      <c r="P257" s="117"/>
      <c r="Q257" s="117"/>
      <c r="R257" s="117"/>
    </row>
    <row r="258" spans="1:18" ht="13.5" thickBot="1">
      <c r="A258" s="117"/>
      <c r="B258" s="119"/>
      <c r="C258" s="120"/>
      <c r="D258" s="120"/>
      <c r="E258" s="144">
        <f>SUM(E250:E257)</f>
        <v>17960</v>
      </c>
      <c r="F258" s="117"/>
      <c r="G258" s="117"/>
      <c r="H258" s="146">
        <f>SUM(H250:H257)</f>
        <v>2900</v>
      </c>
      <c r="I258" s="117"/>
      <c r="J258" s="117"/>
      <c r="K258" s="117"/>
      <c r="L258" s="119"/>
      <c r="M258" s="119">
        <f>J250</f>
        <v>351389</v>
      </c>
      <c r="N258" s="117"/>
      <c r="O258" s="117"/>
      <c r="P258" s="117"/>
      <c r="Q258" s="117"/>
      <c r="R258" s="117"/>
    </row>
    <row r="259" spans="1:18" ht="13.5" thickBot="1">
      <c r="A259" s="117"/>
      <c r="B259" s="123"/>
      <c r="C259" s="144">
        <f>SUM(C250:C254)</f>
        <v>13480</v>
      </c>
      <c r="D259" s="144">
        <f>SUM(D250:D258)</f>
        <v>8560</v>
      </c>
      <c r="E259" s="117"/>
      <c r="F259" s="117"/>
      <c r="G259" s="117"/>
      <c r="H259" s="117"/>
      <c r="I259" s="117"/>
      <c r="J259" s="117"/>
      <c r="K259" s="117"/>
      <c r="L259" s="120"/>
      <c r="M259" s="123">
        <f>K250</f>
        <v>2658000</v>
      </c>
      <c r="N259" s="117"/>
      <c r="O259" s="117"/>
      <c r="P259" s="117"/>
      <c r="Q259" s="117"/>
      <c r="R259" s="117"/>
    </row>
    <row r="260" spans="1:18" ht="13.5" thickBot="1">
      <c r="A260" s="117"/>
      <c r="B260" s="119"/>
      <c r="C260" s="117"/>
      <c r="D260" s="164">
        <f>D259/2</f>
        <v>4280</v>
      </c>
      <c r="E260" s="131" t="s">
        <v>56</v>
      </c>
      <c r="F260" s="117"/>
      <c r="G260" s="117"/>
      <c r="H260" s="117"/>
      <c r="I260" s="117"/>
      <c r="J260" s="117"/>
      <c r="K260" s="117"/>
      <c r="L260" s="144">
        <f>SUM(L250:L259)</f>
        <v>14940</v>
      </c>
      <c r="M260" s="124">
        <f>L260</f>
        <v>14940</v>
      </c>
      <c r="N260" s="117"/>
      <c r="O260" s="117"/>
      <c r="P260" s="117"/>
      <c r="Q260" s="117"/>
      <c r="R260" s="117"/>
    </row>
    <row r="261" spans="1:18" ht="13.5" thickBot="1">
      <c r="A261" s="117"/>
      <c r="B261" s="119"/>
      <c r="C261" s="117"/>
      <c r="D261" s="55"/>
      <c r="E261" s="168"/>
      <c r="F261" s="117"/>
      <c r="G261" s="117"/>
      <c r="H261" s="117"/>
      <c r="I261" s="117"/>
      <c r="J261" s="117"/>
      <c r="K261" s="117"/>
      <c r="L261" s="117"/>
      <c r="M261" s="144">
        <f>SUM(M250:M260)</f>
        <v>3197129</v>
      </c>
      <c r="N261" s="117" t="s">
        <v>177</v>
      </c>
      <c r="O261" s="117"/>
      <c r="P261" s="117"/>
      <c r="Q261" s="117"/>
      <c r="R261" s="117"/>
    </row>
    <row r="262" spans="1:18" ht="13.5" thickBot="1">
      <c r="A262" s="117"/>
      <c r="B262" s="119"/>
      <c r="C262" s="117"/>
      <c r="E262" s="119"/>
      <c r="F262" s="117"/>
      <c r="G262" s="117"/>
      <c r="H262" s="117"/>
      <c r="I262" s="117"/>
      <c r="J262" s="117"/>
      <c r="K262" s="117"/>
      <c r="L262" s="117"/>
      <c r="M262" s="124"/>
      <c r="N262" s="117"/>
      <c r="O262" s="121"/>
      <c r="P262" s="117" t="s">
        <v>115</v>
      </c>
      <c r="Q262" s="117"/>
      <c r="R262" s="117"/>
    </row>
    <row r="263" spans="1:18" ht="13.5" thickBot="1">
      <c r="A263" s="117"/>
      <c r="B263" s="119"/>
      <c r="C263" s="117"/>
      <c r="E263" s="119"/>
      <c r="F263" s="117"/>
      <c r="G263" s="117"/>
      <c r="H263" s="117"/>
      <c r="I263" s="117"/>
      <c r="J263" s="117"/>
      <c r="K263" s="117"/>
      <c r="L263" s="117"/>
      <c r="M263" s="144">
        <f>N257</f>
        <v>3201409</v>
      </c>
      <c r="N263" s="117" t="s">
        <v>179</v>
      </c>
      <c r="O263" s="121"/>
      <c r="P263" s="117"/>
      <c r="Q263" s="117"/>
      <c r="R263" s="117"/>
    </row>
    <row r="264" spans="1:18" ht="13.5" thickBot="1">
      <c r="A264" s="117"/>
      <c r="B264" s="119"/>
      <c r="C264" s="117"/>
      <c r="E264" s="124"/>
      <c r="F264" s="117"/>
      <c r="G264" s="117"/>
      <c r="H264" s="117"/>
      <c r="I264" s="117"/>
      <c r="J264" s="117"/>
      <c r="K264" s="117"/>
      <c r="L264" s="117"/>
      <c r="N264" s="117"/>
      <c r="O264" s="121"/>
      <c r="P264" s="117" t="s">
        <v>179</v>
      </c>
      <c r="Q264" s="117"/>
      <c r="R264" s="117"/>
    </row>
    <row r="265" spans="1:18" ht="13.5" thickBot="1">
      <c r="A265" s="117"/>
      <c r="B265" s="141">
        <f>SUM(B250:B264)</f>
        <v>104660</v>
      </c>
      <c r="C265" s="117"/>
      <c r="E265" s="121"/>
      <c r="M265" s="182">
        <f>100*(M261/M263)</f>
        <v>99.8663088658775</v>
      </c>
      <c r="N265" s="180" t="s">
        <v>193</v>
      </c>
      <c r="O265" s="117"/>
      <c r="P265" s="117"/>
      <c r="Q265" s="117"/>
      <c r="R265" s="117"/>
    </row>
    <row r="266" spans="1:18" ht="13.5" thickBot="1">
      <c r="A266" s="117"/>
      <c r="B266" s="119"/>
      <c r="C266" s="117"/>
      <c r="E266" s="123"/>
      <c r="F266" s="28"/>
      <c r="N266" s="184" t="s">
        <v>178</v>
      </c>
      <c r="O266" s="117"/>
      <c r="P266" s="117"/>
      <c r="Q266" s="117"/>
      <c r="R266" s="117"/>
    </row>
    <row r="267" spans="1:18" ht="13.5" thickBot="1">
      <c r="A267" s="117"/>
      <c r="B267" s="123"/>
      <c r="C267" s="117"/>
      <c r="E267" s="121"/>
      <c r="N267" s="169" t="s">
        <v>180</v>
      </c>
      <c r="O267" s="117"/>
      <c r="P267" s="117"/>
      <c r="Q267" s="117"/>
      <c r="R267" s="117"/>
    </row>
    <row r="268" spans="1:6" ht="12.75">
      <c r="A268" s="117"/>
      <c r="B268" s="123"/>
      <c r="C268" s="117"/>
      <c r="F268" s="92"/>
    </row>
    <row r="269" spans="1:14" ht="12.75">
      <c r="A269" s="117"/>
      <c r="B269" s="123"/>
      <c r="C269" s="117"/>
      <c r="M269" s="219">
        <f>M261</f>
        <v>3197129</v>
      </c>
      <c r="N269" s="169" t="s">
        <v>215</v>
      </c>
    </row>
    <row r="270" spans="1:3" ht="12.75">
      <c r="A270" s="117"/>
      <c r="B270" s="123"/>
      <c r="C270" s="117"/>
    </row>
    <row r="271" spans="1:3" ht="12.75">
      <c r="A271" s="117"/>
      <c r="B271" s="123"/>
      <c r="C271" s="117"/>
    </row>
    <row r="272" spans="1:3" ht="13.5" thickBot="1">
      <c r="A272" s="117"/>
      <c r="B272" s="124"/>
      <c r="C272" s="117"/>
    </row>
    <row r="273" spans="1:3" ht="13.5" thickBot="1">
      <c r="A273" s="117"/>
      <c r="B273" s="121"/>
      <c r="C273" s="117"/>
    </row>
    <row r="275" ht="12.75">
      <c r="A275" s="181" t="s">
        <v>192</v>
      </c>
    </row>
    <row r="276" ht="13.5" thickBot="1">
      <c r="P276" t="s">
        <v>160</v>
      </c>
    </row>
    <row r="277" spans="1:18" ht="13.5" thickBot="1">
      <c r="A277" s="53" t="s">
        <v>40</v>
      </c>
      <c r="B277" s="15" t="s">
        <v>0</v>
      </c>
      <c r="C277" s="16" t="s">
        <v>1</v>
      </c>
      <c r="D277" s="42" t="s">
        <v>2</v>
      </c>
      <c r="E277" s="142" t="s">
        <v>81</v>
      </c>
      <c r="F277" s="19" t="s">
        <v>4</v>
      </c>
      <c r="G277" s="20" t="s">
        <v>5</v>
      </c>
      <c r="H277" s="33" t="s">
        <v>6</v>
      </c>
      <c r="I277" s="109" t="s">
        <v>141</v>
      </c>
      <c r="J277" s="23" t="s">
        <v>8</v>
      </c>
      <c r="K277" s="24" t="s">
        <v>9</v>
      </c>
      <c r="L277" s="49" t="s">
        <v>14</v>
      </c>
      <c r="M277" s="1" t="s">
        <v>13</v>
      </c>
      <c r="N277" s="3" t="s">
        <v>11</v>
      </c>
      <c r="O277" s="50" t="s">
        <v>114</v>
      </c>
      <c r="P277" s="81" t="s">
        <v>113</v>
      </c>
      <c r="Q277" s="110" t="s">
        <v>142</v>
      </c>
      <c r="R277" s="111" t="s">
        <v>80</v>
      </c>
    </row>
    <row r="278" spans="1:18" ht="13.5" thickBot="1">
      <c r="A278" s="114"/>
      <c r="B278" s="115">
        <v>14580</v>
      </c>
      <c r="C278" s="116">
        <v>3420</v>
      </c>
      <c r="D278" s="167">
        <v>8040</v>
      </c>
      <c r="E278" s="119">
        <v>1720</v>
      </c>
      <c r="F278" s="125">
        <v>11680</v>
      </c>
      <c r="G278" s="115">
        <v>2820</v>
      </c>
      <c r="H278" s="116">
        <v>2700</v>
      </c>
      <c r="I278" s="147"/>
      <c r="J278" s="147">
        <f>(497*1000)+282</f>
        <v>497282</v>
      </c>
      <c r="K278" s="148">
        <f>2047*1000</f>
        <v>2047000</v>
      </c>
      <c r="L278" s="119">
        <v>4040</v>
      </c>
      <c r="M278" s="132">
        <f>B293</f>
        <v>124960</v>
      </c>
      <c r="N278" s="135">
        <f>D288</f>
        <v>4020</v>
      </c>
      <c r="O278" s="168"/>
      <c r="P278" s="149"/>
      <c r="Q278" s="147">
        <v>0</v>
      </c>
      <c r="R278" s="121">
        <v>0</v>
      </c>
    </row>
    <row r="279" spans="1:18" ht="12.75">
      <c r="A279" s="137"/>
      <c r="B279" s="118">
        <v>12820</v>
      </c>
      <c r="C279" s="119"/>
      <c r="D279" s="126"/>
      <c r="E279" s="119">
        <v>6680</v>
      </c>
      <c r="F279" s="126">
        <v>4960</v>
      </c>
      <c r="G279" s="118"/>
      <c r="H279" s="119">
        <v>1280</v>
      </c>
      <c r="I279" s="165"/>
      <c r="J279" s="165"/>
      <c r="K279" s="165"/>
      <c r="L279" s="119">
        <v>3360</v>
      </c>
      <c r="M279" s="126">
        <f>C287</f>
        <v>3420</v>
      </c>
      <c r="N279" s="118">
        <f>M289</f>
        <v>2732782</v>
      </c>
      <c r="O279" s="119"/>
      <c r="P279" s="165"/>
      <c r="Q279" s="165"/>
      <c r="R279" s="137"/>
    </row>
    <row r="280" spans="1:18" ht="12.75">
      <c r="A280" s="137"/>
      <c r="B280" s="118">
        <v>16340</v>
      </c>
      <c r="C280" s="119"/>
      <c r="D280" s="126"/>
      <c r="E280" s="119"/>
      <c r="F280" s="126">
        <v>11140</v>
      </c>
      <c r="G280" s="118"/>
      <c r="H280" s="119"/>
      <c r="I280" s="165"/>
      <c r="J280" s="165"/>
      <c r="K280" s="165"/>
      <c r="L280" s="119"/>
      <c r="M280" s="126">
        <f>D288</f>
        <v>4020</v>
      </c>
      <c r="N280" s="166"/>
      <c r="O280" s="119"/>
      <c r="P280" s="165"/>
      <c r="Q280" s="165"/>
      <c r="R280" s="137"/>
    </row>
    <row r="281" spans="1:18" ht="12.75">
      <c r="A281" s="137"/>
      <c r="B281" s="118">
        <v>14160</v>
      </c>
      <c r="C281" s="119"/>
      <c r="D281" s="126"/>
      <c r="E281" s="119"/>
      <c r="F281" s="126">
        <v>5720</v>
      </c>
      <c r="G281" s="118"/>
      <c r="H281" s="119"/>
      <c r="I281" s="165"/>
      <c r="J281" s="165"/>
      <c r="K281" s="165"/>
      <c r="L281" s="119"/>
      <c r="M281" s="119">
        <f>E286</f>
        <v>8400</v>
      </c>
      <c r="N281" s="166"/>
      <c r="O281" s="119"/>
      <c r="P281" s="165"/>
      <c r="Q281" s="165"/>
      <c r="R281" s="137"/>
    </row>
    <row r="282" spans="1:18" ht="13.5" thickBot="1">
      <c r="A282" s="117"/>
      <c r="B282" s="118">
        <v>10420</v>
      </c>
      <c r="C282" s="119"/>
      <c r="D282" s="126"/>
      <c r="E282" s="123"/>
      <c r="F282" s="126"/>
      <c r="G282" s="133"/>
      <c r="H282" s="119"/>
      <c r="I282" s="117"/>
      <c r="J282" s="117"/>
      <c r="K282" s="117"/>
      <c r="L282" s="119"/>
      <c r="M282" s="119">
        <f>F285</f>
        <v>33500</v>
      </c>
      <c r="O282" s="119"/>
      <c r="P282" s="117"/>
      <c r="Q282" s="117"/>
      <c r="R282" s="117"/>
    </row>
    <row r="283" spans="1:18" ht="13.5" thickBot="1">
      <c r="A283" s="117"/>
      <c r="B283" s="118">
        <v>14040</v>
      </c>
      <c r="C283" s="119"/>
      <c r="D283" s="126"/>
      <c r="E283" s="123"/>
      <c r="F283" s="126"/>
      <c r="G283" s="133"/>
      <c r="H283" s="119"/>
      <c r="I283" s="117"/>
      <c r="J283" s="117"/>
      <c r="K283" s="117"/>
      <c r="L283" s="119"/>
      <c r="M283" s="119">
        <f>G284</f>
        <v>2820</v>
      </c>
      <c r="N283" s="118"/>
      <c r="O283" s="119"/>
      <c r="P283" s="117"/>
      <c r="Q283" s="117"/>
      <c r="R283" s="117"/>
    </row>
    <row r="284" spans="1:18" ht="13.5" thickBot="1">
      <c r="A284" s="117"/>
      <c r="B284" s="118">
        <v>13720</v>
      </c>
      <c r="C284" s="119"/>
      <c r="D284" s="126"/>
      <c r="E284" s="143"/>
      <c r="F284" s="130"/>
      <c r="G284" s="145">
        <f>SUM(G278:G282)</f>
        <v>2820</v>
      </c>
      <c r="H284" s="119"/>
      <c r="I284" s="117"/>
      <c r="J284" s="117"/>
      <c r="K284" s="117"/>
      <c r="L284" s="119"/>
      <c r="M284" s="119">
        <f>H286</f>
        <v>3980</v>
      </c>
      <c r="N284" s="133"/>
      <c r="O284" s="120"/>
      <c r="P284" s="117"/>
      <c r="Q284" s="117"/>
      <c r="R284" s="117"/>
    </row>
    <row r="285" spans="1:18" ht="13.5" thickBot="1">
      <c r="A285" s="117"/>
      <c r="B285" s="118">
        <v>12260</v>
      </c>
      <c r="C285" s="119"/>
      <c r="D285" s="119"/>
      <c r="E285" s="120"/>
      <c r="F285" s="144">
        <f>SUM(F278:F284)</f>
        <v>33500</v>
      </c>
      <c r="G285" s="117"/>
      <c r="H285" s="120"/>
      <c r="I285" s="117"/>
      <c r="J285" s="117"/>
      <c r="K285" s="117"/>
      <c r="L285" s="119"/>
      <c r="M285" s="119">
        <f>P278</f>
        <v>0</v>
      </c>
      <c r="N285" s="146">
        <f>N278+N279+N284</f>
        <v>2736802</v>
      </c>
      <c r="O285" s="144">
        <f>SUM(O278:O284)</f>
        <v>0</v>
      </c>
      <c r="P285" s="117"/>
      <c r="Q285" s="117"/>
      <c r="R285" s="117"/>
    </row>
    <row r="286" spans="1:18" ht="13.5" thickBot="1">
      <c r="A286" s="117"/>
      <c r="B286" s="119">
        <v>16620</v>
      </c>
      <c r="C286" s="120"/>
      <c r="D286" s="120"/>
      <c r="E286" s="144">
        <f>SUM(E278:E285)</f>
        <v>8400</v>
      </c>
      <c r="F286" s="117"/>
      <c r="G286" s="117"/>
      <c r="H286" s="146">
        <f>SUM(H278:H285)</f>
        <v>3980</v>
      </c>
      <c r="I286" s="117"/>
      <c r="J286" s="117"/>
      <c r="K286" s="117"/>
      <c r="L286" s="119"/>
      <c r="M286" s="119">
        <f>J278</f>
        <v>497282</v>
      </c>
      <c r="N286" s="117"/>
      <c r="O286" s="117"/>
      <c r="P286" s="117"/>
      <c r="Q286" s="117"/>
      <c r="R286" s="117"/>
    </row>
    <row r="287" spans="1:18" ht="13.5" thickBot="1">
      <c r="A287" s="117"/>
      <c r="B287" s="123"/>
      <c r="C287" s="144">
        <f>SUM(C278:C282)</f>
        <v>3420</v>
      </c>
      <c r="D287" s="144">
        <f>SUM(D278:D286)</f>
        <v>8040</v>
      </c>
      <c r="E287" s="117"/>
      <c r="F287" s="117"/>
      <c r="G287" s="117"/>
      <c r="H287" s="117"/>
      <c r="I287" s="117"/>
      <c r="J287" s="117"/>
      <c r="K287" s="117"/>
      <c r="L287" s="120"/>
      <c r="M287" s="123">
        <f>K278</f>
        <v>2047000</v>
      </c>
      <c r="N287" s="117"/>
      <c r="O287" s="117"/>
      <c r="P287" s="117"/>
      <c r="Q287" s="117"/>
      <c r="R287" s="117"/>
    </row>
    <row r="288" spans="1:18" ht="13.5" thickBot="1">
      <c r="A288" s="117"/>
      <c r="B288" s="119"/>
      <c r="C288" s="117"/>
      <c r="D288" s="164">
        <f>D287/2</f>
        <v>4020</v>
      </c>
      <c r="E288" s="131" t="s">
        <v>56</v>
      </c>
      <c r="F288" s="117"/>
      <c r="G288" s="117"/>
      <c r="H288" s="117"/>
      <c r="I288" s="117"/>
      <c r="J288" s="117"/>
      <c r="K288" s="117"/>
      <c r="L288" s="144">
        <f>SUM(L278:L287)</f>
        <v>7400</v>
      </c>
      <c r="M288" s="124">
        <f>L288</f>
        <v>7400</v>
      </c>
      <c r="N288" s="117"/>
      <c r="O288" s="117"/>
      <c r="P288" s="117"/>
      <c r="Q288" s="117"/>
      <c r="R288" s="117"/>
    </row>
    <row r="289" spans="1:18" ht="13.5" thickBot="1">
      <c r="A289" s="117"/>
      <c r="B289" s="119"/>
      <c r="C289" s="117"/>
      <c r="D289" s="55"/>
      <c r="E289" s="168"/>
      <c r="F289" s="117"/>
      <c r="G289" s="117"/>
      <c r="H289" s="117"/>
      <c r="I289" s="117"/>
      <c r="J289" s="117"/>
      <c r="K289" s="117"/>
      <c r="L289" s="117"/>
      <c r="M289" s="144">
        <f>SUM(M278:M288)</f>
        <v>2732782</v>
      </c>
      <c r="N289" s="117" t="s">
        <v>177</v>
      </c>
      <c r="O289" s="117"/>
      <c r="P289" s="117"/>
      <c r="Q289" s="117"/>
      <c r="R289" s="117"/>
    </row>
    <row r="290" spans="1:18" ht="13.5" thickBot="1">
      <c r="A290" s="117"/>
      <c r="B290" s="119"/>
      <c r="C290" s="117"/>
      <c r="E290" s="119"/>
      <c r="F290" s="117"/>
      <c r="G290" s="117"/>
      <c r="H290" s="117"/>
      <c r="I290" s="117"/>
      <c r="J290" s="117"/>
      <c r="K290" s="117"/>
      <c r="L290" s="117"/>
      <c r="M290" s="124"/>
      <c r="N290" s="117"/>
      <c r="O290" s="121"/>
      <c r="P290" s="117" t="s">
        <v>115</v>
      </c>
      <c r="Q290" s="117"/>
      <c r="R290" s="117"/>
    </row>
    <row r="291" spans="1:18" ht="13.5" thickBot="1">
      <c r="A291" s="117"/>
      <c r="B291" s="119"/>
      <c r="C291" s="117"/>
      <c r="E291" s="119"/>
      <c r="F291" s="117"/>
      <c r="G291" s="117"/>
      <c r="H291" s="117"/>
      <c r="I291" s="117"/>
      <c r="J291" s="117"/>
      <c r="K291" s="117"/>
      <c r="L291" s="117"/>
      <c r="M291" s="144">
        <f>N285</f>
        <v>2736802</v>
      </c>
      <c r="N291" s="117" t="s">
        <v>179</v>
      </c>
      <c r="O291" s="121"/>
      <c r="P291" s="117"/>
      <c r="Q291" s="117"/>
      <c r="R291" s="117"/>
    </row>
    <row r="292" spans="1:18" ht="13.5" thickBot="1">
      <c r="A292" s="117"/>
      <c r="B292" s="119"/>
      <c r="C292" s="117"/>
      <c r="E292" s="124"/>
      <c r="F292" s="117"/>
      <c r="G292" s="117"/>
      <c r="H292" s="117"/>
      <c r="I292" s="117"/>
      <c r="J292" s="117"/>
      <c r="K292" s="117"/>
      <c r="L292" s="117"/>
      <c r="N292" s="117"/>
      <c r="O292" s="121"/>
      <c r="P292" s="117" t="s">
        <v>179</v>
      </c>
      <c r="Q292" s="117"/>
      <c r="R292" s="117"/>
    </row>
    <row r="293" spans="1:18" ht="13.5" thickBot="1">
      <c r="A293" s="117"/>
      <c r="B293" s="141">
        <f>SUM(B278:B292)</f>
        <v>124960</v>
      </c>
      <c r="C293" s="117"/>
      <c r="E293" s="121"/>
      <c r="O293" s="117"/>
      <c r="P293" s="117"/>
      <c r="Q293" s="117"/>
      <c r="R293" s="117"/>
    </row>
    <row r="294" spans="1:18" ht="13.5" thickBot="1">
      <c r="A294" s="117"/>
      <c r="B294" s="119"/>
      <c r="C294" s="117"/>
      <c r="E294" s="123"/>
      <c r="F294" s="28"/>
      <c r="M294" s="182">
        <f>100*(M289/M291)</f>
        <v>99.85311323215929</v>
      </c>
      <c r="N294" s="180" t="s">
        <v>193</v>
      </c>
      <c r="O294" s="117"/>
      <c r="P294" s="117"/>
      <c r="Q294" s="117"/>
      <c r="R294" s="117"/>
    </row>
    <row r="295" spans="1:18" ht="13.5" thickBot="1">
      <c r="A295" s="117"/>
      <c r="B295" s="123"/>
      <c r="C295" s="117"/>
      <c r="E295" s="121"/>
      <c r="N295" s="184" t="s">
        <v>178</v>
      </c>
      <c r="O295" s="117"/>
      <c r="P295" s="117"/>
      <c r="Q295" s="117"/>
      <c r="R295" s="117"/>
    </row>
    <row r="296" spans="1:14" ht="12.75">
      <c r="A296" s="117"/>
      <c r="B296" s="123"/>
      <c r="C296" s="117"/>
      <c r="F296" s="92"/>
      <c r="N296" s="169" t="s">
        <v>180</v>
      </c>
    </row>
    <row r="297" spans="1:3" ht="12.75">
      <c r="A297" s="117"/>
      <c r="B297" s="123"/>
      <c r="C297" s="117"/>
    </row>
    <row r="298" spans="1:14" ht="12.75">
      <c r="A298" s="117"/>
      <c r="B298" s="123"/>
      <c r="C298" s="117"/>
      <c r="M298" s="219">
        <f>M289</f>
        <v>2732782</v>
      </c>
      <c r="N298" s="169" t="s">
        <v>215</v>
      </c>
    </row>
    <row r="299" spans="1:3" ht="12.75">
      <c r="A299" s="117"/>
      <c r="B299" s="123"/>
      <c r="C299" s="117"/>
    </row>
    <row r="300" spans="1:3" ht="13.5" thickBot="1">
      <c r="A300" s="117"/>
      <c r="B300" s="124"/>
      <c r="C300" s="117"/>
    </row>
    <row r="301" spans="1:3" ht="13.5" thickBot="1">
      <c r="A301" s="117"/>
      <c r="B301" s="121"/>
      <c r="C301" s="117"/>
    </row>
    <row r="305" s="173" customFormat="1" ht="12.75">
      <c r="A305" s="172"/>
    </row>
    <row r="306" spans="1:24" ht="60.75" customHeight="1">
      <c r="A306" s="192" t="s">
        <v>161</v>
      </c>
      <c r="B306" s="193" t="s">
        <v>40</v>
      </c>
      <c r="C306" s="194" t="s">
        <v>0</v>
      </c>
      <c r="D306" s="195" t="s">
        <v>1</v>
      </c>
      <c r="E306" s="196" t="s">
        <v>201</v>
      </c>
      <c r="F306" s="197" t="s">
        <v>200</v>
      </c>
      <c r="G306" s="198" t="s">
        <v>202</v>
      </c>
      <c r="H306" s="199" t="s">
        <v>203</v>
      </c>
      <c r="I306" s="200" t="s">
        <v>5</v>
      </c>
      <c r="J306" s="201" t="s">
        <v>204</v>
      </c>
      <c r="K306" s="202" t="s">
        <v>141</v>
      </c>
      <c r="L306" s="203" t="s">
        <v>8</v>
      </c>
      <c r="M306" s="204" t="s">
        <v>9</v>
      </c>
      <c r="N306" s="205" t="s">
        <v>14</v>
      </c>
      <c r="O306" s="212" t="s">
        <v>199</v>
      </c>
      <c r="P306" s="212" t="s">
        <v>198</v>
      </c>
      <c r="Q306" s="206" t="s">
        <v>205</v>
      </c>
      <c r="R306" s="207" t="s">
        <v>206</v>
      </c>
      <c r="S306" s="208" t="s">
        <v>142</v>
      </c>
      <c r="T306" s="209" t="s">
        <v>80</v>
      </c>
      <c r="U306" s="192" t="s">
        <v>207</v>
      </c>
      <c r="V306" s="211" t="s">
        <v>196</v>
      </c>
      <c r="W306" s="192" t="s">
        <v>209</v>
      </c>
      <c r="X306" s="192" t="s">
        <v>211</v>
      </c>
    </row>
    <row r="307" spans="1:24" ht="12.75">
      <c r="A307" s="172" t="s">
        <v>162</v>
      </c>
      <c r="B307" s="171">
        <f>A4</f>
        <v>1700</v>
      </c>
      <c r="C307" s="171">
        <f>B15</f>
        <v>103160</v>
      </c>
      <c r="D307" s="171">
        <f>C9</f>
        <v>12461</v>
      </c>
      <c r="E307" s="171">
        <f>D8</f>
        <v>14260</v>
      </c>
      <c r="F307" s="171">
        <f>E7</f>
        <v>8340</v>
      </c>
      <c r="G307" s="171">
        <f>E11</f>
        <v>0</v>
      </c>
      <c r="H307" s="171">
        <f>F7</f>
        <v>25000</v>
      </c>
      <c r="I307" s="171">
        <f>G6</f>
        <v>0</v>
      </c>
      <c r="J307" s="171">
        <f>H8</f>
        <v>5880</v>
      </c>
      <c r="K307" s="171">
        <f>I4</f>
        <v>560000</v>
      </c>
      <c r="L307" s="171">
        <f>J4</f>
        <v>366000</v>
      </c>
      <c r="M307" s="171">
        <f>K4</f>
        <v>4266640</v>
      </c>
      <c r="N307" s="171">
        <f>L7</f>
        <v>8720</v>
      </c>
      <c r="O307" s="171">
        <f>M15</f>
        <v>5363381</v>
      </c>
      <c r="P307" s="171">
        <f>N7</f>
        <v>5371361</v>
      </c>
      <c r="Q307" s="171">
        <f>O5</f>
        <v>800</v>
      </c>
      <c r="R307" s="171">
        <v>0</v>
      </c>
      <c r="S307" s="171">
        <v>0</v>
      </c>
      <c r="T307" s="171">
        <v>0</v>
      </c>
      <c r="U307" s="185">
        <f>100*(O307/P307)</f>
        <v>99.8514343012879</v>
      </c>
      <c r="V307" s="171">
        <v>187.6</v>
      </c>
      <c r="W307" s="191">
        <f>P307/(1000*V307)</f>
        <v>28.63198827292111</v>
      </c>
      <c r="X307" s="171">
        <v>20.11</v>
      </c>
    </row>
    <row r="308" spans="1:24" ht="12.75">
      <c r="A308" s="172" t="s">
        <v>163</v>
      </c>
      <c r="B308" s="171">
        <f>A29</f>
        <v>0</v>
      </c>
      <c r="C308" s="171">
        <f>B40</f>
        <v>64540</v>
      </c>
      <c r="D308" s="171">
        <f>C34</f>
        <v>860</v>
      </c>
      <c r="E308" s="171">
        <f>D33</f>
        <v>8060</v>
      </c>
      <c r="F308" s="171">
        <f>E32</f>
        <v>7160</v>
      </c>
      <c r="G308" s="171">
        <f>E42</f>
        <v>8460</v>
      </c>
      <c r="H308" s="171">
        <f>F32</f>
        <v>13100</v>
      </c>
      <c r="I308" s="171">
        <f>G31</f>
        <v>0</v>
      </c>
      <c r="J308" s="171">
        <f>H33</f>
        <v>2680</v>
      </c>
      <c r="K308" s="171">
        <f>I29</f>
        <v>496740</v>
      </c>
      <c r="L308" s="171">
        <f>J29</f>
        <v>396000</v>
      </c>
      <c r="M308" s="171">
        <f>K29</f>
        <v>936660</v>
      </c>
      <c r="N308" s="171">
        <f>L32</f>
        <v>5460</v>
      </c>
      <c r="O308" s="171">
        <f>M40</f>
        <v>1928530</v>
      </c>
      <c r="P308" s="171">
        <f>N32</f>
        <v>1938300</v>
      </c>
      <c r="Q308" s="171">
        <f>O32</f>
        <v>5740</v>
      </c>
      <c r="R308" s="171">
        <v>0</v>
      </c>
      <c r="S308" s="171">
        <v>0</v>
      </c>
      <c r="T308" s="171">
        <v>0</v>
      </c>
      <c r="U308" s="185">
        <f aca="true" t="shared" si="0" ref="U308:U318">100*(O308/P308)</f>
        <v>99.49595005933034</v>
      </c>
      <c r="V308" s="171">
        <v>127.7</v>
      </c>
      <c r="W308" s="191">
        <f aca="true" t="shared" si="1" ref="W308:W320">P308/(1000*V308)</f>
        <v>15.178543461237275</v>
      </c>
      <c r="X308" s="171">
        <v>20.11</v>
      </c>
    </row>
    <row r="309" spans="1:24" ht="12.75">
      <c r="A309" s="172" t="s">
        <v>164</v>
      </c>
      <c r="B309" s="171">
        <f>A53</f>
        <v>0</v>
      </c>
      <c r="C309" s="171">
        <f>B64</f>
        <v>110420</v>
      </c>
      <c r="D309" s="171">
        <f>C58</f>
        <v>8300</v>
      </c>
      <c r="E309" s="171">
        <f>D57</f>
        <v>10320</v>
      </c>
      <c r="F309" s="171">
        <f>E56</f>
        <v>4740</v>
      </c>
      <c r="G309" s="171">
        <f>E66</f>
        <v>4740</v>
      </c>
      <c r="H309" s="171">
        <f>F56</f>
        <v>18760</v>
      </c>
      <c r="I309" s="171">
        <f>G55</f>
        <v>2700</v>
      </c>
      <c r="J309" s="171">
        <f>H57</f>
        <v>4540</v>
      </c>
      <c r="K309" s="171">
        <f>I53</f>
        <v>663000</v>
      </c>
      <c r="L309" s="171">
        <f>J53</f>
        <v>280080</v>
      </c>
      <c r="M309" s="171">
        <f>K53</f>
        <v>2385380</v>
      </c>
      <c r="N309" s="171">
        <f>L56</f>
        <v>9260</v>
      </c>
      <c r="O309" s="171">
        <f>M64</f>
        <v>3492340</v>
      </c>
      <c r="P309" s="171">
        <f>N56</f>
        <v>3497080</v>
      </c>
      <c r="Q309" s="171">
        <v>0</v>
      </c>
      <c r="R309" s="171">
        <v>0</v>
      </c>
      <c r="S309" s="171">
        <v>0</v>
      </c>
      <c r="T309" s="171">
        <v>0</v>
      </c>
      <c r="U309" s="185">
        <f t="shared" si="0"/>
        <v>99.86445834810756</v>
      </c>
      <c r="V309" s="171">
        <v>182.8</v>
      </c>
      <c r="W309" s="191">
        <f t="shared" si="1"/>
        <v>19.130634573304157</v>
      </c>
      <c r="X309" s="171">
        <v>20.11</v>
      </c>
    </row>
    <row r="310" spans="1:24" ht="12.75">
      <c r="A310" s="172" t="s">
        <v>165</v>
      </c>
      <c r="B310" s="171">
        <f>A77</f>
        <v>0</v>
      </c>
      <c r="C310" s="171">
        <f>B88</f>
        <v>78680</v>
      </c>
      <c r="D310" s="171">
        <f>C82</f>
        <v>8420</v>
      </c>
      <c r="E310" s="171">
        <f>D82</f>
        <v>35150</v>
      </c>
      <c r="F310" s="171">
        <f>E80</f>
        <v>6500</v>
      </c>
      <c r="G310" s="171">
        <f>E89</f>
        <v>0</v>
      </c>
      <c r="H310" s="171">
        <f>F80</f>
        <v>21300</v>
      </c>
      <c r="I310" s="171">
        <f>G79</f>
        <v>7380</v>
      </c>
      <c r="J310" s="171">
        <f>H81</f>
        <v>2820</v>
      </c>
      <c r="K310" s="171">
        <f>I77</f>
        <v>551140</v>
      </c>
      <c r="L310" s="171">
        <f>J77</f>
        <v>505000</v>
      </c>
      <c r="M310" s="171">
        <f>K77</f>
        <v>2450230</v>
      </c>
      <c r="N310" s="171">
        <f>L80</f>
        <v>5160</v>
      </c>
      <c r="O310" s="171">
        <f>M88</f>
        <v>3662992</v>
      </c>
      <c r="P310" s="171">
        <f>N80</f>
        <v>3664153</v>
      </c>
      <c r="Q310" s="171">
        <f>O77</f>
        <v>1160</v>
      </c>
      <c r="R310" s="171">
        <v>0</v>
      </c>
      <c r="S310" s="171">
        <v>0</v>
      </c>
      <c r="T310" s="171">
        <v>0</v>
      </c>
      <c r="U310" s="185">
        <f t="shared" si="0"/>
        <v>99.96831464188313</v>
      </c>
      <c r="V310" s="171">
        <v>191</v>
      </c>
      <c r="W310" s="191">
        <f t="shared" si="1"/>
        <v>19.18404712041885</v>
      </c>
      <c r="X310" s="171">
        <v>20.11</v>
      </c>
    </row>
    <row r="311" spans="1:24" ht="12.75">
      <c r="A311" s="172" t="s">
        <v>166</v>
      </c>
      <c r="B311" s="171">
        <f>A101</f>
        <v>0</v>
      </c>
      <c r="C311" s="171">
        <f>B112</f>
        <v>107800</v>
      </c>
      <c r="D311" s="171">
        <f>C106</f>
        <v>6980</v>
      </c>
      <c r="E311" s="171">
        <f>D105</f>
        <v>9800</v>
      </c>
      <c r="F311" s="171">
        <f>E104</f>
        <v>4300</v>
      </c>
      <c r="G311" s="171">
        <f>E114</f>
        <v>6140</v>
      </c>
      <c r="H311" s="171">
        <f>F104</f>
        <v>19880</v>
      </c>
      <c r="I311" s="171">
        <f>G104</f>
        <v>6952</v>
      </c>
      <c r="J311" s="171">
        <f>H105</f>
        <v>2900</v>
      </c>
      <c r="K311" s="171">
        <f>I101</f>
        <v>571400</v>
      </c>
      <c r="L311" s="171">
        <f>J101</f>
        <v>530000</v>
      </c>
      <c r="M311" s="171">
        <f>K101</f>
        <v>2984760</v>
      </c>
      <c r="N311" s="171">
        <f>L104</f>
        <v>6940</v>
      </c>
      <c r="O311" s="171">
        <f>M112</f>
        <v>4242152</v>
      </c>
      <c r="P311" s="171">
        <f>N104</f>
        <v>4248192</v>
      </c>
      <c r="Q311" s="171">
        <f>O104</f>
        <v>1140</v>
      </c>
      <c r="R311" s="171">
        <f>P101</f>
        <v>2280</v>
      </c>
      <c r="S311" s="171">
        <v>0</v>
      </c>
      <c r="T311" s="171">
        <v>0</v>
      </c>
      <c r="U311" s="185">
        <f t="shared" si="0"/>
        <v>99.85782186869143</v>
      </c>
      <c r="V311" s="171">
        <v>238.1</v>
      </c>
      <c r="W311" s="191">
        <f t="shared" si="1"/>
        <v>17.84204955900882</v>
      </c>
      <c r="X311" s="171">
        <v>20.11</v>
      </c>
    </row>
    <row r="312" spans="1:24" ht="12.75">
      <c r="A312" s="172" t="s">
        <v>167</v>
      </c>
      <c r="B312" s="171">
        <f>A126</f>
        <v>0</v>
      </c>
      <c r="C312" s="171">
        <f>B137</f>
        <v>120700</v>
      </c>
      <c r="D312" s="171">
        <f>C131</f>
        <v>10920</v>
      </c>
      <c r="E312" s="171">
        <f>D130</f>
        <v>7200</v>
      </c>
      <c r="F312" s="171">
        <f>E129</f>
        <v>7020</v>
      </c>
      <c r="G312" s="171">
        <f>E138</f>
        <v>0</v>
      </c>
      <c r="H312" s="171">
        <f>F132</f>
        <v>33480</v>
      </c>
      <c r="I312" s="171">
        <f>G128</f>
        <v>4080</v>
      </c>
      <c r="J312" s="171">
        <f>H130</f>
        <v>5100</v>
      </c>
      <c r="K312" s="171">
        <f>I126</f>
        <v>735360</v>
      </c>
      <c r="L312" s="171">
        <f>J126</f>
        <v>510000</v>
      </c>
      <c r="M312" s="171">
        <f>K126</f>
        <v>3329560</v>
      </c>
      <c r="N312" s="171">
        <f>L130</f>
        <v>8560</v>
      </c>
      <c r="O312" s="171">
        <f>M137</f>
        <v>4768380</v>
      </c>
      <c r="P312" s="171">
        <f>N129</f>
        <v>4771980</v>
      </c>
      <c r="Q312" s="171">
        <f>O129</f>
        <v>0</v>
      </c>
      <c r="R312" s="171">
        <v>0</v>
      </c>
      <c r="S312" s="171">
        <v>0</v>
      </c>
      <c r="T312" s="171">
        <v>0</v>
      </c>
      <c r="U312" s="185">
        <f t="shared" si="0"/>
        <v>99.92455961676285</v>
      </c>
      <c r="V312" s="171">
        <v>219.6</v>
      </c>
      <c r="W312" s="191">
        <f t="shared" si="1"/>
        <v>21.73032786885246</v>
      </c>
      <c r="X312" s="171">
        <v>20.11</v>
      </c>
    </row>
    <row r="313" spans="1:24" ht="12.75">
      <c r="A313" s="172" t="s">
        <v>168</v>
      </c>
      <c r="B313" s="171">
        <f>A150</f>
        <v>0</v>
      </c>
      <c r="C313" s="171">
        <f>B161</f>
        <v>141500</v>
      </c>
      <c r="D313" s="171">
        <f>C155</f>
        <v>8040</v>
      </c>
      <c r="E313" s="171">
        <f>D154</f>
        <v>7780</v>
      </c>
      <c r="F313" s="171">
        <f>E153</f>
        <v>12880</v>
      </c>
      <c r="G313" s="171">
        <f>E163</f>
        <v>15320</v>
      </c>
      <c r="H313" s="171">
        <f>F153</f>
        <v>10700</v>
      </c>
      <c r="I313" s="171">
        <f>G152</f>
        <v>3800</v>
      </c>
      <c r="J313" s="171">
        <f>H154</f>
        <v>3140</v>
      </c>
      <c r="K313" s="171">
        <f>I150</f>
        <v>575580</v>
      </c>
      <c r="L313" s="171">
        <f>J150</f>
        <v>384000</v>
      </c>
      <c r="M313" s="171">
        <f>K150</f>
        <v>3261000</v>
      </c>
      <c r="N313" s="171">
        <f>L153</f>
        <v>5440</v>
      </c>
      <c r="O313" s="171">
        <f>M161</f>
        <v>4412410</v>
      </c>
      <c r="P313" s="171">
        <f>N153</f>
        <v>4416300</v>
      </c>
      <c r="Q313" s="176">
        <v>0</v>
      </c>
      <c r="R313" s="171">
        <v>0</v>
      </c>
      <c r="S313" s="171">
        <v>0</v>
      </c>
      <c r="T313" s="171">
        <v>0</v>
      </c>
      <c r="U313" s="185">
        <f t="shared" si="0"/>
        <v>99.91191721576885</v>
      </c>
      <c r="V313" s="171">
        <v>204.6</v>
      </c>
      <c r="W313" s="191">
        <f t="shared" si="1"/>
        <v>21.585043988269796</v>
      </c>
      <c r="X313" s="171">
        <v>20.11</v>
      </c>
    </row>
    <row r="314" spans="1:24" ht="12.75">
      <c r="A314" s="172" t="s">
        <v>169</v>
      </c>
      <c r="B314" s="171">
        <f>A174</f>
        <v>0</v>
      </c>
      <c r="C314" s="171">
        <f>B185</f>
        <v>78440</v>
      </c>
      <c r="D314" s="171">
        <f>C179</f>
        <v>7700</v>
      </c>
      <c r="E314" s="171">
        <f>D178</f>
        <v>7380</v>
      </c>
      <c r="F314" s="171">
        <f>E177</f>
        <v>2480</v>
      </c>
      <c r="G314" s="171">
        <f>E186</f>
        <v>0</v>
      </c>
      <c r="H314" s="171">
        <f>F179</f>
        <v>28900</v>
      </c>
      <c r="I314" s="171">
        <f>G176</f>
        <v>4060</v>
      </c>
      <c r="J314" s="171">
        <f>H178</f>
        <v>2640</v>
      </c>
      <c r="K314" s="171">
        <f>I174</f>
        <v>459860</v>
      </c>
      <c r="L314" s="171">
        <f>J174</f>
        <v>413000</v>
      </c>
      <c r="M314" s="171">
        <f>K174</f>
        <v>3463860</v>
      </c>
      <c r="N314" s="171">
        <f>L177</f>
        <v>4100</v>
      </c>
      <c r="O314" s="171">
        <f>M185</f>
        <v>4468730</v>
      </c>
      <c r="P314" s="171">
        <f>N177</f>
        <v>4472420</v>
      </c>
      <c r="Q314" s="171">
        <v>0</v>
      </c>
      <c r="R314" s="171">
        <v>0</v>
      </c>
      <c r="S314" s="171">
        <v>0</v>
      </c>
      <c r="T314" s="171">
        <v>0</v>
      </c>
      <c r="U314" s="185">
        <f t="shared" si="0"/>
        <v>99.91749433192768</v>
      </c>
      <c r="V314" s="171">
        <v>198.8</v>
      </c>
      <c r="W314" s="191">
        <f t="shared" si="1"/>
        <v>22.49708249496982</v>
      </c>
      <c r="X314" s="171">
        <v>20.11</v>
      </c>
    </row>
    <row r="315" spans="1:24" ht="12.75">
      <c r="A315" s="172" t="s">
        <v>170</v>
      </c>
      <c r="B315" s="171">
        <f>A198</f>
        <v>0</v>
      </c>
      <c r="C315" s="171">
        <f>B209</f>
        <v>95760</v>
      </c>
      <c r="D315" s="171">
        <f>C203</f>
        <v>13780</v>
      </c>
      <c r="E315" s="171">
        <f>D203</f>
        <v>6740</v>
      </c>
      <c r="F315" s="171">
        <f>E202</f>
        <v>14580</v>
      </c>
      <c r="G315" s="171">
        <f>E210</f>
        <v>0</v>
      </c>
      <c r="H315" s="171">
        <f>F201</f>
        <v>17640</v>
      </c>
      <c r="I315" s="171">
        <f>G198</f>
        <v>2460</v>
      </c>
      <c r="J315" s="171">
        <f>H202</f>
        <v>5120</v>
      </c>
      <c r="K315" s="171">
        <f>I198</f>
        <v>0</v>
      </c>
      <c r="L315" s="171">
        <f>J198</f>
        <v>374000</v>
      </c>
      <c r="M315" s="171">
        <f>K198</f>
        <v>2940262</v>
      </c>
      <c r="N315" s="171">
        <f>L204</f>
        <v>21000</v>
      </c>
      <c r="O315" s="171">
        <f>M209</f>
        <v>3487972</v>
      </c>
      <c r="P315" s="171">
        <f>N201</f>
        <v>3492582</v>
      </c>
      <c r="Q315" s="171">
        <f>O201</f>
        <v>1240</v>
      </c>
      <c r="R315" s="171">
        <v>0</v>
      </c>
      <c r="S315" s="171">
        <v>0</v>
      </c>
      <c r="T315" s="171">
        <v>0</v>
      </c>
      <c r="U315" s="185">
        <f t="shared" si="0"/>
        <v>99.86800596235106</v>
      </c>
      <c r="V315" s="171">
        <v>186.9</v>
      </c>
      <c r="W315" s="191">
        <f t="shared" si="1"/>
        <v>18.686902086677367</v>
      </c>
      <c r="X315" s="171">
        <v>20.11</v>
      </c>
    </row>
    <row r="316" spans="1:24" ht="12.75">
      <c r="A316" s="172" t="s">
        <v>171</v>
      </c>
      <c r="B316" s="171">
        <f>A222</f>
        <v>0</v>
      </c>
      <c r="C316" s="171">
        <f>B237</f>
        <v>121400</v>
      </c>
      <c r="D316" s="171">
        <f>C231</f>
        <v>18520</v>
      </c>
      <c r="E316" s="171">
        <f>D231</f>
        <v>0</v>
      </c>
      <c r="F316" s="171">
        <f>E230</f>
        <v>4480</v>
      </c>
      <c r="G316" s="171">
        <f>E238</f>
        <v>0</v>
      </c>
      <c r="H316" s="171">
        <f>F229</f>
        <v>44590</v>
      </c>
      <c r="I316" s="171">
        <f>G228</f>
        <v>1580</v>
      </c>
      <c r="J316" s="171">
        <f>H230</f>
        <v>2640</v>
      </c>
      <c r="K316" s="171">
        <f>I222</f>
        <v>0</v>
      </c>
      <c r="L316" s="171">
        <f>J222</f>
        <v>567647</v>
      </c>
      <c r="M316" s="171">
        <f>K222</f>
        <v>3667000</v>
      </c>
      <c r="N316" s="171">
        <f>L232</f>
        <v>6420</v>
      </c>
      <c r="O316" s="171">
        <f>M233</f>
        <v>4434277</v>
      </c>
      <c r="P316" s="171">
        <f>N229</f>
        <v>4434277</v>
      </c>
      <c r="Q316" s="171">
        <v>0</v>
      </c>
      <c r="R316" s="171">
        <v>0</v>
      </c>
      <c r="S316" s="171">
        <v>0</v>
      </c>
      <c r="T316" s="171">
        <v>0</v>
      </c>
      <c r="U316" s="185">
        <f t="shared" si="0"/>
        <v>100</v>
      </c>
      <c r="V316" s="171">
        <v>196.1</v>
      </c>
      <c r="W316" s="191">
        <f t="shared" si="1"/>
        <v>22.612325344212138</v>
      </c>
      <c r="X316" s="171">
        <v>20.11</v>
      </c>
    </row>
    <row r="317" spans="1:24" ht="12.75">
      <c r="A317" s="172" t="s">
        <v>172</v>
      </c>
      <c r="B317" s="171">
        <f>A250</f>
        <v>0</v>
      </c>
      <c r="C317" s="171">
        <f>B265</f>
        <v>104660</v>
      </c>
      <c r="D317" s="171">
        <f>C259</f>
        <v>13480</v>
      </c>
      <c r="E317" s="171">
        <f>D259</f>
        <v>8560</v>
      </c>
      <c r="F317" s="171">
        <f>E258</f>
        <v>17960</v>
      </c>
      <c r="G317" s="171">
        <f>E266</f>
        <v>0</v>
      </c>
      <c r="H317" s="171">
        <f>F257</f>
        <v>25400</v>
      </c>
      <c r="I317" s="171">
        <f>G256</f>
        <v>2240</v>
      </c>
      <c r="J317" s="171">
        <f>H258</f>
        <v>2900</v>
      </c>
      <c r="K317" s="171">
        <f>I250</f>
        <v>0</v>
      </c>
      <c r="L317" s="171">
        <f>J250</f>
        <v>351389</v>
      </c>
      <c r="M317" s="171">
        <f>K250</f>
        <v>2658000</v>
      </c>
      <c r="N317" s="171">
        <f>L260</f>
        <v>14940</v>
      </c>
      <c r="O317" s="171">
        <f>M261</f>
        <v>3197129</v>
      </c>
      <c r="P317" s="171">
        <f>N257</f>
        <v>3201409</v>
      </c>
      <c r="Q317" s="171">
        <f>O257</f>
        <v>2400</v>
      </c>
      <c r="R317" s="171">
        <f>P250</f>
        <v>1880</v>
      </c>
      <c r="S317" s="171">
        <v>0</v>
      </c>
      <c r="T317" s="171">
        <v>0</v>
      </c>
      <c r="U317" s="185">
        <f t="shared" si="0"/>
        <v>99.8663088658775</v>
      </c>
      <c r="V317" s="171">
        <v>206.7</v>
      </c>
      <c r="W317" s="191">
        <f t="shared" si="1"/>
        <v>15.488190614417029</v>
      </c>
      <c r="X317" s="171">
        <v>20.11</v>
      </c>
    </row>
    <row r="318" spans="1:24" ht="12.75">
      <c r="A318" s="172" t="s">
        <v>173</v>
      </c>
      <c r="B318" s="171">
        <f>A278</f>
        <v>0</v>
      </c>
      <c r="C318" s="171">
        <f>B293</f>
        <v>124960</v>
      </c>
      <c r="D318" s="171">
        <f>C287</f>
        <v>3420</v>
      </c>
      <c r="E318" s="171">
        <f>D287</f>
        <v>8040</v>
      </c>
      <c r="F318" s="171">
        <f>E286</f>
        <v>8400</v>
      </c>
      <c r="G318" s="171">
        <f>E294</f>
        <v>0</v>
      </c>
      <c r="H318" s="171">
        <f>F285</f>
        <v>33500</v>
      </c>
      <c r="I318" s="171">
        <f>G284</f>
        <v>2820</v>
      </c>
      <c r="J318" s="171">
        <f>H286</f>
        <v>3980</v>
      </c>
      <c r="K318" s="171">
        <f>I278</f>
        <v>0</v>
      </c>
      <c r="L318" s="171">
        <f>J278</f>
        <v>497282</v>
      </c>
      <c r="M318" s="171">
        <f>K278</f>
        <v>2047000</v>
      </c>
      <c r="N318" s="171">
        <f>L288</f>
        <v>7400</v>
      </c>
      <c r="O318" s="171">
        <f>M289</f>
        <v>2732782</v>
      </c>
      <c r="P318" s="171">
        <f>N285</f>
        <v>2736802</v>
      </c>
      <c r="Q318" s="171">
        <v>0</v>
      </c>
      <c r="R318" s="171">
        <v>0</v>
      </c>
      <c r="S318" s="171">
        <v>0</v>
      </c>
      <c r="T318" s="171">
        <v>0</v>
      </c>
      <c r="U318" s="185">
        <f t="shared" si="0"/>
        <v>99.85311323215929</v>
      </c>
      <c r="V318" s="171">
        <v>213.7</v>
      </c>
      <c r="W318" s="191">
        <f t="shared" si="1"/>
        <v>12.806747777257838</v>
      </c>
      <c r="X318" s="171">
        <v>20.11</v>
      </c>
    </row>
    <row r="319" spans="1:23" ht="12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186"/>
      <c r="V319" s="174"/>
      <c r="W319" s="174"/>
    </row>
    <row r="320" spans="1:24" s="175" customFormat="1" ht="12.75">
      <c r="A320" s="174" t="s">
        <v>175</v>
      </c>
      <c r="B320" s="174">
        <f>B307+B308+B309+B310+B311+B312+B313+B314+B315+B316+B317+B318</f>
        <v>1700</v>
      </c>
      <c r="C320" s="174">
        <f aca="true" t="shared" si="2" ref="C320:T320">C307+C308+C309+C310+C311+C312+C313+C314+C315+C316+C317+C318</f>
        <v>1252020</v>
      </c>
      <c r="D320" s="174">
        <f t="shared" si="2"/>
        <v>112881</v>
      </c>
      <c r="E320" s="174">
        <f t="shared" si="2"/>
        <v>123290</v>
      </c>
      <c r="F320" s="174">
        <f t="shared" si="2"/>
        <v>98840</v>
      </c>
      <c r="G320" s="174">
        <f t="shared" si="2"/>
        <v>34660</v>
      </c>
      <c r="H320" s="174">
        <f t="shared" si="2"/>
        <v>292250</v>
      </c>
      <c r="I320" s="174">
        <f t="shared" si="2"/>
        <v>38072</v>
      </c>
      <c r="J320" s="174">
        <f t="shared" si="2"/>
        <v>44340</v>
      </c>
      <c r="K320" s="174">
        <f t="shared" si="2"/>
        <v>4613080</v>
      </c>
      <c r="L320" s="174">
        <f t="shared" si="2"/>
        <v>5174398</v>
      </c>
      <c r="M320" s="174">
        <f t="shared" si="2"/>
        <v>34390352</v>
      </c>
      <c r="N320" s="174">
        <f t="shared" si="2"/>
        <v>103400</v>
      </c>
      <c r="O320" s="174">
        <f t="shared" si="2"/>
        <v>46191075</v>
      </c>
      <c r="P320" s="174">
        <f t="shared" si="2"/>
        <v>46244856</v>
      </c>
      <c r="Q320" s="174">
        <f t="shared" si="2"/>
        <v>12480</v>
      </c>
      <c r="R320" s="174">
        <f t="shared" si="2"/>
        <v>4160</v>
      </c>
      <c r="S320" s="174">
        <f t="shared" si="2"/>
        <v>0</v>
      </c>
      <c r="T320" s="174">
        <f t="shared" si="2"/>
        <v>0</v>
      </c>
      <c r="U320" s="187">
        <f>100*(O320/P320)</f>
        <v>99.88370382210726</v>
      </c>
      <c r="V320" s="179">
        <f>V307+V308+V309+V310+V311+V312+V313+V314+V315+V316+V317+V318</f>
        <v>2353.5999999999995</v>
      </c>
      <c r="W320" s="213">
        <f t="shared" si="1"/>
        <v>19.648562202583282</v>
      </c>
      <c r="X320" s="171">
        <v>20.11</v>
      </c>
    </row>
    <row r="321" spans="1:21" s="177" customFormat="1" ht="25.5">
      <c r="A321" s="178" t="s">
        <v>176</v>
      </c>
      <c r="B321" s="179">
        <f>B320/1000</f>
        <v>1.7</v>
      </c>
      <c r="C321" s="179">
        <f aca="true" t="shared" si="3" ref="C321:T321">C320/1000</f>
        <v>1252.02</v>
      </c>
      <c r="D321" s="179">
        <f t="shared" si="3"/>
        <v>112.881</v>
      </c>
      <c r="E321" s="179">
        <f t="shared" si="3"/>
        <v>123.29</v>
      </c>
      <c r="F321" s="179">
        <f t="shared" si="3"/>
        <v>98.84</v>
      </c>
      <c r="G321" s="179">
        <f t="shared" si="3"/>
        <v>34.66</v>
      </c>
      <c r="H321" s="179">
        <f t="shared" si="3"/>
        <v>292.25</v>
      </c>
      <c r="I321" s="179">
        <f t="shared" si="3"/>
        <v>38.072</v>
      </c>
      <c r="J321" s="179">
        <f t="shared" si="3"/>
        <v>44.34</v>
      </c>
      <c r="K321" s="179">
        <f t="shared" si="3"/>
        <v>4613.08</v>
      </c>
      <c r="L321" s="179">
        <f t="shared" si="3"/>
        <v>5174.398</v>
      </c>
      <c r="M321" s="179">
        <f t="shared" si="3"/>
        <v>34390.352</v>
      </c>
      <c r="N321" s="179">
        <f t="shared" si="3"/>
        <v>103.4</v>
      </c>
      <c r="O321" s="179">
        <f t="shared" si="3"/>
        <v>46191.075</v>
      </c>
      <c r="P321" s="179">
        <f t="shared" si="3"/>
        <v>46244.856</v>
      </c>
      <c r="Q321" s="179">
        <f t="shared" si="3"/>
        <v>12.48</v>
      </c>
      <c r="R321" s="179">
        <f t="shared" si="3"/>
        <v>4.16</v>
      </c>
      <c r="S321" s="179">
        <f t="shared" si="3"/>
        <v>0</v>
      </c>
      <c r="T321" s="179">
        <f t="shared" si="3"/>
        <v>0</v>
      </c>
      <c r="U321" s="188">
        <f>100*(O321/P321)</f>
        <v>99.88370382210726</v>
      </c>
    </row>
    <row r="323" ht="12.75">
      <c r="A323" s="180" t="s">
        <v>178</v>
      </c>
    </row>
    <row r="324" ht="12.75">
      <c r="A324" s="180" t="s">
        <v>180</v>
      </c>
    </row>
  </sheetData>
  <sheetProtection/>
  <printOptions/>
  <pageMargins left="0.11811023622047245" right="0.11811023622047245" top="0.7480314960629921" bottom="0.7480314960629921" header="0.31496062992125984" footer="0.31496062992125984"/>
  <pageSetup fitToHeight="0" fitToWidth="1" orientation="landscape" paperSize="9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80"/>
  <sheetViews>
    <sheetView zoomScalePageLayoutView="0" workbookViewId="0" topLeftCell="A352">
      <selection activeCell="K332" sqref="K332"/>
    </sheetView>
  </sheetViews>
  <sheetFormatPr defaultColWidth="9.140625" defaultRowHeight="12.75"/>
  <cols>
    <col min="1" max="1" width="10.7109375" style="0" customWidth="1"/>
    <col min="4" max="4" width="12.57421875" style="0" customWidth="1"/>
    <col min="5" max="5" width="11.28125" style="0" customWidth="1"/>
    <col min="6" max="6" width="10.28125" style="0" customWidth="1"/>
    <col min="14" max="14" width="9.28125" style="0" customWidth="1"/>
    <col min="15" max="15" width="15.8515625" style="0" customWidth="1"/>
    <col min="16" max="16" width="19.57421875" style="0" customWidth="1"/>
    <col min="19" max="19" width="34.00390625" style="0" customWidth="1"/>
    <col min="20" max="20" width="9.7109375" style="0" customWidth="1"/>
    <col min="21" max="21" width="23.140625" style="0" customWidth="1"/>
    <col min="22" max="22" width="32.28125" style="0" customWidth="1"/>
    <col min="23" max="23" width="21.28125" style="0" customWidth="1"/>
    <col min="24" max="24" width="14.7109375" style="0" customWidth="1"/>
  </cols>
  <sheetData>
    <row r="1" ht="12.75">
      <c r="A1" s="181" t="s">
        <v>181</v>
      </c>
    </row>
    <row r="2" ht="13.5" thickBot="1"/>
    <row r="3" spans="1:19" ht="13.5" thickBot="1">
      <c r="A3" s="53" t="s">
        <v>40</v>
      </c>
      <c r="B3" s="15" t="s">
        <v>0</v>
      </c>
      <c r="C3" s="16" t="s">
        <v>1</v>
      </c>
      <c r="D3" s="42" t="s">
        <v>2</v>
      </c>
      <c r="E3" s="142" t="s">
        <v>81</v>
      </c>
      <c r="F3" s="19" t="s">
        <v>4</v>
      </c>
      <c r="G3" s="20" t="s">
        <v>5</v>
      </c>
      <c r="H3" s="33" t="s">
        <v>6</v>
      </c>
      <c r="I3" s="109" t="s">
        <v>141</v>
      </c>
      <c r="J3" s="23" t="s">
        <v>8</v>
      </c>
      <c r="K3" s="24" t="s">
        <v>9</v>
      </c>
      <c r="L3" s="49" t="s">
        <v>14</v>
      </c>
      <c r="M3" s="1" t="s">
        <v>13</v>
      </c>
      <c r="N3" s="3" t="s">
        <v>11</v>
      </c>
      <c r="O3" s="50" t="s">
        <v>114</v>
      </c>
      <c r="P3" s="81" t="s">
        <v>113</v>
      </c>
      <c r="Q3" s="110" t="s">
        <v>142</v>
      </c>
      <c r="R3" s="189" t="s">
        <v>80</v>
      </c>
      <c r="S3" s="190" t="s">
        <v>196</v>
      </c>
    </row>
    <row r="4" spans="1:19" ht="13.5" thickBot="1">
      <c r="A4" s="114">
        <v>0</v>
      </c>
      <c r="B4" s="115">
        <v>14020</v>
      </c>
      <c r="C4" s="116">
        <v>3020</v>
      </c>
      <c r="D4" s="125">
        <v>8160</v>
      </c>
      <c r="E4" s="119">
        <v>4140</v>
      </c>
      <c r="F4" s="125">
        <v>6040</v>
      </c>
      <c r="G4" s="115">
        <v>2280</v>
      </c>
      <c r="H4" s="116">
        <v>3040</v>
      </c>
      <c r="I4" s="147"/>
      <c r="J4" s="147">
        <f>(416*1000)+344</f>
        <v>416344</v>
      </c>
      <c r="K4" s="148">
        <f>2226*1000</f>
        <v>2226000</v>
      </c>
      <c r="L4" s="119">
        <v>2220</v>
      </c>
      <c r="M4" s="132">
        <f>B15</f>
        <v>101660</v>
      </c>
      <c r="N4" s="135">
        <f>D10</f>
        <v>4080</v>
      </c>
      <c r="O4" s="116">
        <v>2020</v>
      </c>
      <c r="P4" s="149">
        <v>1040</v>
      </c>
      <c r="Q4" s="147">
        <v>0</v>
      </c>
      <c r="R4" s="114">
        <v>0</v>
      </c>
      <c r="S4" s="121">
        <v>138.1</v>
      </c>
    </row>
    <row r="5" spans="1:18" ht="13.5" thickBot="1">
      <c r="A5" s="117"/>
      <c r="B5" s="118">
        <v>13000</v>
      </c>
      <c r="C5" s="119">
        <v>2840</v>
      </c>
      <c r="D5" s="126"/>
      <c r="E5" s="123"/>
      <c r="F5" s="126">
        <v>10280</v>
      </c>
      <c r="G5" s="133"/>
      <c r="H5" s="119"/>
      <c r="I5" s="117"/>
      <c r="J5" s="117"/>
      <c r="K5" s="117"/>
      <c r="L5" s="119">
        <v>4480</v>
      </c>
      <c r="M5" s="126">
        <f>C9</f>
        <v>5860</v>
      </c>
      <c r="N5" s="118">
        <f>M16</f>
        <v>2799044</v>
      </c>
      <c r="O5" s="119">
        <v>360</v>
      </c>
      <c r="P5" s="117"/>
      <c r="Q5" s="117"/>
      <c r="R5" s="117"/>
    </row>
    <row r="6" spans="1:18" ht="13.5" thickBot="1">
      <c r="A6" s="117"/>
      <c r="B6" s="118">
        <v>15080</v>
      </c>
      <c r="C6" s="119"/>
      <c r="D6" s="126"/>
      <c r="E6" s="143"/>
      <c r="F6" s="119">
        <v>3200</v>
      </c>
      <c r="G6" s="163">
        <f>G4</f>
        <v>2280</v>
      </c>
      <c r="H6" s="119"/>
      <c r="I6" s="117"/>
      <c r="J6" s="117"/>
      <c r="K6" s="117"/>
      <c r="L6" s="119">
        <v>3220</v>
      </c>
      <c r="M6" s="126">
        <f>D10</f>
        <v>4080</v>
      </c>
      <c r="N6" s="133">
        <v>2380</v>
      </c>
      <c r="O6" s="120"/>
      <c r="P6" s="117"/>
      <c r="Q6" s="117"/>
      <c r="R6" s="117"/>
    </row>
    <row r="7" spans="1:18" ht="13.5" thickBot="1">
      <c r="A7" s="117"/>
      <c r="B7" s="118">
        <v>14720</v>
      </c>
      <c r="C7" s="119"/>
      <c r="D7" s="119"/>
      <c r="E7" s="120"/>
      <c r="F7" s="123">
        <v>5160</v>
      </c>
      <c r="G7" s="117"/>
      <c r="H7" s="120"/>
      <c r="I7" s="117"/>
      <c r="J7" s="117"/>
      <c r="K7" s="117"/>
      <c r="L7" s="119"/>
      <c r="M7" s="119">
        <f>E8</f>
        <v>4140</v>
      </c>
      <c r="N7" s="146">
        <f>N4+N5+N6</f>
        <v>2805504</v>
      </c>
      <c r="O7" s="144">
        <f>SUM(O4:O6)</f>
        <v>2380</v>
      </c>
      <c r="P7" s="117"/>
      <c r="Q7" s="117"/>
      <c r="R7" s="117"/>
    </row>
    <row r="8" spans="1:18" ht="13.5" thickBot="1">
      <c r="A8" s="117"/>
      <c r="B8" s="118">
        <v>13780</v>
      </c>
      <c r="C8" s="120"/>
      <c r="D8" s="120"/>
      <c r="E8" s="144">
        <f>SUM(E4:E7)</f>
        <v>4140</v>
      </c>
      <c r="F8" s="119"/>
      <c r="G8" s="117"/>
      <c r="H8" s="146">
        <f>SUM(H4:H7)</f>
        <v>3040</v>
      </c>
      <c r="I8" s="117"/>
      <c r="J8" s="117"/>
      <c r="K8" s="117"/>
      <c r="L8" s="119"/>
      <c r="M8" s="119">
        <f>F9</f>
        <v>24680</v>
      </c>
      <c r="N8" s="117"/>
      <c r="O8" s="117"/>
      <c r="P8" s="117"/>
      <c r="Q8" s="117"/>
      <c r="R8" s="117"/>
    </row>
    <row r="9" spans="1:18" ht="13.5" thickBot="1">
      <c r="A9" s="117"/>
      <c r="B9" s="119">
        <v>10320</v>
      </c>
      <c r="C9" s="144">
        <f>C4+C5+C6+C7+C8</f>
        <v>5860</v>
      </c>
      <c r="D9" s="144">
        <f>SUM(D4:D8)</f>
        <v>8160</v>
      </c>
      <c r="E9" s="117"/>
      <c r="F9" s="146">
        <f>SUM(F4:F8)</f>
        <v>24680</v>
      </c>
      <c r="G9" s="117"/>
      <c r="H9" s="117"/>
      <c r="I9" s="117"/>
      <c r="J9" s="117"/>
      <c r="K9" s="117"/>
      <c r="L9" s="120"/>
      <c r="M9" s="119">
        <f>G6</f>
        <v>2280</v>
      </c>
      <c r="N9" s="117"/>
      <c r="O9" s="117"/>
      <c r="P9" s="117"/>
      <c r="Q9" s="117"/>
      <c r="R9" s="117"/>
    </row>
    <row r="10" spans="1:18" ht="13.5" thickBot="1">
      <c r="A10" s="117"/>
      <c r="B10" s="119">
        <v>10020</v>
      </c>
      <c r="C10" s="117"/>
      <c r="D10" s="164">
        <f>D9/2</f>
        <v>4080</v>
      </c>
      <c r="E10" s="131" t="s">
        <v>56</v>
      </c>
      <c r="F10" s="117"/>
      <c r="G10" s="117"/>
      <c r="H10" s="117"/>
      <c r="I10" s="117"/>
      <c r="J10" s="117"/>
      <c r="K10" s="117"/>
      <c r="L10" s="144">
        <f>SUM(L4:L9)</f>
        <v>9920</v>
      </c>
      <c r="M10" s="119">
        <f>H8</f>
        <v>3040</v>
      </c>
      <c r="N10" s="117"/>
      <c r="O10" s="117"/>
      <c r="P10" s="117"/>
      <c r="Q10" s="117"/>
      <c r="R10" s="117"/>
    </row>
    <row r="11" spans="1:18" ht="12.75">
      <c r="A11" s="117"/>
      <c r="B11" s="119">
        <v>10720</v>
      </c>
      <c r="C11" s="117"/>
      <c r="D11" s="55"/>
      <c r="E11" s="116"/>
      <c r="F11" s="117"/>
      <c r="G11" s="117"/>
      <c r="H11" s="117"/>
      <c r="I11" s="117"/>
      <c r="J11" s="117"/>
      <c r="K11" s="117"/>
      <c r="L11" s="117"/>
      <c r="M11" s="119">
        <f>I4</f>
        <v>0</v>
      </c>
      <c r="N11" s="117"/>
      <c r="O11" s="117"/>
      <c r="P11" s="117"/>
      <c r="Q11" s="117"/>
      <c r="R11" s="117"/>
    </row>
    <row r="12" spans="1:18" ht="13.5" thickBot="1">
      <c r="A12" s="117"/>
      <c r="B12" s="119"/>
      <c r="C12" s="117"/>
      <c r="E12" s="119"/>
      <c r="F12" s="117"/>
      <c r="G12" s="117"/>
      <c r="H12" s="117"/>
      <c r="I12" s="117"/>
      <c r="J12" s="117"/>
      <c r="K12" s="117"/>
      <c r="L12" s="117"/>
      <c r="M12" s="119">
        <f>P4</f>
        <v>1040</v>
      </c>
      <c r="Q12" s="117"/>
      <c r="R12" s="117"/>
    </row>
    <row r="13" spans="1:18" ht="13.5" thickBot="1">
      <c r="A13" s="117"/>
      <c r="B13" s="119"/>
      <c r="C13" s="117"/>
      <c r="E13" s="119"/>
      <c r="F13" s="117"/>
      <c r="G13" s="117"/>
      <c r="H13" s="117"/>
      <c r="I13" s="117"/>
      <c r="J13" s="117"/>
      <c r="K13" s="117"/>
      <c r="L13" s="117"/>
      <c r="M13" s="119">
        <f>J4</f>
        <v>416344</v>
      </c>
      <c r="N13" s="117"/>
      <c r="O13" s="121">
        <f>O7</f>
        <v>2380</v>
      </c>
      <c r="P13" s="117" t="s">
        <v>115</v>
      </c>
      <c r="Q13" s="117"/>
      <c r="R13" s="117"/>
    </row>
    <row r="14" spans="1:18" ht="13.5" thickBot="1">
      <c r="A14" s="117"/>
      <c r="B14" s="119"/>
      <c r="C14" s="117"/>
      <c r="E14" s="124"/>
      <c r="F14" s="117"/>
      <c r="G14" s="117"/>
      <c r="H14" s="117"/>
      <c r="I14" s="117"/>
      <c r="J14" s="117"/>
      <c r="K14" s="117"/>
      <c r="L14" s="117"/>
      <c r="M14" s="123">
        <f>K4</f>
        <v>2226000</v>
      </c>
      <c r="N14" s="117"/>
      <c r="O14" s="121"/>
      <c r="P14" s="117"/>
      <c r="Q14" s="117"/>
      <c r="R14" s="117"/>
    </row>
    <row r="15" spans="1:18" ht="13.5" thickBot="1">
      <c r="A15" s="117"/>
      <c r="B15" s="141">
        <f>SUM(B4:B14)</f>
        <v>101660</v>
      </c>
      <c r="C15" s="117"/>
      <c r="E15" s="121"/>
      <c r="M15" s="124">
        <f>L10</f>
        <v>9920</v>
      </c>
      <c r="N15" s="117"/>
      <c r="O15" s="121">
        <f>M18</f>
        <v>2805504</v>
      </c>
      <c r="P15" s="117" t="s">
        <v>179</v>
      </c>
      <c r="Q15" s="117"/>
      <c r="R15" s="117"/>
    </row>
    <row r="16" spans="1:18" ht="13.5" thickBot="1">
      <c r="A16" s="117"/>
      <c r="B16" s="119"/>
      <c r="C16" s="117"/>
      <c r="E16" s="123"/>
      <c r="F16" s="28"/>
      <c r="M16" s="144">
        <f>SUM(M4:M15)</f>
        <v>2799044</v>
      </c>
      <c r="N16" s="117" t="s">
        <v>177</v>
      </c>
      <c r="O16" s="117"/>
      <c r="P16" s="117"/>
      <c r="Q16" s="117"/>
      <c r="R16" s="117"/>
    </row>
    <row r="17" spans="1:18" ht="13.5" thickBot="1">
      <c r="A17" s="117"/>
      <c r="B17" s="123"/>
      <c r="C17" s="117"/>
      <c r="E17" s="121"/>
      <c r="M17" s="124"/>
      <c r="N17" s="117"/>
      <c r="O17" s="117"/>
      <c r="P17" s="117"/>
      <c r="Q17" s="117"/>
      <c r="R17" s="117"/>
    </row>
    <row r="18" spans="1:16" ht="13.5" thickBot="1">
      <c r="A18" s="117"/>
      <c r="B18" s="123"/>
      <c r="C18" s="117"/>
      <c r="F18" s="92"/>
      <c r="M18" s="144">
        <f>N7</f>
        <v>2805504</v>
      </c>
      <c r="N18" s="117" t="s">
        <v>179</v>
      </c>
      <c r="O18" s="117"/>
      <c r="P18" s="117"/>
    </row>
    <row r="19" spans="1:3" ht="13.5" thickBot="1">
      <c r="A19" s="117"/>
      <c r="B19" s="123"/>
      <c r="C19" s="117"/>
    </row>
    <row r="20" spans="1:21" ht="13.5" thickBot="1">
      <c r="A20" s="117"/>
      <c r="B20" s="123"/>
      <c r="C20" s="117"/>
      <c r="M20" s="228">
        <f>100*(M16/M18)</f>
        <v>99.76973834291451</v>
      </c>
      <c r="N20" s="180" t="s">
        <v>193</v>
      </c>
      <c r="S20" s="183"/>
      <c r="T20" s="183"/>
      <c r="U20" s="183"/>
    </row>
    <row r="21" spans="1:14" ht="12.75">
      <c r="A21" s="117"/>
      <c r="B21" s="123"/>
      <c r="C21" s="117"/>
      <c r="N21" s="184" t="s">
        <v>178</v>
      </c>
    </row>
    <row r="22" spans="1:14" ht="13.5" thickBot="1">
      <c r="A22" s="117"/>
      <c r="B22" s="124"/>
      <c r="C22" s="117"/>
      <c r="N22" s="169" t="s">
        <v>180</v>
      </c>
    </row>
    <row r="23" spans="1:3" ht="13.5" thickBot="1">
      <c r="A23" s="117"/>
      <c r="B23" s="121"/>
      <c r="C23" s="117"/>
    </row>
    <row r="24" spans="13:14" ht="13.5" thickBot="1">
      <c r="M24" s="228">
        <f>M18/(1000*S4)</f>
        <v>20.31501810282404</v>
      </c>
      <c r="N24" s="180" t="s">
        <v>194</v>
      </c>
    </row>
    <row r="25" ht="12.75">
      <c r="N25" s="169" t="s">
        <v>195</v>
      </c>
    </row>
    <row r="26" ht="13.5" thickBot="1">
      <c r="N26" s="169"/>
    </row>
    <row r="27" spans="13:14" ht="13.5" thickBot="1">
      <c r="M27" s="229">
        <f>M16</f>
        <v>2799044</v>
      </c>
      <c r="N27" s="169" t="s">
        <v>215</v>
      </c>
    </row>
    <row r="28" ht="12.75">
      <c r="A28" s="181" t="s">
        <v>182</v>
      </c>
    </row>
    <row r="29" ht="13.5" thickBot="1"/>
    <row r="30" spans="1:19" ht="13.5" thickBot="1">
      <c r="A30" s="53" t="s">
        <v>40</v>
      </c>
      <c r="B30" s="15" t="s">
        <v>0</v>
      </c>
      <c r="C30" s="16" t="s">
        <v>1</v>
      </c>
      <c r="D30" s="42" t="s">
        <v>2</v>
      </c>
      <c r="E30" s="142" t="s">
        <v>81</v>
      </c>
      <c r="F30" s="19" t="s">
        <v>4</v>
      </c>
      <c r="G30" s="20" t="s">
        <v>5</v>
      </c>
      <c r="H30" s="33" t="s">
        <v>6</v>
      </c>
      <c r="I30" s="109" t="s">
        <v>141</v>
      </c>
      <c r="J30" s="23" t="s">
        <v>8</v>
      </c>
      <c r="K30" s="24" t="s">
        <v>9</v>
      </c>
      <c r="L30" s="49" t="s">
        <v>14</v>
      </c>
      <c r="M30" s="1" t="s">
        <v>13</v>
      </c>
      <c r="N30" s="3" t="s">
        <v>11</v>
      </c>
      <c r="O30" s="50" t="s">
        <v>114</v>
      </c>
      <c r="P30" s="81" t="s">
        <v>113</v>
      </c>
      <c r="Q30" s="110" t="s">
        <v>142</v>
      </c>
      <c r="R30" s="111" t="s">
        <v>80</v>
      </c>
      <c r="S30" s="190" t="s">
        <v>196</v>
      </c>
    </row>
    <row r="31" spans="1:19" ht="13.5" thickBot="1">
      <c r="A31" s="114"/>
      <c r="B31" s="115">
        <v>11460</v>
      </c>
      <c r="C31" s="116">
        <v>2880</v>
      </c>
      <c r="D31" s="125"/>
      <c r="E31" s="119">
        <v>4460</v>
      </c>
      <c r="F31" s="125">
        <v>9200</v>
      </c>
      <c r="G31" s="115">
        <v>2600</v>
      </c>
      <c r="H31" s="116">
        <v>2960</v>
      </c>
      <c r="I31" s="147"/>
      <c r="J31" s="147">
        <f>(339*1000)+288</f>
        <v>339288</v>
      </c>
      <c r="K31" s="148">
        <f>1973*1000</f>
        <v>1973000</v>
      </c>
      <c r="L31" s="119">
        <v>2180</v>
      </c>
      <c r="M31" s="132">
        <f>B42</f>
        <v>85980</v>
      </c>
      <c r="N31" s="135">
        <f>D37</f>
        <v>0</v>
      </c>
      <c r="O31" s="116"/>
      <c r="P31" s="149">
        <v>0</v>
      </c>
      <c r="Q31" s="147">
        <v>0</v>
      </c>
      <c r="R31" s="121">
        <v>0</v>
      </c>
      <c r="S31" s="121">
        <v>137.4</v>
      </c>
    </row>
    <row r="32" spans="1:18" ht="13.5" thickBot="1">
      <c r="A32" s="117"/>
      <c r="B32" s="118">
        <v>12400</v>
      </c>
      <c r="C32" s="119">
        <v>4960</v>
      </c>
      <c r="D32" s="126"/>
      <c r="E32" s="123"/>
      <c r="F32" s="126">
        <v>6540</v>
      </c>
      <c r="G32" s="133"/>
      <c r="H32" s="119"/>
      <c r="I32" s="117"/>
      <c r="J32" s="117"/>
      <c r="K32" s="117"/>
      <c r="L32" s="119">
        <v>1500</v>
      </c>
      <c r="M32" s="126">
        <f>C36</f>
        <v>18860</v>
      </c>
      <c r="N32" s="118">
        <f>M42</f>
        <v>2446568</v>
      </c>
      <c r="O32" s="119"/>
      <c r="P32" s="117"/>
      <c r="Q32" s="117"/>
      <c r="R32" s="117"/>
    </row>
    <row r="33" spans="1:18" ht="13.5" thickBot="1">
      <c r="A33" s="117"/>
      <c r="B33" s="118">
        <v>14740</v>
      </c>
      <c r="C33" s="119">
        <v>3760</v>
      </c>
      <c r="D33" s="126"/>
      <c r="E33" s="143"/>
      <c r="F33" s="130"/>
      <c r="G33" s="145">
        <f>G31</f>
        <v>2600</v>
      </c>
      <c r="H33" s="119"/>
      <c r="I33" s="117"/>
      <c r="J33" s="117"/>
      <c r="K33" s="117"/>
      <c r="L33" s="119"/>
      <c r="M33" s="126">
        <f>D37</f>
        <v>0</v>
      </c>
      <c r="N33" s="133"/>
      <c r="O33" s="120"/>
      <c r="P33" s="117"/>
      <c r="Q33" s="117"/>
      <c r="R33" s="117"/>
    </row>
    <row r="34" spans="1:18" ht="13.5" thickBot="1">
      <c r="A34" s="117"/>
      <c r="B34" s="118">
        <v>7560</v>
      </c>
      <c r="C34" s="119">
        <v>7260</v>
      </c>
      <c r="D34" s="119"/>
      <c r="E34" s="120"/>
      <c r="F34" s="144">
        <f>SUM(F31:F33)</f>
        <v>15740</v>
      </c>
      <c r="G34" s="117"/>
      <c r="H34" s="120"/>
      <c r="I34" s="117"/>
      <c r="J34" s="117"/>
      <c r="K34" s="117"/>
      <c r="L34" s="119"/>
      <c r="M34" s="119">
        <f>E35</f>
        <v>4460</v>
      </c>
      <c r="N34" s="146">
        <f>N31+N32+N33</f>
        <v>2446568</v>
      </c>
      <c r="O34" s="144">
        <f>SUM(O31:O33)</f>
        <v>0</v>
      </c>
      <c r="P34" s="117"/>
      <c r="Q34" s="117"/>
      <c r="R34" s="117"/>
    </row>
    <row r="35" spans="1:18" ht="13.5" thickBot="1">
      <c r="A35" s="117"/>
      <c r="B35" s="118">
        <v>13560</v>
      </c>
      <c r="C35" s="120"/>
      <c r="D35" s="120"/>
      <c r="E35" s="144">
        <f>SUM(E31:E34)</f>
        <v>4460</v>
      </c>
      <c r="F35" s="117"/>
      <c r="G35" s="117"/>
      <c r="H35" s="146">
        <f>SUM(H31:H34)</f>
        <v>2960</v>
      </c>
      <c r="I35" s="117"/>
      <c r="J35" s="117"/>
      <c r="K35" s="117"/>
      <c r="L35" s="119"/>
      <c r="M35" s="119">
        <f>F34</f>
        <v>15740</v>
      </c>
      <c r="N35" s="117"/>
      <c r="O35" s="117"/>
      <c r="P35" s="117"/>
      <c r="Q35" s="117"/>
      <c r="R35" s="117"/>
    </row>
    <row r="36" spans="1:18" ht="13.5" thickBot="1">
      <c r="A36" s="117"/>
      <c r="B36" s="119">
        <v>14300</v>
      </c>
      <c r="C36" s="144">
        <f>C31+C32+C33+C34</f>
        <v>18860</v>
      </c>
      <c r="D36" s="144">
        <f>SUM(D31:D35)</f>
        <v>0</v>
      </c>
      <c r="E36" s="117"/>
      <c r="F36" s="117"/>
      <c r="G36" s="117"/>
      <c r="H36" s="117"/>
      <c r="I36" s="117"/>
      <c r="J36" s="117"/>
      <c r="K36" s="117"/>
      <c r="L36" s="120"/>
      <c r="M36" s="119">
        <f>G33</f>
        <v>2600</v>
      </c>
      <c r="N36" s="117"/>
      <c r="O36" s="117"/>
      <c r="P36" s="117"/>
      <c r="Q36" s="117"/>
      <c r="R36" s="117"/>
    </row>
    <row r="37" spans="1:18" ht="13.5" thickBot="1">
      <c r="A37" s="117"/>
      <c r="B37" s="119">
        <v>11960</v>
      </c>
      <c r="C37" s="117"/>
      <c r="D37" s="164">
        <f>D36/2</f>
        <v>0</v>
      </c>
      <c r="E37" s="131" t="s">
        <v>56</v>
      </c>
      <c r="F37" s="117"/>
      <c r="G37" s="117"/>
      <c r="H37" s="117"/>
      <c r="I37" s="117"/>
      <c r="J37" s="117"/>
      <c r="K37" s="117"/>
      <c r="L37" s="144">
        <f>SUM(L31:L36)</f>
        <v>3680</v>
      </c>
      <c r="M37" s="119">
        <f>H35</f>
        <v>2960</v>
      </c>
      <c r="N37" s="117"/>
      <c r="O37" s="117"/>
      <c r="P37" s="117"/>
      <c r="Q37" s="117"/>
      <c r="R37" s="117"/>
    </row>
    <row r="38" spans="1:18" ht="13.5" thickBot="1">
      <c r="A38" s="117"/>
      <c r="B38" s="119"/>
      <c r="C38" s="117"/>
      <c r="D38" s="55"/>
      <c r="E38" s="116"/>
      <c r="F38" s="117"/>
      <c r="G38" s="117"/>
      <c r="H38" s="117"/>
      <c r="I38" s="117"/>
      <c r="J38" s="117"/>
      <c r="K38" s="117"/>
      <c r="L38" s="117"/>
      <c r="M38" s="119">
        <f>I31</f>
        <v>0</v>
      </c>
      <c r="N38" s="117"/>
      <c r="O38" s="117"/>
      <c r="P38" s="117"/>
      <c r="Q38" s="117"/>
      <c r="R38" s="117"/>
    </row>
    <row r="39" spans="1:18" ht="13.5" thickBot="1">
      <c r="A39" s="117"/>
      <c r="B39" s="119"/>
      <c r="C39" s="117"/>
      <c r="E39" s="119"/>
      <c r="F39" s="117"/>
      <c r="G39" s="117"/>
      <c r="H39" s="117"/>
      <c r="I39" s="117"/>
      <c r="J39" s="117"/>
      <c r="K39" s="117"/>
      <c r="L39" s="117"/>
      <c r="M39" s="119">
        <f>J31</f>
        <v>339288</v>
      </c>
      <c r="N39" s="117"/>
      <c r="O39" s="121"/>
      <c r="P39" s="117" t="s">
        <v>115</v>
      </c>
      <c r="Q39" s="117"/>
      <c r="R39" s="117"/>
    </row>
    <row r="40" spans="1:18" ht="13.5" thickBot="1">
      <c r="A40" s="117"/>
      <c r="B40" s="119"/>
      <c r="C40" s="117"/>
      <c r="E40" s="119"/>
      <c r="F40" s="117"/>
      <c r="G40" s="117"/>
      <c r="H40" s="117"/>
      <c r="I40" s="117"/>
      <c r="J40" s="117"/>
      <c r="K40" s="117"/>
      <c r="L40" s="117"/>
      <c r="M40" s="123">
        <f>K31</f>
        <v>1973000</v>
      </c>
      <c r="N40" s="117"/>
      <c r="O40" s="121"/>
      <c r="P40" s="117"/>
      <c r="Q40" s="117"/>
      <c r="R40" s="117"/>
    </row>
    <row r="41" spans="1:18" ht="13.5" thickBot="1">
      <c r="A41" s="117"/>
      <c r="B41" s="119"/>
      <c r="C41" s="117"/>
      <c r="E41" s="124"/>
      <c r="F41" s="117"/>
      <c r="G41" s="117"/>
      <c r="H41" s="117"/>
      <c r="I41" s="117"/>
      <c r="J41" s="117"/>
      <c r="K41" s="117"/>
      <c r="L41" s="117"/>
      <c r="M41" s="124">
        <f>L37</f>
        <v>3680</v>
      </c>
      <c r="N41" s="117"/>
      <c r="O41" s="121">
        <f>M44</f>
        <v>2446568</v>
      </c>
      <c r="P41" s="117" t="s">
        <v>179</v>
      </c>
      <c r="Q41" s="117"/>
      <c r="R41" s="117"/>
    </row>
    <row r="42" spans="1:18" ht="13.5" thickBot="1">
      <c r="A42" s="117"/>
      <c r="B42" s="141">
        <f>SUM(B31:B41)</f>
        <v>85980</v>
      </c>
      <c r="C42" s="117"/>
      <c r="E42" s="121"/>
      <c r="M42" s="144">
        <f>SUM(M31:M41)</f>
        <v>2446568</v>
      </c>
      <c r="N42" s="117" t="s">
        <v>177</v>
      </c>
      <c r="O42" s="117"/>
      <c r="P42" s="117"/>
      <c r="Q42" s="117"/>
      <c r="R42" s="117"/>
    </row>
    <row r="43" spans="1:18" ht="13.5" thickBot="1">
      <c r="A43" s="117"/>
      <c r="B43" s="119"/>
      <c r="C43" s="117"/>
      <c r="E43" s="123"/>
      <c r="F43" s="28"/>
      <c r="M43" s="124"/>
      <c r="N43" s="117"/>
      <c r="O43" s="117"/>
      <c r="P43" s="117"/>
      <c r="Q43" s="117"/>
      <c r="R43" s="117"/>
    </row>
    <row r="44" spans="1:18" ht="13.5" thickBot="1">
      <c r="A44" s="117"/>
      <c r="B44" s="123"/>
      <c r="C44" s="117"/>
      <c r="E44" s="121"/>
      <c r="M44" s="144">
        <f>N34</f>
        <v>2446568</v>
      </c>
      <c r="N44" s="117" t="s">
        <v>179</v>
      </c>
      <c r="O44" s="117"/>
      <c r="P44" s="117"/>
      <c r="Q44" s="117"/>
      <c r="R44" s="117"/>
    </row>
    <row r="45" spans="1:6" ht="13.5" thickBot="1">
      <c r="A45" s="117"/>
      <c r="B45" s="123"/>
      <c r="C45" s="117"/>
      <c r="F45" s="92"/>
    </row>
    <row r="46" spans="1:14" ht="13.5" thickBot="1">
      <c r="A46" s="117"/>
      <c r="B46" s="123"/>
      <c r="C46" s="117"/>
      <c r="M46" s="228">
        <f>100*(M42/M44)</f>
        <v>100</v>
      </c>
      <c r="N46" s="180" t="s">
        <v>193</v>
      </c>
    </row>
    <row r="47" spans="1:14" ht="12.75">
      <c r="A47" s="117"/>
      <c r="B47" s="123"/>
      <c r="C47" s="117"/>
      <c r="N47" s="184" t="s">
        <v>178</v>
      </c>
    </row>
    <row r="48" spans="1:14" ht="12.75">
      <c r="A48" s="117"/>
      <c r="B48" s="123"/>
      <c r="C48" s="117"/>
      <c r="N48" s="169" t="s">
        <v>180</v>
      </c>
    </row>
    <row r="49" spans="1:3" ht="13.5" thickBot="1">
      <c r="A49" s="117"/>
      <c r="B49" s="124"/>
      <c r="C49" s="117"/>
    </row>
    <row r="50" spans="1:14" ht="13.5" thickBot="1">
      <c r="A50" s="117"/>
      <c r="B50" s="121"/>
      <c r="C50" s="117"/>
      <c r="M50" s="228">
        <f>M44/(1000*S31)</f>
        <v>17.806171761280932</v>
      </c>
      <c r="N50" s="180" t="s">
        <v>194</v>
      </c>
    </row>
    <row r="51" spans="1:14" ht="12.75">
      <c r="A51" s="117"/>
      <c r="B51" s="137"/>
      <c r="C51" s="117"/>
      <c r="N51" s="169" t="s">
        <v>195</v>
      </c>
    </row>
    <row r="52" spans="1:3" ht="13.5" thickBot="1">
      <c r="A52" s="117"/>
      <c r="B52" s="137"/>
      <c r="C52" s="117"/>
    </row>
    <row r="53" spans="1:14" ht="13.5" thickBot="1">
      <c r="A53" s="117"/>
      <c r="B53" s="137"/>
      <c r="C53" s="117"/>
      <c r="M53" s="229">
        <f>M42</f>
        <v>2446568</v>
      </c>
      <c r="N53" s="169" t="s">
        <v>215</v>
      </c>
    </row>
    <row r="54" spans="1:3" ht="12.75">
      <c r="A54" s="117"/>
      <c r="B54" s="137"/>
      <c r="C54" s="117"/>
    </row>
    <row r="56" ht="12.75">
      <c r="A56" s="181" t="s">
        <v>213</v>
      </c>
    </row>
    <row r="57" ht="13.5" thickBot="1"/>
    <row r="58" spans="1:19" ht="13.5" thickBot="1">
      <c r="A58" s="53" t="s">
        <v>40</v>
      </c>
      <c r="B58" s="15" t="s">
        <v>0</v>
      </c>
      <c r="C58" s="16" t="s">
        <v>1</v>
      </c>
      <c r="D58" s="42" t="s">
        <v>2</v>
      </c>
      <c r="E58" s="142" t="s">
        <v>81</v>
      </c>
      <c r="F58" s="19" t="s">
        <v>4</v>
      </c>
      <c r="G58" s="20" t="s">
        <v>5</v>
      </c>
      <c r="H58" s="33" t="s">
        <v>6</v>
      </c>
      <c r="I58" s="109" t="s">
        <v>141</v>
      </c>
      <c r="J58" s="23" t="s">
        <v>8</v>
      </c>
      <c r="K58" s="24" t="s">
        <v>9</v>
      </c>
      <c r="L58" s="49" t="s">
        <v>14</v>
      </c>
      <c r="M58" s="1" t="s">
        <v>13</v>
      </c>
      <c r="N58" s="3" t="s">
        <v>11</v>
      </c>
      <c r="O58" s="50" t="s">
        <v>114</v>
      </c>
      <c r="P58" s="81" t="s">
        <v>113</v>
      </c>
      <c r="Q58" s="110" t="s">
        <v>142</v>
      </c>
      <c r="R58" s="111" t="s">
        <v>80</v>
      </c>
      <c r="S58" s="190" t="s">
        <v>196</v>
      </c>
    </row>
    <row r="59" spans="1:19" ht="13.5" thickBot="1">
      <c r="A59" s="145">
        <v>941</v>
      </c>
      <c r="B59" s="115">
        <v>12660</v>
      </c>
      <c r="C59" s="116">
        <v>3200</v>
      </c>
      <c r="D59" s="125">
        <v>6660</v>
      </c>
      <c r="E59" s="119">
        <v>3160</v>
      </c>
      <c r="F59" s="125">
        <v>6580</v>
      </c>
      <c r="G59" s="115">
        <v>2480</v>
      </c>
      <c r="H59" s="116">
        <v>2800</v>
      </c>
      <c r="I59" s="147"/>
      <c r="J59" s="147">
        <f>(440*1000)+466</f>
        <v>440466</v>
      </c>
      <c r="K59" s="148">
        <f>(3420/1000)+(3998*1000)</f>
        <v>3998003.42</v>
      </c>
      <c r="L59" s="119">
        <v>2680</v>
      </c>
      <c r="M59" s="132">
        <f>B72</f>
        <v>111080</v>
      </c>
      <c r="N59" s="135">
        <f>D65</f>
        <v>3330</v>
      </c>
      <c r="O59" s="116">
        <v>980</v>
      </c>
      <c r="P59" s="149">
        <v>740</v>
      </c>
      <c r="Q59" s="214">
        <v>28</v>
      </c>
      <c r="R59" s="121">
        <v>0</v>
      </c>
      <c r="S59" s="121">
        <v>211.9</v>
      </c>
    </row>
    <row r="60" spans="1:18" ht="13.5" thickBot="1">
      <c r="A60" s="117"/>
      <c r="B60" s="118">
        <v>14020</v>
      </c>
      <c r="C60" s="119">
        <v>3900</v>
      </c>
      <c r="D60" s="126"/>
      <c r="E60" s="123"/>
      <c r="F60" s="126">
        <v>10940</v>
      </c>
      <c r="G60" s="133"/>
      <c r="H60" s="119">
        <v>1280</v>
      </c>
      <c r="I60" s="117"/>
      <c r="J60" s="117"/>
      <c r="K60" s="117"/>
      <c r="L60" s="119">
        <v>940</v>
      </c>
      <c r="M60" s="126">
        <f>C64</f>
        <v>19000</v>
      </c>
      <c r="N60" s="118">
        <f>M72</f>
        <v>4616700.42</v>
      </c>
      <c r="O60" s="119"/>
      <c r="P60" s="117"/>
      <c r="Q60" s="117"/>
      <c r="R60" s="117"/>
    </row>
    <row r="61" spans="1:18" ht="13.5" thickBot="1">
      <c r="A61" s="117"/>
      <c r="B61" s="118">
        <v>15420</v>
      </c>
      <c r="C61" s="119">
        <v>1160</v>
      </c>
      <c r="D61" s="126"/>
      <c r="E61" s="143">
        <v>7340</v>
      </c>
      <c r="F61" s="130">
        <v>700</v>
      </c>
      <c r="G61" s="145">
        <f>G59</f>
        <v>2480</v>
      </c>
      <c r="H61" s="119"/>
      <c r="I61" s="117"/>
      <c r="J61" s="117"/>
      <c r="K61" s="117"/>
      <c r="L61" s="119">
        <v>2260</v>
      </c>
      <c r="M61" s="126">
        <f>D65</f>
        <v>3330</v>
      </c>
      <c r="N61" s="133">
        <f>O59</f>
        <v>980</v>
      </c>
      <c r="O61" s="120"/>
      <c r="P61" s="117"/>
      <c r="Q61" s="117"/>
      <c r="R61" s="117"/>
    </row>
    <row r="62" spans="1:18" ht="13.5" thickBot="1">
      <c r="A62" s="117"/>
      <c r="B62" s="118">
        <v>14700</v>
      </c>
      <c r="C62" s="119">
        <v>1940</v>
      </c>
      <c r="D62" s="119"/>
      <c r="E62" s="120"/>
      <c r="F62" s="144">
        <f>SUM(F59:F61)</f>
        <v>18220</v>
      </c>
      <c r="G62" s="117"/>
      <c r="H62" s="120"/>
      <c r="I62" s="117"/>
      <c r="J62" s="117"/>
      <c r="K62" s="117"/>
      <c r="L62" s="119"/>
      <c r="M62" s="119">
        <f>E74</f>
        <v>12480</v>
      </c>
      <c r="N62" s="146">
        <f>N59+N60+N61</f>
        <v>4621010.42</v>
      </c>
      <c r="O62" s="144">
        <f>SUM(O59:O61)</f>
        <v>980</v>
      </c>
      <c r="P62" s="117"/>
      <c r="Q62" s="117"/>
      <c r="R62" s="117"/>
    </row>
    <row r="63" spans="1:18" ht="13.5" thickBot="1">
      <c r="A63" s="117"/>
      <c r="B63" s="118">
        <v>15020</v>
      </c>
      <c r="C63" s="120">
        <f>3240+(5.56*1000)</f>
        <v>8800</v>
      </c>
      <c r="D63" s="120"/>
      <c r="E63" s="144">
        <f>SUM(E59:E62)</f>
        <v>10500</v>
      </c>
      <c r="F63" s="117"/>
      <c r="G63" s="117"/>
      <c r="H63" s="146">
        <f>SUM(H59:H62)</f>
        <v>4080</v>
      </c>
      <c r="I63" s="117"/>
      <c r="J63" s="117"/>
      <c r="K63" s="117"/>
      <c r="L63" s="119"/>
      <c r="M63" s="119">
        <f>F62</f>
        <v>18220</v>
      </c>
      <c r="N63" s="117"/>
      <c r="O63" s="117"/>
      <c r="P63" s="117"/>
      <c r="Q63" s="117"/>
      <c r="R63" s="117"/>
    </row>
    <row r="64" spans="1:18" ht="13.5" thickBot="1">
      <c r="A64" s="117"/>
      <c r="B64" s="119">
        <v>12820</v>
      </c>
      <c r="C64" s="144">
        <f>C59+C60+C61+C62+C63</f>
        <v>19000</v>
      </c>
      <c r="D64" s="144">
        <f>SUM(D59:D63)</f>
        <v>6660</v>
      </c>
      <c r="E64" s="117"/>
      <c r="F64" s="117"/>
      <c r="G64" s="117"/>
      <c r="H64" s="117"/>
      <c r="I64" s="117"/>
      <c r="J64" s="117"/>
      <c r="K64" s="117"/>
      <c r="L64" s="120"/>
      <c r="M64" s="119">
        <f>G61</f>
        <v>2480</v>
      </c>
      <c r="N64" s="117"/>
      <c r="O64" s="117"/>
      <c r="P64" s="117"/>
      <c r="Q64" s="117"/>
      <c r="R64" s="117"/>
    </row>
    <row r="65" spans="1:18" ht="13.5" thickBot="1">
      <c r="A65" s="117"/>
      <c r="B65" s="119">
        <v>12940</v>
      </c>
      <c r="C65" s="117"/>
      <c r="D65" s="164">
        <f>D64/2</f>
        <v>3330</v>
      </c>
      <c r="E65" s="131" t="s">
        <v>56</v>
      </c>
      <c r="F65" s="117"/>
      <c r="G65" s="117"/>
      <c r="H65" s="117"/>
      <c r="I65" s="117"/>
      <c r="J65" s="117"/>
      <c r="K65" s="117"/>
      <c r="L65" s="144">
        <f>SUM(L59:L64)</f>
        <v>5880</v>
      </c>
      <c r="M65" s="119">
        <f>H63</f>
        <v>4080</v>
      </c>
      <c r="N65" s="117"/>
      <c r="O65" s="117"/>
      <c r="P65" s="117"/>
      <c r="Q65" s="117"/>
      <c r="R65" s="117"/>
    </row>
    <row r="66" spans="1:18" ht="12.75">
      <c r="A66" s="117"/>
      <c r="B66" s="119">
        <v>13500</v>
      </c>
      <c r="C66" s="117"/>
      <c r="D66" s="55"/>
      <c r="E66" s="116">
        <v>1980</v>
      </c>
      <c r="F66" s="117"/>
      <c r="G66" s="117"/>
      <c r="H66" s="117"/>
      <c r="I66" s="117"/>
      <c r="J66" s="117"/>
      <c r="K66" s="117"/>
      <c r="L66" s="117"/>
      <c r="M66" s="119">
        <f>I59</f>
        <v>0</v>
      </c>
      <c r="N66" s="117"/>
      <c r="O66" s="117"/>
      <c r="P66" s="117"/>
      <c r="Q66" s="117"/>
      <c r="R66" s="117"/>
    </row>
    <row r="67" spans="1:18" ht="12.75">
      <c r="A67" s="117"/>
      <c r="B67" s="119"/>
      <c r="C67" s="117"/>
      <c r="D67" s="55"/>
      <c r="E67" s="119"/>
      <c r="F67" s="117"/>
      <c r="G67" s="117"/>
      <c r="H67" s="117"/>
      <c r="I67" s="117"/>
      <c r="J67" s="117"/>
      <c r="K67" s="117"/>
      <c r="L67" s="117"/>
      <c r="M67" s="119">
        <f>P59</f>
        <v>740</v>
      </c>
      <c r="N67" s="117"/>
      <c r="O67" s="117"/>
      <c r="P67" s="117"/>
      <c r="Q67" s="117"/>
      <c r="R67" s="117"/>
    </row>
    <row r="68" spans="1:18" ht="13.5" thickBot="1">
      <c r="A68" s="117"/>
      <c r="B68" s="119"/>
      <c r="C68" s="117"/>
      <c r="D68" s="55"/>
      <c r="E68" s="119"/>
      <c r="F68" s="117"/>
      <c r="G68" s="117"/>
      <c r="H68" s="117"/>
      <c r="I68" s="117"/>
      <c r="J68" s="117"/>
      <c r="K68" s="117"/>
      <c r="L68" s="117"/>
      <c r="M68" s="119">
        <f>A59</f>
        <v>941</v>
      </c>
      <c r="N68" s="117"/>
      <c r="O68" s="117"/>
      <c r="P68" s="117"/>
      <c r="Q68" s="117"/>
      <c r="R68" s="117"/>
    </row>
    <row r="69" spans="1:18" ht="13.5" thickBot="1">
      <c r="A69" s="117"/>
      <c r="B69" s="119"/>
      <c r="C69" s="117"/>
      <c r="E69" s="119"/>
      <c r="F69" s="117"/>
      <c r="G69" s="117"/>
      <c r="H69" s="117"/>
      <c r="I69" s="117"/>
      <c r="J69" s="117"/>
      <c r="K69" s="117"/>
      <c r="L69" s="117"/>
      <c r="M69" s="119">
        <f>J59</f>
        <v>440466</v>
      </c>
      <c r="N69" s="117"/>
      <c r="O69" s="121">
        <f>O62</f>
        <v>980</v>
      </c>
      <c r="P69" s="117" t="s">
        <v>115</v>
      </c>
      <c r="Q69" s="117"/>
      <c r="R69" s="117"/>
    </row>
    <row r="70" spans="1:18" ht="13.5" thickBot="1">
      <c r="A70" s="117"/>
      <c r="B70" s="119"/>
      <c r="C70" s="117"/>
      <c r="E70" s="119"/>
      <c r="F70" s="117"/>
      <c r="G70" s="117"/>
      <c r="H70" s="117"/>
      <c r="I70" s="117"/>
      <c r="J70" s="117"/>
      <c r="K70" s="117"/>
      <c r="L70" s="117"/>
      <c r="M70" s="123">
        <f>K59</f>
        <v>3998003.42</v>
      </c>
      <c r="N70" s="117"/>
      <c r="O70" s="121"/>
      <c r="P70" s="117"/>
      <c r="Q70" s="117"/>
      <c r="R70" s="117"/>
    </row>
    <row r="71" spans="1:18" ht="13.5" thickBot="1">
      <c r="A71" s="117"/>
      <c r="B71" s="119"/>
      <c r="C71" s="117"/>
      <c r="E71" s="124"/>
      <c r="F71" s="117"/>
      <c r="G71" s="117"/>
      <c r="H71" s="117"/>
      <c r="I71" s="117"/>
      <c r="J71" s="117"/>
      <c r="K71" s="117"/>
      <c r="L71" s="117"/>
      <c r="M71" s="124">
        <f>L65</f>
        <v>5880</v>
      </c>
      <c r="N71" s="117"/>
      <c r="O71" s="121">
        <f>M74</f>
        <v>4621010.42</v>
      </c>
      <c r="P71" s="117" t="s">
        <v>179</v>
      </c>
      <c r="Q71" s="117"/>
      <c r="R71" s="117"/>
    </row>
    <row r="72" spans="1:18" ht="13.5" thickBot="1">
      <c r="A72" s="117"/>
      <c r="B72" s="141">
        <f>SUM(B59:B71)</f>
        <v>111080</v>
      </c>
      <c r="C72" s="117"/>
      <c r="E72" s="144">
        <f>E66</f>
        <v>1980</v>
      </c>
      <c r="M72" s="144">
        <f>SUM(M59:M71)</f>
        <v>4616700.42</v>
      </c>
      <c r="N72" s="117" t="s">
        <v>177</v>
      </c>
      <c r="O72" s="117"/>
      <c r="P72" s="117"/>
      <c r="Q72" s="117"/>
      <c r="R72" s="117"/>
    </row>
    <row r="73" spans="1:18" ht="13.5" thickBot="1">
      <c r="A73" s="117"/>
      <c r="B73" s="119"/>
      <c r="C73" s="117"/>
      <c r="E73" s="123"/>
      <c r="F73" s="28"/>
      <c r="M73" s="124"/>
      <c r="N73" s="117"/>
      <c r="O73" s="117"/>
      <c r="P73" s="117"/>
      <c r="Q73" s="117"/>
      <c r="R73" s="117"/>
    </row>
    <row r="74" spans="1:18" ht="13.5" thickBot="1">
      <c r="A74" s="117"/>
      <c r="B74" s="123"/>
      <c r="C74" s="117"/>
      <c r="E74" s="144">
        <f>E63+E72</f>
        <v>12480</v>
      </c>
      <c r="F74" s="92" t="s">
        <v>214</v>
      </c>
      <c r="M74" s="144">
        <f>N62</f>
        <v>4621010.42</v>
      </c>
      <c r="N74" s="117" t="s">
        <v>179</v>
      </c>
      <c r="O74" s="117"/>
      <c r="P74" s="117"/>
      <c r="Q74" s="117"/>
      <c r="R74" s="117"/>
    </row>
    <row r="75" spans="1:6" ht="13.5" thickBot="1">
      <c r="A75" s="117"/>
      <c r="B75" s="123"/>
      <c r="C75" s="117"/>
      <c r="F75" s="92"/>
    </row>
    <row r="76" spans="1:14" ht="13.5" thickBot="1">
      <c r="A76" s="117"/>
      <c r="B76" s="123"/>
      <c r="C76" s="117"/>
      <c r="M76" s="228">
        <f>100*(M72/M74)</f>
        <v>99.90673035530615</v>
      </c>
      <c r="N76" s="180" t="s">
        <v>193</v>
      </c>
    </row>
    <row r="77" spans="1:14" ht="12.75">
      <c r="A77" s="117"/>
      <c r="B77" s="123"/>
      <c r="C77" s="117"/>
      <c r="N77" s="184" t="s">
        <v>178</v>
      </c>
    </row>
    <row r="78" spans="1:14" ht="12.75">
      <c r="A78" s="117"/>
      <c r="B78" s="123"/>
      <c r="C78" s="117"/>
      <c r="N78" s="169" t="s">
        <v>180</v>
      </c>
    </row>
    <row r="79" spans="1:3" ht="13.5" thickBot="1">
      <c r="A79" s="117"/>
      <c r="B79" s="124"/>
      <c r="C79" s="117"/>
    </row>
    <row r="80" spans="1:14" ht="13.5" thickBot="1">
      <c r="A80" s="117"/>
      <c r="B80" s="121"/>
      <c r="C80" s="117"/>
      <c r="M80" s="228">
        <f>M74/(1000*S59)</f>
        <v>21.807505521472393</v>
      </c>
      <c r="N80" s="180" t="s">
        <v>194</v>
      </c>
    </row>
    <row r="81" spans="1:14" ht="12.75">
      <c r="A81" s="117"/>
      <c r="B81" s="137"/>
      <c r="C81" s="117"/>
      <c r="N81" s="169" t="s">
        <v>195</v>
      </c>
    </row>
    <row r="82" spans="1:3" ht="13.5" thickBot="1">
      <c r="A82" s="117"/>
      <c r="B82" s="137"/>
      <c r="C82" s="117"/>
    </row>
    <row r="83" spans="1:14" ht="13.5" thickBot="1">
      <c r="A83" s="117"/>
      <c r="B83" s="137"/>
      <c r="C83" s="117"/>
      <c r="M83" s="229">
        <f>M72</f>
        <v>4616700.42</v>
      </c>
      <c r="N83" s="169" t="s">
        <v>215</v>
      </c>
    </row>
    <row r="84" spans="1:3" ht="12.75">
      <c r="A84" s="117"/>
      <c r="B84" s="137"/>
      <c r="C84" s="117"/>
    </row>
    <row r="85" spans="1:3" ht="12.75">
      <c r="A85" s="117"/>
      <c r="B85" s="137"/>
      <c r="C85" s="117"/>
    </row>
    <row r="87" ht="12.75">
      <c r="A87" s="28" t="s">
        <v>184</v>
      </c>
    </row>
    <row r="88" ht="13.5" thickBot="1"/>
    <row r="89" spans="1:19" ht="13.5" thickBot="1">
      <c r="A89" s="53" t="s">
        <v>40</v>
      </c>
      <c r="B89" s="15" t="s">
        <v>0</v>
      </c>
      <c r="C89" s="16" t="s">
        <v>1</v>
      </c>
      <c r="D89" s="42" t="s">
        <v>2</v>
      </c>
      <c r="E89" s="142" t="s">
        <v>81</v>
      </c>
      <c r="F89" s="19" t="s">
        <v>4</v>
      </c>
      <c r="G89" s="20" t="s">
        <v>5</v>
      </c>
      <c r="H89" s="33" t="s">
        <v>6</v>
      </c>
      <c r="I89" s="109" t="s">
        <v>141</v>
      </c>
      <c r="J89" s="23" t="s">
        <v>8</v>
      </c>
      <c r="K89" s="24" t="s">
        <v>9</v>
      </c>
      <c r="L89" s="49" t="s">
        <v>14</v>
      </c>
      <c r="M89" s="1" t="s">
        <v>13</v>
      </c>
      <c r="N89" s="3" t="s">
        <v>11</v>
      </c>
      <c r="O89" s="50" t="s">
        <v>114</v>
      </c>
      <c r="P89" s="81" t="s">
        <v>113</v>
      </c>
      <c r="Q89" s="110" t="s">
        <v>142</v>
      </c>
      <c r="R89" s="111" t="s">
        <v>80</v>
      </c>
      <c r="S89" s="190" t="s">
        <v>196</v>
      </c>
    </row>
    <row r="90" spans="1:19" ht="13.5" thickBot="1">
      <c r="A90" s="114"/>
      <c r="B90" s="115">
        <v>12600</v>
      </c>
      <c r="C90" s="116">
        <v>3500</v>
      </c>
      <c r="D90" s="125">
        <v>8420</v>
      </c>
      <c r="E90" s="119">
        <v>7160</v>
      </c>
      <c r="F90" s="125">
        <v>4420</v>
      </c>
      <c r="G90" s="115">
        <v>2180</v>
      </c>
      <c r="H90" s="116">
        <v>2800</v>
      </c>
      <c r="I90" s="147"/>
      <c r="J90" s="147">
        <f>(494*1000)+513</f>
        <v>494513</v>
      </c>
      <c r="K90" s="148">
        <f>3385*1000</f>
        <v>3385000</v>
      </c>
      <c r="L90" s="119">
        <v>2320</v>
      </c>
      <c r="M90" s="132">
        <f>B101</f>
        <v>109040</v>
      </c>
      <c r="N90" s="135">
        <f>D96</f>
        <v>8330</v>
      </c>
      <c r="O90" s="116">
        <v>1220</v>
      </c>
      <c r="P90" s="149">
        <v>0</v>
      </c>
      <c r="Q90" s="147">
        <v>0</v>
      </c>
      <c r="R90" s="121">
        <v>0</v>
      </c>
      <c r="S90" s="1">
        <v>209.4</v>
      </c>
    </row>
    <row r="91" spans="1:18" ht="13.5" thickBot="1">
      <c r="A91" s="117"/>
      <c r="B91" s="118">
        <v>13620</v>
      </c>
      <c r="C91" s="119">
        <v>2420</v>
      </c>
      <c r="D91" s="126">
        <v>8240</v>
      </c>
      <c r="E91" s="123"/>
      <c r="F91" s="126">
        <v>11800</v>
      </c>
      <c r="G91" s="133">
        <v>2040</v>
      </c>
      <c r="H91" s="119"/>
      <c r="I91" s="117"/>
      <c r="J91" s="117"/>
      <c r="K91" s="117"/>
      <c r="L91" s="119">
        <v>1900</v>
      </c>
      <c r="M91" s="126">
        <f>C95</f>
        <v>17300</v>
      </c>
      <c r="N91" s="118">
        <f>M101</f>
        <v>4064483</v>
      </c>
      <c r="O91" s="119"/>
      <c r="P91" s="117"/>
      <c r="Q91" s="117"/>
      <c r="R91" s="117"/>
    </row>
    <row r="92" spans="1:18" ht="13.5" thickBot="1">
      <c r="A92" s="117"/>
      <c r="B92" s="118">
        <v>14980</v>
      </c>
      <c r="C92" s="119">
        <v>3540</v>
      </c>
      <c r="D92" s="126"/>
      <c r="E92" s="143"/>
      <c r="F92" s="130">
        <v>9840</v>
      </c>
      <c r="G92" s="145">
        <f>G90+G91</f>
        <v>4220</v>
      </c>
      <c r="H92" s="119"/>
      <c r="I92" s="117"/>
      <c r="J92" s="117"/>
      <c r="K92" s="117"/>
      <c r="L92" s="119">
        <v>2940</v>
      </c>
      <c r="M92" s="126">
        <f>D96</f>
        <v>8330</v>
      </c>
      <c r="N92" s="133">
        <f>O90</f>
        <v>1220</v>
      </c>
      <c r="O92" s="120"/>
      <c r="P92" s="117"/>
      <c r="Q92" s="117"/>
      <c r="R92" s="117"/>
    </row>
    <row r="93" spans="1:18" ht="13.5" thickBot="1">
      <c r="A93" s="117"/>
      <c r="B93" s="118">
        <v>12240</v>
      </c>
      <c r="C93" s="119">
        <v>2660</v>
      </c>
      <c r="D93" s="119"/>
      <c r="E93" s="120"/>
      <c r="F93" s="144">
        <f>SUM(F90:F92)</f>
        <v>26060</v>
      </c>
      <c r="G93" s="117"/>
      <c r="H93" s="120"/>
      <c r="I93" s="117"/>
      <c r="J93" s="117"/>
      <c r="K93" s="117"/>
      <c r="L93" s="119">
        <v>2900</v>
      </c>
      <c r="M93" s="119">
        <f>E94</f>
        <v>7160</v>
      </c>
      <c r="N93" s="146">
        <f>N90+N91+N92</f>
        <v>4074033</v>
      </c>
      <c r="O93" s="144">
        <f>SUM(O90:O92)</f>
        <v>1220</v>
      </c>
      <c r="P93" s="117"/>
      <c r="Q93" s="117"/>
      <c r="R93" s="117"/>
    </row>
    <row r="94" spans="1:18" ht="13.5" thickBot="1">
      <c r="A94" s="117"/>
      <c r="B94" s="118">
        <v>12940</v>
      </c>
      <c r="C94" s="120">
        <f>5.18*1000</f>
        <v>5180</v>
      </c>
      <c r="D94" s="120"/>
      <c r="E94" s="144">
        <f>SUM(E90:E93)</f>
        <v>7160</v>
      </c>
      <c r="F94" s="117"/>
      <c r="G94" s="117"/>
      <c r="H94" s="146">
        <f>SUM(H90:H93)</f>
        <v>2800</v>
      </c>
      <c r="I94" s="117"/>
      <c r="J94" s="117"/>
      <c r="K94" s="117"/>
      <c r="L94" s="119"/>
      <c r="M94" s="119">
        <f>F93</f>
        <v>26060</v>
      </c>
      <c r="N94" s="117"/>
      <c r="O94" s="117"/>
      <c r="P94" s="117"/>
      <c r="Q94" s="117"/>
      <c r="R94" s="117"/>
    </row>
    <row r="95" spans="1:18" ht="13.5" thickBot="1">
      <c r="A95" s="117"/>
      <c r="B95" s="119">
        <v>14780</v>
      </c>
      <c r="C95" s="144">
        <f>C90+C91+C92+C93+C94</f>
        <v>17300</v>
      </c>
      <c r="D95" s="144">
        <f>SUM(D90:D94)</f>
        <v>16660</v>
      </c>
      <c r="E95" s="117"/>
      <c r="F95" s="117"/>
      <c r="G95" s="117"/>
      <c r="H95" s="117"/>
      <c r="I95" s="117"/>
      <c r="J95" s="117"/>
      <c r="K95" s="117"/>
      <c r="L95" s="120"/>
      <c r="M95" s="119">
        <f>G92</f>
        <v>4220</v>
      </c>
      <c r="N95" s="117"/>
      <c r="O95" s="117"/>
      <c r="P95" s="117"/>
      <c r="Q95" s="117"/>
      <c r="R95" s="117"/>
    </row>
    <row r="96" spans="1:18" ht="13.5" thickBot="1">
      <c r="A96" s="117"/>
      <c r="B96" s="119">
        <v>12760</v>
      </c>
      <c r="C96" s="117"/>
      <c r="D96" s="164">
        <f>D95/2</f>
        <v>8330</v>
      </c>
      <c r="E96" s="131" t="s">
        <v>56</v>
      </c>
      <c r="F96" s="117"/>
      <c r="G96" s="117"/>
      <c r="H96" s="117"/>
      <c r="I96" s="117"/>
      <c r="J96" s="117"/>
      <c r="K96" s="117"/>
      <c r="L96" s="144">
        <f>SUM(L90:L95)</f>
        <v>10060</v>
      </c>
      <c r="M96" s="119">
        <f>H94</f>
        <v>2800</v>
      </c>
      <c r="N96" s="117"/>
      <c r="O96" s="117"/>
      <c r="P96" s="117"/>
      <c r="Q96" s="117"/>
      <c r="R96" s="117"/>
    </row>
    <row r="97" spans="1:18" ht="13.5" thickBot="1">
      <c r="A97" s="117"/>
      <c r="B97" s="119">
        <v>15120</v>
      </c>
      <c r="C97" s="117"/>
      <c r="D97" s="55"/>
      <c r="E97" s="116"/>
      <c r="F97" s="117"/>
      <c r="G97" s="117"/>
      <c r="H97" s="117"/>
      <c r="I97" s="117"/>
      <c r="J97" s="117"/>
      <c r="K97" s="117"/>
      <c r="L97" s="117"/>
      <c r="M97" s="119">
        <f>I90</f>
        <v>0</v>
      </c>
      <c r="N97" s="117"/>
      <c r="O97" s="117"/>
      <c r="P97" s="117"/>
      <c r="Q97" s="117"/>
      <c r="R97" s="117"/>
    </row>
    <row r="98" spans="1:18" ht="13.5" thickBot="1">
      <c r="A98" s="117"/>
      <c r="B98" s="119"/>
      <c r="C98" s="117"/>
      <c r="E98" s="119"/>
      <c r="F98" s="117"/>
      <c r="G98" s="117"/>
      <c r="H98" s="117"/>
      <c r="I98" s="117"/>
      <c r="J98" s="117"/>
      <c r="K98" s="117"/>
      <c r="L98" s="117"/>
      <c r="M98" s="119">
        <f>J90</f>
        <v>494513</v>
      </c>
      <c r="N98" s="117"/>
      <c r="O98" s="121">
        <f>O93</f>
        <v>1220</v>
      </c>
      <c r="P98" s="117" t="s">
        <v>115</v>
      </c>
      <c r="Q98" s="117"/>
      <c r="R98" s="117"/>
    </row>
    <row r="99" spans="1:18" ht="13.5" thickBot="1">
      <c r="A99" s="117"/>
      <c r="B99" s="119"/>
      <c r="C99" s="117"/>
      <c r="E99" s="119"/>
      <c r="F99" s="117"/>
      <c r="G99" s="117"/>
      <c r="H99" s="117"/>
      <c r="I99" s="117"/>
      <c r="J99" s="117"/>
      <c r="K99" s="117"/>
      <c r="L99" s="117"/>
      <c r="M99" s="123">
        <f>K90</f>
        <v>3385000</v>
      </c>
      <c r="N99" s="117"/>
      <c r="O99" s="121"/>
      <c r="P99" s="117"/>
      <c r="Q99" s="117"/>
      <c r="R99" s="117"/>
    </row>
    <row r="100" spans="1:18" ht="13.5" thickBot="1">
      <c r="A100" s="117"/>
      <c r="B100" s="119"/>
      <c r="C100" s="117"/>
      <c r="E100" s="124"/>
      <c r="F100" s="117"/>
      <c r="G100" s="117"/>
      <c r="H100" s="117"/>
      <c r="I100" s="117"/>
      <c r="J100" s="117"/>
      <c r="K100" s="117"/>
      <c r="L100" s="117"/>
      <c r="M100" s="124">
        <f>L96</f>
        <v>10060</v>
      </c>
      <c r="N100" s="117"/>
      <c r="O100" s="121"/>
      <c r="P100" s="117" t="s">
        <v>179</v>
      </c>
      <c r="Q100" s="117"/>
      <c r="R100" s="117"/>
    </row>
    <row r="101" spans="1:18" ht="13.5" thickBot="1">
      <c r="A101" s="117"/>
      <c r="B101" s="141">
        <f>SUM(B90:B100)</f>
        <v>109040</v>
      </c>
      <c r="C101" s="117"/>
      <c r="E101" s="121"/>
      <c r="M101" s="144">
        <f>SUM(M90:M100)</f>
        <v>4064483</v>
      </c>
      <c r="N101" s="117" t="s">
        <v>177</v>
      </c>
      <c r="O101" s="117"/>
      <c r="P101" s="117"/>
      <c r="Q101" s="117"/>
      <c r="R101" s="117"/>
    </row>
    <row r="102" spans="1:18" ht="13.5" thickBot="1">
      <c r="A102" s="117"/>
      <c r="B102" s="119"/>
      <c r="C102" s="117"/>
      <c r="E102" s="123"/>
      <c r="F102" s="28"/>
      <c r="M102" s="124"/>
      <c r="N102" s="117"/>
      <c r="O102" s="117"/>
      <c r="P102" s="117"/>
      <c r="Q102" s="117"/>
      <c r="R102" s="117"/>
    </row>
    <row r="103" spans="1:18" ht="13.5" thickBot="1">
      <c r="A103" s="117"/>
      <c r="B103" s="123"/>
      <c r="C103" s="117"/>
      <c r="E103" s="121"/>
      <c r="M103" s="144">
        <f>N93</f>
        <v>4074033</v>
      </c>
      <c r="N103" s="117" t="s">
        <v>179</v>
      </c>
      <c r="O103" s="117"/>
      <c r="P103" s="117"/>
      <c r="Q103" s="117"/>
      <c r="R103" s="117"/>
    </row>
    <row r="104" spans="1:6" ht="13.5" thickBot="1">
      <c r="A104" s="117"/>
      <c r="B104" s="123"/>
      <c r="C104" s="117"/>
      <c r="F104" s="92"/>
    </row>
    <row r="105" spans="1:14" ht="13.5" thickBot="1">
      <c r="A105" s="117"/>
      <c r="B105" s="123"/>
      <c r="C105" s="117"/>
      <c r="M105" s="228">
        <f>100*(M101/M103)</f>
        <v>99.76558854579724</v>
      </c>
      <c r="N105" s="180" t="s">
        <v>193</v>
      </c>
    </row>
    <row r="106" spans="1:14" ht="12.75">
      <c r="A106" s="117"/>
      <c r="B106" s="123"/>
      <c r="C106" s="117"/>
      <c r="N106" s="184" t="s">
        <v>178</v>
      </c>
    </row>
    <row r="107" spans="1:14" ht="12.75">
      <c r="A107" s="117"/>
      <c r="B107" s="123"/>
      <c r="C107" s="117"/>
      <c r="N107" s="169" t="s">
        <v>180</v>
      </c>
    </row>
    <row r="108" spans="1:3" ht="13.5" thickBot="1">
      <c r="A108" s="117"/>
      <c r="B108" s="124"/>
      <c r="C108" s="117"/>
    </row>
    <row r="109" spans="1:14" ht="13.5" thickBot="1">
      <c r="A109" s="117"/>
      <c r="B109" s="121"/>
      <c r="C109" s="117"/>
      <c r="M109" s="228">
        <f>M103/(1000*S90)</f>
        <v>19.455744985673352</v>
      </c>
      <c r="N109" s="180" t="s">
        <v>194</v>
      </c>
    </row>
    <row r="110" spans="1:14" ht="12.75">
      <c r="A110" s="117"/>
      <c r="B110" s="137"/>
      <c r="C110" s="117"/>
      <c r="N110" s="169" t="s">
        <v>195</v>
      </c>
    </row>
    <row r="111" spans="1:3" ht="13.5" thickBot="1">
      <c r="A111" s="117"/>
      <c r="B111" s="137"/>
      <c r="C111" s="117"/>
    </row>
    <row r="112" spans="1:14" ht="13.5" thickBot="1">
      <c r="A112" s="117"/>
      <c r="B112" s="137"/>
      <c r="C112" s="117"/>
      <c r="M112" s="229">
        <f>M101</f>
        <v>4064483</v>
      </c>
      <c r="N112" s="169" t="s">
        <v>215</v>
      </c>
    </row>
    <row r="113" spans="1:3" ht="12.75">
      <c r="A113" s="117"/>
      <c r="B113" s="137"/>
      <c r="C113" s="117"/>
    </row>
    <row r="114" spans="1:3" ht="12.75">
      <c r="A114" s="117"/>
      <c r="B114" s="137"/>
      <c r="C114" s="117"/>
    </row>
    <row r="116" ht="12.75">
      <c r="A116" s="181" t="s">
        <v>185</v>
      </c>
    </row>
    <row r="117" ht="13.5" thickBot="1"/>
    <row r="118" spans="1:19" ht="13.5" thickBot="1">
      <c r="A118" s="53" t="s">
        <v>40</v>
      </c>
      <c r="B118" s="15" t="s">
        <v>0</v>
      </c>
      <c r="C118" s="16" t="s">
        <v>1</v>
      </c>
      <c r="D118" s="42" t="s">
        <v>2</v>
      </c>
      <c r="E118" s="142" t="s">
        <v>81</v>
      </c>
      <c r="F118" s="19" t="s">
        <v>4</v>
      </c>
      <c r="G118" s="20" t="s">
        <v>5</v>
      </c>
      <c r="H118" s="33" t="s">
        <v>6</v>
      </c>
      <c r="I118" s="109" t="s">
        <v>141</v>
      </c>
      <c r="J118" s="23" t="s">
        <v>8</v>
      </c>
      <c r="K118" s="24" t="s">
        <v>9</v>
      </c>
      <c r="L118" s="49" t="s">
        <v>14</v>
      </c>
      <c r="M118" s="1" t="s">
        <v>13</v>
      </c>
      <c r="N118" s="3" t="s">
        <v>11</v>
      </c>
      <c r="O118" s="50" t="s">
        <v>114</v>
      </c>
      <c r="P118" s="81" t="s">
        <v>113</v>
      </c>
      <c r="Q118" s="110" t="s">
        <v>142</v>
      </c>
      <c r="R118" s="111" t="s">
        <v>80</v>
      </c>
      <c r="S118" s="190" t="s">
        <v>196</v>
      </c>
    </row>
    <row r="119" spans="1:19" ht="13.5" thickBot="1">
      <c r="A119" s="114"/>
      <c r="B119" s="115">
        <v>11720</v>
      </c>
      <c r="C119" s="116">
        <v>2880</v>
      </c>
      <c r="D119" s="125"/>
      <c r="E119" s="119">
        <v>5800</v>
      </c>
      <c r="F119" s="125">
        <v>10240</v>
      </c>
      <c r="G119" s="115">
        <v>3480</v>
      </c>
      <c r="H119" s="116">
        <v>2900</v>
      </c>
      <c r="I119" s="147"/>
      <c r="J119" s="147">
        <f>579*1000</f>
        <v>579000</v>
      </c>
      <c r="K119" s="148">
        <f>4234*1000</f>
        <v>4234000</v>
      </c>
      <c r="L119" s="119">
        <v>5180</v>
      </c>
      <c r="M119" s="132">
        <f>B131</f>
        <v>108420</v>
      </c>
      <c r="N119" s="135">
        <f>D125</f>
        <v>0</v>
      </c>
      <c r="O119" s="116">
        <v>3520</v>
      </c>
      <c r="P119" s="149">
        <v>11640</v>
      </c>
      <c r="Q119" s="147">
        <v>0</v>
      </c>
      <c r="R119" s="121">
        <v>0</v>
      </c>
      <c r="S119" s="1">
        <f>249000/1000</f>
        <v>249</v>
      </c>
    </row>
    <row r="120" spans="1:18" ht="13.5" thickBot="1">
      <c r="A120" s="117"/>
      <c r="B120" s="118">
        <v>13320</v>
      </c>
      <c r="C120" s="119">
        <v>3440</v>
      </c>
      <c r="D120" s="126"/>
      <c r="E120" s="123"/>
      <c r="F120" s="126">
        <v>5800</v>
      </c>
      <c r="G120" s="133"/>
      <c r="H120" s="119">
        <v>2920</v>
      </c>
      <c r="I120" s="117"/>
      <c r="J120" s="117"/>
      <c r="K120" s="117"/>
      <c r="L120" s="119">
        <v>2640</v>
      </c>
      <c r="M120" s="126">
        <f>C124</f>
        <v>13320</v>
      </c>
      <c r="N120" s="118">
        <f>M131</f>
        <v>4999960</v>
      </c>
      <c r="O120" s="119">
        <v>420</v>
      </c>
      <c r="P120" s="117"/>
      <c r="Q120" s="117"/>
      <c r="R120" s="117"/>
    </row>
    <row r="121" spans="1:18" ht="13.5" thickBot="1">
      <c r="A121" s="117"/>
      <c r="B121" s="118">
        <v>10680</v>
      </c>
      <c r="C121" s="119">
        <v>2700</v>
      </c>
      <c r="D121" s="126"/>
      <c r="E121" s="215"/>
      <c r="F121" s="216">
        <v>7120</v>
      </c>
      <c r="G121" s="163">
        <f>G119</f>
        <v>3480</v>
      </c>
      <c r="H121" s="119"/>
      <c r="I121" s="117"/>
      <c r="J121" s="117"/>
      <c r="K121" s="117"/>
      <c r="L121" s="119"/>
      <c r="M121" s="126">
        <f>D125</f>
        <v>0</v>
      </c>
      <c r="N121" s="133">
        <f>O122</f>
        <v>3940</v>
      </c>
      <c r="O121" s="120"/>
      <c r="P121" s="117"/>
      <c r="Q121" s="117"/>
      <c r="R121" s="117"/>
    </row>
    <row r="122" spans="1:18" ht="13.5" thickBot="1">
      <c r="A122" s="117"/>
      <c r="B122" s="118">
        <v>14560</v>
      </c>
      <c r="C122" s="119">
        <v>1720</v>
      </c>
      <c r="D122" s="119"/>
      <c r="E122" s="133"/>
      <c r="F122" s="217">
        <v>5640</v>
      </c>
      <c r="G122" s="117"/>
      <c r="H122" s="120"/>
      <c r="I122" s="117"/>
      <c r="J122" s="117"/>
      <c r="K122" s="117"/>
      <c r="L122" s="119"/>
      <c r="M122" s="119">
        <f>E123+E131</f>
        <v>7660</v>
      </c>
      <c r="N122" s="146">
        <f>N119+N120+N121</f>
        <v>5003900</v>
      </c>
      <c r="O122" s="144">
        <f>SUM(O119:O121)</f>
        <v>3940</v>
      </c>
      <c r="P122" s="117"/>
      <c r="Q122" s="117"/>
      <c r="R122" s="117"/>
    </row>
    <row r="123" spans="1:18" ht="13.5" thickBot="1">
      <c r="A123" s="117"/>
      <c r="B123" s="118">
        <v>14420</v>
      </c>
      <c r="C123" s="120">
        <v>2580</v>
      </c>
      <c r="D123" s="120"/>
      <c r="E123" s="144">
        <f>SUM(E119:E122)</f>
        <v>5800</v>
      </c>
      <c r="F123" s="175">
        <f>F119+F120+F121+F122</f>
        <v>28800</v>
      </c>
      <c r="G123" s="117"/>
      <c r="H123" s="146">
        <f>SUM(H119:H122)</f>
        <v>5820</v>
      </c>
      <c r="I123" s="117"/>
      <c r="J123" s="117"/>
      <c r="K123" s="117"/>
      <c r="L123" s="119"/>
      <c r="M123" s="119">
        <f>F123</f>
        <v>28800</v>
      </c>
      <c r="N123" s="117"/>
      <c r="O123" s="117"/>
      <c r="P123" s="117"/>
      <c r="Q123" s="117"/>
      <c r="R123" s="117"/>
    </row>
    <row r="124" spans="1:18" ht="13.5" thickBot="1">
      <c r="A124" s="117"/>
      <c r="B124" s="119">
        <v>15080</v>
      </c>
      <c r="C124" s="144">
        <f>C119+C120+C121+C122+C123</f>
        <v>13320</v>
      </c>
      <c r="D124" s="144">
        <f>SUM(D119:D123)</f>
        <v>0</v>
      </c>
      <c r="E124" s="117"/>
      <c r="F124" s="117"/>
      <c r="G124" s="117"/>
      <c r="H124" s="117"/>
      <c r="I124" s="117"/>
      <c r="J124" s="117"/>
      <c r="K124" s="117"/>
      <c r="L124" s="120"/>
      <c r="M124" s="119">
        <f>G121</f>
        <v>3480</v>
      </c>
      <c r="N124" s="117"/>
      <c r="O124" s="117"/>
      <c r="P124" s="117"/>
      <c r="Q124" s="117"/>
      <c r="R124" s="117"/>
    </row>
    <row r="125" spans="1:18" ht="13.5" thickBot="1">
      <c r="A125" s="117"/>
      <c r="B125" s="119">
        <v>13520</v>
      </c>
      <c r="C125" s="117"/>
      <c r="D125" s="164">
        <f>D124/2</f>
        <v>0</v>
      </c>
      <c r="E125" s="131" t="s">
        <v>56</v>
      </c>
      <c r="F125" s="117"/>
      <c r="G125" s="117"/>
      <c r="H125" s="117"/>
      <c r="I125" s="117"/>
      <c r="J125" s="117"/>
      <c r="K125" s="117"/>
      <c r="L125" s="144">
        <f>SUM(L119:L124)</f>
        <v>7820</v>
      </c>
      <c r="M125" s="119">
        <f>H123</f>
        <v>5820</v>
      </c>
      <c r="N125" s="117"/>
      <c r="O125" s="117"/>
      <c r="P125" s="117"/>
      <c r="Q125" s="117"/>
      <c r="R125" s="117"/>
    </row>
    <row r="126" spans="1:18" ht="12.75">
      <c r="A126" s="117"/>
      <c r="B126" s="119">
        <v>15120</v>
      </c>
      <c r="C126" s="117"/>
      <c r="D126" s="55"/>
      <c r="E126" s="116">
        <v>1860</v>
      </c>
      <c r="F126" s="117"/>
      <c r="G126" s="117"/>
      <c r="H126" s="117"/>
      <c r="I126" s="117"/>
      <c r="J126" s="117"/>
      <c r="K126" s="117"/>
      <c r="L126" s="117"/>
      <c r="M126" s="119">
        <f>I119</f>
        <v>0</v>
      </c>
      <c r="N126" s="117"/>
      <c r="O126" s="117"/>
      <c r="P126" s="117"/>
      <c r="Q126" s="117"/>
      <c r="R126" s="117"/>
    </row>
    <row r="127" spans="1:18" ht="13.5" thickBot="1">
      <c r="A127" s="117"/>
      <c r="B127" s="119"/>
      <c r="C127" s="117"/>
      <c r="D127" s="55"/>
      <c r="E127" s="119"/>
      <c r="F127" s="117"/>
      <c r="G127" s="117"/>
      <c r="H127" s="117"/>
      <c r="I127" s="117"/>
      <c r="J127" s="117"/>
      <c r="K127" s="117"/>
      <c r="L127" s="117"/>
      <c r="M127" s="119">
        <f>P119</f>
        <v>11640</v>
      </c>
      <c r="N127" s="117"/>
      <c r="O127" s="117"/>
      <c r="P127" s="117"/>
      <c r="Q127" s="117"/>
      <c r="R127" s="117"/>
    </row>
    <row r="128" spans="1:18" ht="13.5" thickBot="1">
      <c r="A128" s="117"/>
      <c r="B128" s="119"/>
      <c r="C128" s="117"/>
      <c r="E128" s="119"/>
      <c r="F128" s="117"/>
      <c r="G128" s="117"/>
      <c r="H128" s="117"/>
      <c r="I128" s="117"/>
      <c r="J128" s="117"/>
      <c r="K128" s="117"/>
      <c r="L128" s="117"/>
      <c r="M128" s="119">
        <f>J119</f>
        <v>579000</v>
      </c>
      <c r="N128" s="117"/>
      <c r="O128" s="144">
        <f>O122</f>
        <v>3940</v>
      </c>
      <c r="P128" s="117" t="s">
        <v>115</v>
      </c>
      <c r="Q128" s="117"/>
      <c r="R128" s="117"/>
    </row>
    <row r="129" spans="1:18" ht="13.5" thickBot="1">
      <c r="A129" s="117"/>
      <c r="B129" s="119"/>
      <c r="C129" s="117"/>
      <c r="E129" s="119"/>
      <c r="F129" s="117"/>
      <c r="G129" s="117"/>
      <c r="H129" s="117"/>
      <c r="I129" s="117"/>
      <c r="J129" s="117"/>
      <c r="K129" s="117"/>
      <c r="L129" s="117"/>
      <c r="M129" s="123">
        <f>K119</f>
        <v>4234000</v>
      </c>
      <c r="N129" s="117"/>
      <c r="O129" s="121"/>
      <c r="P129" s="117"/>
      <c r="Q129" s="117"/>
      <c r="R129" s="117"/>
    </row>
    <row r="130" spans="1:18" ht="13.5" thickBot="1">
      <c r="A130" s="117"/>
      <c r="B130" s="119"/>
      <c r="C130" s="117"/>
      <c r="E130" s="218"/>
      <c r="F130" s="117"/>
      <c r="G130" s="117"/>
      <c r="H130" s="117"/>
      <c r="I130" s="117"/>
      <c r="J130" s="117"/>
      <c r="K130" s="117"/>
      <c r="L130" s="117"/>
      <c r="M130" s="124">
        <f>L125</f>
        <v>7820</v>
      </c>
      <c r="N130" s="117"/>
      <c r="O130" s="144">
        <f>N122</f>
        <v>5003900</v>
      </c>
      <c r="P130" s="117" t="s">
        <v>179</v>
      </c>
      <c r="Q130" s="117"/>
      <c r="R130" s="117"/>
    </row>
    <row r="131" spans="1:18" ht="13.5" thickBot="1">
      <c r="A131" s="117"/>
      <c r="B131" s="141">
        <f>SUM(B119:B130)</f>
        <v>108420</v>
      </c>
      <c r="C131" s="117"/>
      <c r="E131" s="144">
        <f>E126</f>
        <v>1860</v>
      </c>
      <c r="M131" s="144">
        <f>SUM(M119:M130)</f>
        <v>4999960</v>
      </c>
      <c r="N131" s="117" t="s">
        <v>177</v>
      </c>
      <c r="O131" s="117"/>
      <c r="P131" s="117"/>
      <c r="Q131" s="117"/>
      <c r="R131" s="117"/>
    </row>
    <row r="132" spans="1:18" ht="13.5" thickBot="1">
      <c r="A132" s="117"/>
      <c r="B132" s="119"/>
      <c r="C132" s="117"/>
      <c r="E132" s="123"/>
      <c r="F132" s="28"/>
      <c r="M132" s="124"/>
      <c r="N132" s="117"/>
      <c r="O132" s="117"/>
      <c r="P132" s="117"/>
      <c r="Q132" s="117"/>
      <c r="R132" s="117"/>
    </row>
    <row r="133" spans="1:18" ht="13.5" thickBot="1">
      <c r="A133" s="117"/>
      <c r="B133" s="123"/>
      <c r="C133" s="117"/>
      <c r="E133" s="121"/>
      <c r="M133" s="144">
        <f>N122</f>
        <v>5003900</v>
      </c>
      <c r="N133" s="117" t="s">
        <v>179</v>
      </c>
      <c r="O133" s="117"/>
      <c r="P133" s="117"/>
      <c r="Q133" s="117"/>
      <c r="R133" s="117"/>
    </row>
    <row r="134" spans="1:6" ht="13.5" thickBot="1">
      <c r="A134" s="117"/>
      <c r="B134" s="123"/>
      <c r="C134" s="117"/>
      <c r="F134" s="92"/>
    </row>
    <row r="135" spans="1:14" ht="13.5" thickBot="1">
      <c r="A135" s="117"/>
      <c r="B135" s="123"/>
      <c r="C135" s="117"/>
      <c r="M135" s="228">
        <f>100*(M131/M133)</f>
        <v>99.92126141609545</v>
      </c>
      <c r="N135" s="180" t="s">
        <v>193</v>
      </c>
    </row>
    <row r="136" spans="1:14" ht="12.75">
      <c r="A136" s="117"/>
      <c r="B136" s="123"/>
      <c r="C136" s="117"/>
      <c r="N136" s="184" t="s">
        <v>178</v>
      </c>
    </row>
    <row r="137" spans="1:14" ht="12.75">
      <c r="A137" s="117"/>
      <c r="B137" s="123"/>
      <c r="C137" s="117"/>
      <c r="N137" s="169" t="s">
        <v>180</v>
      </c>
    </row>
    <row r="138" spans="1:3" ht="13.5" thickBot="1">
      <c r="A138" s="117"/>
      <c r="B138" s="124"/>
      <c r="C138" s="117"/>
    </row>
    <row r="139" spans="1:14" ht="13.5" thickBot="1">
      <c r="A139" s="117"/>
      <c r="B139" s="121"/>
      <c r="C139" s="117"/>
      <c r="M139" s="228">
        <f>M133/(1000*S119)</f>
        <v>20.09598393574297</v>
      </c>
      <c r="N139" s="180" t="s">
        <v>194</v>
      </c>
    </row>
    <row r="140" ht="12.75">
      <c r="N140" s="169" t="s">
        <v>195</v>
      </c>
    </row>
    <row r="141" ht="13.5" thickBot="1"/>
    <row r="142" spans="13:14" ht="13.5" thickBot="1">
      <c r="M142" s="229">
        <f>M131</f>
        <v>4999960</v>
      </c>
      <c r="N142" s="169" t="s">
        <v>215</v>
      </c>
    </row>
    <row r="147" ht="12.75">
      <c r="A147" s="181" t="s">
        <v>186</v>
      </c>
    </row>
    <row r="148" ht="13.5" thickBot="1">
      <c r="D148" t="s">
        <v>159</v>
      </c>
    </row>
    <row r="149" spans="1:19" ht="13.5" thickBot="1">
      <c r="A149" s="53" t="s">
        <v>40</v>
      </c>
      <c r="B149" s="15" t="s">
        <v>0</v>
      </c>
      <c r="C149" s="16" t="s">
        <v>1</v>
      </c>
      <c r="D149" s="42" t="s">
        <v>2</v>
      </c>
      <c r="E149" s="142" t="s">
        <v>81</v>
      </c>
      <c r="F149" s="19" t="s">
        <v>4</v>
      </c>
      <c r="G149" s="20" t="s">
        <v>5</v>
      </c>
      <c r="H149" s="33" t="s">
        <v>6</v>
      </c>
      <c r="I149" s="109" t="s">
        <v>141</v>
      </c>
      <c r="J149" s="23" t="s">
        <v>8</v>
      </c>
      <c r="K149" s="24" t="s">
        <v>9</v>
      </c>
      <c r="L149" s="49" t="s">
        <v>14</v>
      </c>
      <c r="M149" s="1" t="s">
        <v>13</v>
      </c>
      <c r="N149" s="3" t="s">
        <v>11</v>
      </c>
      <c r="O149" s="50" t="s">
        <v>114</v>
      </c>
      <c r="P149" s="81" t="s">
        <v>113</v>
      </c>
      <c r="Q149" s="110" t="s">
        <v>142</v>
      </c>
      <c r="R149" s="111" t="s">
        <v>80</v>
      </c>
      <c r="S149" s="190" t="s">
        <v>196</v>
      </c>
    </row>
    <row r="150" spans="1:19" ht="13.5" thickBot="1">
      <c r="A150" s="114">
        <v>0</v>
      </c>
      <c r="B150" s="115">
        <v>11040</v>
      </c>
      <c r="C150" s="116">
        <v>2440</v>
      </c>
      <c r="D150" s="125">
        <v>7600</v>
      </c>
      <c r="E150" s="119">
        <v>1720</v>
      </c>
      <c r="F150" s="125">
        <v>9240</v>
      </c>
      <c r="G150" s="115">
        <v>1840</v>
      </c>
      <c r="H150" s="116">
        <v>3080</v>
      </c>
      <c r="I150" s="147">
        <v>0</v>
      </c>
      <c r="J150" s="147">
        <f>431*1000</f>
        <v>431000</v>
      </c>
      <c r="K150" s="148">
        <f>(4139+555)*1000</f>
        <v>4694000</v>
      </c>
      <c r="L150" s="119">
        <v>5400</v>
      </c>
      <c r="M150" s="132">
        <f>B161</f>
        <v>130980</v>
      </c>
      <c r="N150" s="135">
        <f>D156</f>
        <v>9870</v>
      </c>
      <c r="O150" s="116">
        <v>0</v>
      </c>
      <c r="P150" s="149">
        <v>0</v>
      </c>
      <c r="Q150" s="147">
        <v>0</v>
      </c>
      <c r="R150" s="121">
        <v>0</v>
      </c>
      <c r="S150" s="1">
        <f>264500/1000</f>
        <v>264.5</v>
      </c>
    </row>
    <row r="151" spans="1:18" ht="13.5" thickBot="1">
      <c r="A151" s="117"/>
      <c r="B151" s="118">
        <v>12840</v>
      </c>
      <c r="C151" s="119">
        <v>3420</v>
      </c>
      <c r="D151" s="126">
        <v>10780</v>
      </c>
      <c r="E151" s="123">
        <v>3400</v>
      </c>
      <c r="F151" s="126">
        <v>6980</v>
      </c>
      <c r="G151" s="133"/>
      <c r="H151" s="119">
        <v>880</v>
      </c>
      <c r="I151" s="117"/>
      <c r="J151" s="117"/>
      <c r="K151" s="117"/>
      <c r="L151" s="119">
        <v>2320</v>
      </c>
      <c r="M151" s="126">
        <f>C155</f>
        <v>14500</v>
      </c>
      <c r="N151" s="118">
        <f>M161</f>
        <v>5342130</v>
      </c>
      <c r="O151" s="119"/>
      <c r="P151" s="117"/>
      <c r="Q151" s="117"/>
      <c r="R151" s="117"/>
    </row>
    <row r="152" spans="1:18" ht="13.5" thickBot="1">
      <c r="A152" s="117"/>
      <c r="B152" s="118">
        <v>13040</v>
      </c>
      <c r="C152" s="119">
        <v>2780</v>
      </c>
      <c r="D152" s="126">
        <v>1360</v>
      </c>
      <c r="E152" s="143">
        <v>2380</v>
      </c>
      <c r="F152" s="130">
        <v>8160</v>
      </c>
      <c r="G152" s="145">
        <f>G150</f>
        <v>1840</v>
      </c>
      <c r="H152" s="119"/>
      <c r="I152" s="117"/>
      <c r="J152" s="117"/>
      <c r="K152" s="117"/>
      <c r="L152" s="119">
        <v>960</v>
      </c>
      <c r="M152" s="126">
        <f>D156</f>
        <v>9870</v>
      </c>
      <c r="N152" s="133"/>
      <c r="O152" s="120"/>
      <c r="P152" s="117"/>
      <c r="Q152" s="117"/>
      <c r="R152" s="117"/>
    </row>
    <row r="153" spans="1:18" ht="13.5" thickBot="1">
      <c r="A153" s="117"/>
      <c r="B153" s="118">
        <v>14440</v>
      </c>
      <c r="C153" s="119">
        <f>5.86*1000</f>
        <v>5860</v>
      </c>
      <c r="D153" s="119"/>
      <c r="E153" s="120">
        <v>360</v>
      </c>
      <c r="F153" s="231">
        <v>7880</v>
      </c>
      <c r="G153" s="117"/>
      <c r="H153" s="120"/>
      <c r="I153" s="117"/>
      <c r="J153" s="117"/>
      <c r="K153" s="117"/>
      <c r="L153" s="119">
        <v>840</v>
      </c>
      <c r="M153" s="119">
        <f>E154+E157</f>
        <v>9100</v>
      </c>
      <c r="N153" s="146">
        <f>N150+N151+N152</f>
        <v>5352000</v>
      </c>
      <c r="O153" s="144">
        <f>SUM(O150:O152)</f>
        <v>0</v>
      </c>
      <c r="P153" s="117"/>
      <c r="Q153" s="117"/>
      <c r="R153" s="117"/>
    </row>
    <row r="154" spans="1:18" ht="13.5" thickBot="1">
      <c r="A154" s="117"/>
      <c r="B154" s="118">
        <v>14560</v>
      </c>
      <c r="C154" s="120"/>
      <c r="D154" s="120"/>
      <c r="E154" s="144">
        <f>SUM(E150:E153)</f>
        <v>7860</v>
      </c>
      <c r="F154" s="175">
        <f>F150+F151+F152+F153</f>
        <v>32260</v>
      </c>
      <c r="G154" s="117"/>
      <c r="H154" s="146">
        <f>SUM(H150:H153)</f>
        <v>3960</v>
      </c>
      <c r="I154" s="117"/>
      <c r="J154" s="117"/>
      <c r="K154" s="117"/>
      <c r="L154" s="119">
        <v>5100</v>
      </c>
      <c r="M154" s="119">
        <f>F154</f>
        <v>32260</v>
      </c>
      <c r="N154" s="117"/>
      <c r="O154" s="117"/>
      <c r="P154" s="117"/>
      <c r="Q154" s="117"/>
      <c r="R154" s="117"/>
    </row>
    <row r="155" spans="1:18" ht="13.5" thickBot="1">
      <c r="A155" s="117"/>
      <c r="B155" s="119">
        <v>12500</v>
      </c>
      <c r="C155" s="144">
        <f>SUM(C150:C153)</f>
        <v>14500</v>
      </c>
      <c r="D155" s="144">
        <f>SUM(D150:D154)</f>
        <v>19740</v>
      </c>
      <c r="E155" s="117"/>
      <c r="F155" s="117"/>
      <c r="G155" s="117"/>
      <c r="H155" s="117"/>
      <c r="I155" s="117"/>
      <c r="J155" s="117"/>
      <c r="K155" s="117"/>
      <c r="L155" s="120"/>
      <c r="M155" s="119">
        <f>G152</f>
        <v>1840</v>
      </c>
      <c r="N155" s="117"/>
      <c r="O155" s="117"/>
      <c r="P155" s="117"/>
      <c r="Q155" s="117"/>
      <c r="R155" s="117"/>
    </row>
    <row r="156" spans="1:18" ht="13.5" thickBot="1">
      <c r="A156" s="117"/>
      <c r="B156" s="119">
        <v>14040</v>
      </c>
      <c r="C156" s="117"/>
      <c r="D156" s="164">
        <f>D155/2</f>
        <v>9870</v>
      </c>
      <c r="E156" s="131" t="s">
        <v>56</v>
      </c>
      <c r="F156" s="117"/>
      <c r="G156" s="117"/>
      <c r="H156" s="117"/>
      <c r="I156" s="117"/>
      <c r="J156" s="117"/>
      <c r="K156" s="117"/>
      <c r="L156" s="144">
        <f>SUM(L150:L155)</f>
        <v>14620</v>
      </c>
      <c r="M156" s="119">
        <f>H154</f>
        <v>3960</v>
      </c>
      <c r="N156" s="117"/>
      <c r="O156" s="117"/>
      <c r="P156" s="117"/>
      <c r="Q156" s="117"/>
      <c r="R156" s="117"/>
    </row>
    <row r="157" spans="1:18" ht="13.5" thickBot="1">
      <c r="A157" s="117"/>
      <c r="B157" s="119">
        <v>12140</v>
      </c>
      <c r="C157" s="117"/>
      <c r="D157" s="55"/>
      <c r="E157" s="116">
        <v>1240</v>
      </c>
      <c r="F157" s="117"/>
      <c r="G157" s="117"/>
      <c r="H157" s="117"/>
      <c r="I157" s="117"/>
      <c r="J157" s="117"/>
      <c r="K157" s="117"/>
      <c r="L157" s="117"/>
      <c r="M157" s="119">
        <f>I150</f>
        <v>0</v>
      </c>
      <c r="N157" s="117"/>
      <c r="O157" s="117"/>
      <c r="P157" s="117"/>
      <c r="Q157" s="117"/>
      <c r="R157" s="117"/>
    </row>
    <row r="158" spans="1:18" ht="13.5" thickBot="1">
      <c r="A158" s="117"/>
      <c r="B158" s="119">
        <v>13860</v>
      </c>
      <c r="C158" s="117"/>
      <c r="E158" s="119"/>
      <c r="F158" s="117"/>
      <c r="G158" s="117"/>
      <c r="H158" s="117"/>
      <c r="I158" s="117"/>
      <c r="J158" s="117"/>
      <c r="K158" s="117"/>
      <c r="L158" s="117"/>
      <c r="M158" s="119">
        <f>J150</f>
        <v>431000</v>
      </c>
      <c r="N158" s="117"/>
      <c r="O158" s="121"/>
      <c r="P158" s="117" t="s">
        <v>115</v>
      </c>
      <c r="Q158" s="117"/>
      <c r="R158" s="117"/>
    </row>
    <row r="159" spans="1:18" ht="13.5" thickBot="1">
      <c r="A159" s="117"/>
      <c r="B159" s="119">
        <v>12520</v>
      </c>
      <c r="C159" s="117"/>
      <c r="E159" s="119"/>
      <c r="F159" s="117"/>
      <c r="G159" s="117"/>
      <c r="H159" s="117"/>
      <c r="I159" s="117"/>
      <c r="J159" s="117"/>
      <c r="K159" s="117"/>
      <c r="L159" s="117"/>
      <c r="M159" s="123">
        <f>K150</f>
        <v>4694000</v>
      </c>
      <c r="N159" s="117"/>
      <c r="O159" s="121"/>
      <c r="P159" s="117"/>
      <c r="Q159" s="117"/>
      <c r="R159" s="117"/>
    </row>
    <row r="160" spans="1:18" ht="13.5" thickBot="1">
      <c r="A160" s="117"/>
      <c r="B160" s="119"/>
      <c r="C160" s="117"/>
      <c r="E160" s="124"/>
      <c r="F160" s="117"/>
      <c r="G160" s="117"/>
      <c r="H160" s="117"/>
      <c r="I160" s="117"/>
      <c r="J160" s="117"/>
      <c r="K160" s="117"/>
      <c r="L160" s="117"/>
      <c r="M160" s="124">
        <f>L156</f>
        <v>14620</v>
      </c>
      <c r="N160" s="117"/>
      <c r="O160" s="121"/>
      <c r="P160" s="117" t="s">
        <v>179</v>
      </c>
      <c r="Q160" s="117"/>
      <c r="R160" s="117"/>
    </row>
    <row r="161" spans="1:18" ht="13.5" thickBot="1">
      <c r="A161" s="117"/>
      <c r="B161" s="141">
        <f>SUM(B150:B160)</f>
        <v>130980</v>
      </c>
      <c r="C161" s="117"/>
      <c r="E161" s="121"/>
      <c r="M161" s="144">
        <f>SUM(M150:M160)</f>
        <v>5342130</v>
      </c>
      <c r="N161" s="117" t="s">
        <v>177</v>
      </c>
      <c r="O161" s="117"/>
      <c r="P161" s="117"/>
      <c r="Q161" s="117"/>
      <c r="R161" s="117"/>
    </row>
    <row r="162" spans="1:18" ht="13.5" thickBot="1">
      <c r="A162" s="117"/>
      <c r="B162" s="119"/>
      <c r="C162" s="117"/>
      <c r="E162" s="123"/>
      <c r="F162" s="28"/>
      <c r="M162" s="124"/>
      <c r="N162" s="117"/>
      <c r="O162" s="117"/>
      <c r="P162" s="117"/>
      <c r="Q162" s="117"/>
      <c r="R162" s="117"/>
    </row>
    <row r="163" spans="1:18" ht="13.5" thickBot="1">
      <c r="A163" s="117"/>
      <c r="B163" s="123"/>
      <c r="C163" s="117"/>
      <c r="E163" s="121"/>
      <c r="M163" s="144">
        <f>N153</f>
        <v>5352000</v>
      </c>
      <c r="N163" s="117" t="s">
        <v>179</v>
      </c>
      <c r="O163" s="117"/>
      <c r="P163" s="117"/>
      <c r="Q163" s="117"/>
      <c r="R163" s="117"/>
    </row>
    <row r="164" spans="1:6" ht="13.5" thickBot="1">
      <c r="A164" s="117"/>
      <c r="B164" s="123"/>
      <c r="C164" s="117"/>
      <c r="F164" s="92"/>
    </row>
    <row r="165" spans="1:14" ht="13.5" thickBot="1">
      <c r="A165" s="117"/>
      <c r="B165" s="123"/>
      <c r="C165" s="117"/>
      <c r="M165" s="228">
        <f>100*(M161/M163)</f>
        <v>99.81558295964126</v>
      </c>
      <c r="N165" s="180" t="s">
        <v>193</v>
      </c>
    </row>
    <row r="166" spans="1:14" ht="12.75">
      <c r="A166" s="117"/>
      <c r="B166" s="123"/>
      <c r="C166" s="117"/>
      <c r="N166" s="184" t="s">
        <v>178</v>
      </c>
    </row>
    <row r="167" spans="1:14" ht="12.75">
      <c r="A167" s="117"/>
      <c r="B167" s="123"/>
      <c r="C167" s="117"/>
      <c r="N167" s="169" t="s">
        <v>180</v>
      </c>
    </row>
    <row r="168" spans="1:3" ht="13.5" thickBot="1">
      <c r="A168" s="117"/>
      <c r="B168" s="124"/>
      <c r="C168" s="117"/>
    </row>
    <row r="169" spans="1:14" ht="13.5" thickBot="1">
      <c r="A169" s="117"/>
      <c r="B169" s="121"/>
      <c r="C169" s="117"/>
      <c r="M169" s="228">
        <f>M163/(1000*S150)</f>
        <v>20.234404536862005</v>
      </c>
      <c r="N169" s="180" t="s">
        <v>194</v>
      </c>
    </row>
    <row r="170" spans="1:14" ht="12.75">
      <c r="A170" s="117"/>
      <c r="B170" s="137"/>
      <c r="C170" s="117"/>
      <c r="N170" s="169" t="s">
        <v>195</v>
      </c>
    </row>
    <row r="171" spans="1:3" ht="13.5" thickBot="1">
      <c r="A171" s="117"/>
      <c r="B171" s="137"/>
      <c r="C171" s="117"/>
    </row>
    <row r="172" spans="1:14" ht="13.5" thickBot="1">
      <c r="A172" s="117"/>
      <c r="B172" s="137"/>
      <c r="C172" s="117"/>
      <c r="M172" s="229">
        <f>M161</f>
        <v>5342130</v>
      </c>
      <c r="N172" s="169" t="s">
        <v>215</v>
      </c>
    </row>
    <row r="173" spans="1:3" ht="12.75">
      <c r="A173" s="117"/>
      <c r="B173" s="137"/>
      <c r="C173" s="117"/>
    </row>
    <row r="174" spans="1:3" ht="12.75">
      <c r="A174" s="117"/>
      <c r="B174" s="137"/>
      <c r="C174" s="117"/>
    </row>
    <row r="176" ht="12.75">
      <c r="A176" s="181" t="s">
        <v>187</v>
      </c>
    </row>
    <row r="177" ht="13.5" thickBot="1"/>
    <row r="178" spans="1:19" ht="13.5" thickBot="1">
      <c r="A178" s="53" t="s">
        <v>40</v>
      </c>
      <c r="B178" s="15" t="s">
        <v>0</v>
      </c>
      <c r="C178" s="16" t="s">
        <v>1</v>
      </c>
      <c r="D178" s="42" t="s">
        <v>2</v>
      </c>
      <c r="E178" s="142" t="s">
        <v>81</v>
      </c>
      <c r="F178" s="19" t="s">
        <v>4</v>
      </c>
      <c r="G178" s="20" t="s">
        <v>5</v>
      </c>
      <c r="H178" s="33" t="s">
        <v>6</v>
      </c>
      <c r="I178" s="109" t="s">
        <v>141</v>
      </c>
      <c r="J178" s="23" t="s">
        <v>8</v>
      </c>
      <c r="K178" s="24" t="s">
        <v>9</v>
      </c>
      <c r="L178" s="49" t="s">
        <v>14</v>
      </c>
      <c r="M178" s="1" t="s">
        <v>13</v>
      </c>
      <c r="N178" s="3" t="s">
        <v>11</v>
      </c>
      <c r="O178" s="50" t="s">
        <v>114</v>
      </c>
      <c r="P178" s="81" t="s">
        <v>113</v>
      </c>
      <c r="Q178" s="110" t="s">
        <v>142</v>
      </c>
      <c r="R178" s="111" t="s">
        <v>80</v>
      </c>
      <c r="S178" s="190" t="s">
        <v>196</v>
      </c>
    </row>
    <row r="179" spans="1:19" ht="13.5" thickBot="1">
      <c r="A179" s="114"/>
      <c r="B179" s="115">
        <v>6620</v>
      </c>
      <c r="C179" s="116">
        <v>3020</v>
      </c>
      <c r="D179" s="125">
        <v>8820</v>
      </c>
      <c r="E179" s="119">
        <v>6920</v>
      </c>
      <c r="F179" s="125">
        <v>9100</v>
      </c>
      <c r="G179" s="115">
        <v>2020</v>
      </c>
      <c r="H179" s="116">
        <v>3040</v>
      </c>
      <c r="I179" s="147"/>
      <c r="J179" s="147">
        <f>631*1000</f>
        <v>631000</v>
      </c>
      <c r="K179" s="148">
        <f>(4215+675)*1000</f>
        <v>4890000</v>
      </c>
      <c r="L179" s="119">
        <v>980</v>
      </c>
      <c r="M179" s="132">
        <f>B190</f>
        <v>113980</v>
      </c>
      <c r="N179" s="135">
        <f>D185</f>
        <v>4410</v>
      </c>
      <c r="O179" s="116">
        <v>240</v>
      </c>
      <c r="P179" s="149">
        <v>780</v>
      </c>
      <c r="Q179" s="147">
        <v>0</v>
      </c>
      <c r="R179" s="121">
        <v>0</v>
      </c>
      <c r="S179" s="1">
        <v>249.79</v>
      </c>
    </row>
    <row r="180" spans="1:18" ht="13.5" thickBot="1">
      <c r="A180" s="117"/>
      <c r="B180" s="118">
        <v>14040</v>
      </c>
      <c r="C180" s="119">
        <v>2580</v>
      </c>
      <c r="D180" s="126"/>
      <c r="E180" s="123"/>
      <c r="F180" s="126">
        <v>11620</v>
      </c>
      <c r="G180" s="133"/>
      <c r="H180" s="119"/>
      <c r="I180" s="117"/>
      <c r="J180" s="117"/>
      <c r="K180" s="117"/>
      <c r="L180" s="119">
        <v>4440</v>
      </c>
      <c r="M180" s="126">
        <f>C184</f>
        <v>15600</v>
      </c>
      <c r="N180" s="118">
        <f>M190</f>
        <v>5705210</v>
      </c>
      <c r="O180" s="119"/>
      <c r="P180" s="117"/>
      <c r="Q180" s="117"/>
      <c r="R180" s="117"/>
    </row>
    <row r="181" spans="1:18" ht="13.5" thickBot="1">
      <c r="A181" s="117"/>
      <c r="B181" s="118">
        <v>12560</v>
      </c>
      <c r="C181" s="119">
        <v>3300</v>
      </c>
      <c r="D181" s="126"/>
      <c r="E181" s="143"/>
      <c r="F181" s="130">
        <v>8740</v>
      </c>
      <c r="G181" s="145">
        <f>G179</f>
        <v>2020</v>
      </c>
      <c r="H181" s="119"/>
      <c r="I181" s="117"/>
      <c r="J181" s="117"/>
      <c r="K181" s="117"/>
      <c r="L181" s="119">
        <v>2340</v>
      </c>
      <c r="M181" s="126">
        <f>D185</f>
        <v>4410</v>
      </c>
      <c r="N181" s="133"/>
      <c r="O181" s="120"/>
      <c r="P181" s="117"/>
      <c r="Q181" s="117"/>
      <c r="R181" s="117"/>
    </row>
    <row r="182" spans="1:18" ht="13.5" thickBot="1">
      <c r="A182" s="117"/>
      <c r="B182" s="118">
        <v>13740</v>
      </c>
      <c r="C182" s="119">
        <v>2060</v>
      </c>
      <c r="D182" s="119"/>
      <c r="E182" s="120"/>
      <c r="F182" s="144">
        <f>SUM(F179:F181)</f>
        <v>29460</v>
      </c>
      <c r="G182" s="117"/>
      <c r="H182" s="120"/>
      <c r="I182" s="117"/>
      <c r="J182" s="117"/>
      <c r="K182" s="117"/>
      <c r="L182" s="119"/>
      <c r="M182" s="119">
        <f>E183</f>
        <v>6920</v>
      </c>
      <c r="N182" s="146">
        <f>N179+N180+N181</f>
        <v>5709620</v>
      </c>
      <c r="O182" s="144">
        <f>SUM(O179:O181)</f>
        <v>240</v>
      </c>
      <c r="P182" s="117"/>
      <c r="Q182" s="117"/>
      <c r="R182" s="117"/>
    </row>
    <row r="183" spans="1:18" ht="13.5" thickBot="1">
      <c r="A183" s="117"/>
      <c r="B183" s="118">
        <v>12380</v>
      </c>
      <c r="C183" s="120">
        <v>4640</v>
      </c>
      <c r="D183" s="120"/>
      <c r="E183" s="144">
        <f>SUM(E179:E182)</f>
        <v>6920</v>
      </c>
      <c r="F183" s="117"/>
      <c r="G183" s="117"/>
      <c r="H183" s="146">
        <f>SUM(H179:H182)</f>
        <v>3040</v>
      </c>
      <c r="I183" s="117"/>
      <c r="J183" s="117"/>
      <c r="K183" s="117"/>
      <c r="L183" s="119"/>
      <c r="M183" s="119">
        <f>F182</f>
        <v>29460</v>
      </c>
      <c r="N183" s="117"/>
      <c r="O183" s="117"/>
      <c r="P183" s="117"/>
      <c r="Q183" s="117"/>
      <c r="R183" s="117"/>
    </row>
    <row r="184" spans="1:18" ht="13.5" thickBot="1">
      <c r="A184" s="117"/>
      <c r="B184" s="119">
        <v>11900</v>
      </c>
      <c r="C184" s="144">
        <f>SUM(C179:C183)</f>
        <v>15600</v>
      </c>
      <c r="D184" s="144">
        <f>SUM(D179:D183)</f>
        <v>8820</v>
      </c>
      <c r="E184" s="117"/>
      <c r="F184" s="117"/>
      <c r="G184" s="117"/>
      <c r="H184" s="117"/>
      <c r="I184" s="117"/>
      <c r="J184" s="117"/>
      <c r="K184" s="117"/>
      <c r="L184" s="120"/>
      <c r="M184" s="119">
        <f>G181</f>
        <v>2020</v>
      </c>
      <c r="N184" s="117"/>
      <c r="O184" s="117"/>
      <c r="P184" s="117"/>
      <c r="Q184" s="117"/>
      <c r="R184" s="117"/>
    </row>
    <row r="185" spans="1:18" ht="13.5" thickBot="1">
      <c r="A185" s="117"/>
      <c r="B185" s="119">
        <v>8480</v>
      </c>
      <c r="C185" s="117"/>
      <c r="D185" s="164">
        <f>D184/2</f>
        <v>4410</v>
      </c>
      <c r="E185" s="131" t="s">
        <v>56</v>
      </c>
      <c r="F185" s="117"/>
      <c r="G185" s="117"/>
      <c r="H185" s="117"/>
      <c r="I185" s="117"/>
      <c r="J185" s="117"/>
      <c r="K185" s="117"/>
      <c r="L185" s="144">
        <f>SUM(L179:L184)</f>
        <v>7760</v>
      </c>
      <c r="M185" s="119">
        <f>H183</f>
        <v>3040</v>
      </c>
      <c r="N185" s="117"/>
      <c r="O185" s="117"/>
      <c r="P185" s="117"/>
      <c r="Q185" s="117"/>
      <c r="R185" s="117"/>
    </row>
    <row r="186" spans="1:18" ht="13.5" thickBot="1">
      <c r="A186" s="117"/>
      <c r="B186" s="119">
        <v>9160</v>
      </c>
      <c r="C186" s="117"/>
      <c r="D186" s="55"/>
      <c r="E186" s="116"/>
      <c r="F186" s="117"/>
      <c r="G186" s="117"/>
      <c r="H186" s="117"/>
      <c r="I186" s="117"/>
      <c r="J186" s="117"/>
      <c r="K186" s="117"/>
      <c r="L186" s="117"/>
      <c r="M186" s="119">
        <f>O182+P179</f>
        <v>1020</v>
      </c>
      <c r="N186" s="117"/>
      <c r="O186" s="117"/>
      <c r="P186" s="117"/>
      <c r="Q186" s="117"/>
      <c r="R186" s="117"/>
    </row>
    <row r="187" spans="1:18" ht="13.5" thickBot="1">
      <c r="A187" s="117"/>
      <c r="B187" s="119">
        <v>13060</v>
      </c>
      <c r="C187" s="117"/>
      <c r="E187" s="119"/>
      <c r="F187" s="117"/>
      <c r="G187" s="117"/>
      <c r="H187" s="117"/>
      <c r="I187" s="117"/>
      <c r="J187" s="117"/>
      <c r="K187" s="117"/>
      <c r="L187" s="117"/>
      <c r="M187" s="119">
        <f>J179</f>
        <v>631000</v>
      </c>
      <c r="N187" s="117"/>
      <c r="O187" s="121">
        <f>O179</f>
        <v>240</v>
      </c>
      <c r="P187" s="117" t="s">
        <v>115</v>
      </c>
      <c r="Q187" s="117"/>
      <c r="R187" s="117"/>
    </row>
    <row r="188" spans="1:18" ht="13.5" thickBot="1">
      <c r="A188" s="117"/>
      <c r="B188" s="119">
        <v>12040</v>
      </c>
      <c r="C188" s="117"/>
      <c r="E188" s="119"/>
      <c r="F188" s="117"/>
      <c r="G188" s="117"/>
      <c r="H188" s="117"/>
      <c r="I188" s="117"/>
      <c r="J188" s="117"/>
      <c r="K188" s="117"/>
      <c r="L188" s="117"/>
      <c r="M188" s="123">
        <f>K179</f>
        <v>4890000</v>
      </c>
      <c r="N188" s="117"/>
      <c r="O188" s="121"/>
      <c r="P188" s="117"/>
      <c r="Q188" s="117"/>
      <c r="R188" s="117"/>
    </row>
    <row r="189" spans="1:18" ht="13.5" thickBot="1">
      <c r="A189" s="117"/>
      <c r="B189" s="119"/>
      <c r="C189" s="117"/>
      <c r="E189" s="124"/>
      <c r="F189" s="117"/>
      <c r="G189" s="117"/>
      <c r="H189" s="117"/>
      <c r="I189" s="117"/>
      <c r="J189" s="117"/>
      <c r="K189" s="117"/>
      <c r="L189" s="117"/>
      <c r="M189" s="124">
        <f>L185</f>
        <v>7760</v>
      </c>
      <c r="N189" s="117"/>
      <c r="O189" s="121">
        <f>N182</f>
        <v>5709620</v>
      </c>
      <c r="P189" s="117" t="s">
        <v>179</v>
      </c>
      <c r="Q189" s="117"/>
      <c r="R189" s="117"/>
    </row>
    <row r="190" spans="1:18" ht="13.5" thickBot="1">
      <c r="A190" s="117"/>
      <c r="B190" s="141">
        <f>SUM(B179:B189)</f>
        <v>113980</v>
      </c>
      <c r="C190" s="117"/>
      <c r="E190" s="121"/>
      <c r="M190" s="144">
        <f>SUM(M179:M189)</f>
        <v>5705210</v>
      </c>
      <c r="N190" s="117" t="s">
        <v>177</v>
      </c>
      <c r="O190" s="117"/>
      <c r="P190" s="117"/>
      <c r="Q190" s="117"/>
      <c r="R190" s="117"/>
    </row>
    <row r="191" spans="1:18" ht="13.5" thickBot="1">
      <c r="A191" s="117"/>
      <c r="B191" s="119"/>
      <c r="C191" s="117"/>
      <c r="E191" s="123"/>
      <c r="F191" s="28"/>
      <c r="M191" s="124"/>
      <c r="N191" s="117"/>
      <c r="O191" s="117"/>
      <c r="P191" s="117"/>
      <c r="Q191" s="117"/>
      <c r="R191" s="117"/>
    </row>
    <row r="192" spans="1:18" ht="13.5" thickBot="1">
      <c r="A192" s="117"/>
      <c r="B192" s="123"/>
      <c r="C192" s="117"/>
      <c r="E192" s="121"/>
      <c r="M192" s="144">
        <f>N182</f>
        <v>5709620</v>
      </c>
      <c r="N192" s="117" t="s">
        <v>179</v>
      </c>
      <c r="O192" s="117"/>
      <c r="P192" s="117"/>
      <c r="Q192" s="117"/>
      <c r="R192" s="117"/>
    </row>
    <row r="193" spans="1:6" ht="13.5" thickBot="1">
      <c r="A193" s="117"/>
      <c r="B193" s="123"/>
      <c r="C193" s="117"/>
      <c r="F193" s="92"/>
    </row>
    <row r="194" spans="1:14" ht="13.5" thickBot="1">
      <c r="A194" s="117"/>
      <c r="B194" s="123"/>
      <c r="C194" s="117"/>
      <c r="M194" s="228">
        <f>100*(M190/M192)</f>
        <v>99.92276193512004</v>
      </c>
      <c r="N194" s="180" t="s">
        <v>193</v>
      </c>
    </row>
    <row r="195" spans="1:14" ht="12.75">
      <c r="A195" s="117"/>
      <c r="B195" s="123"/>
      <c r="C195" s="117"/>
      <c r="N195" s="184" t="s">
        <v>178</v>
      </c>
    </row>
    <row r="196" spans="1:14" ht="12.75">
      <c r="A196" s="117"/>
      <c r="B196" s="123"/>
      <c r="C196" s="117"/>
      <c r="N196" s="169" t="s">
        <v>180</v>
      </c>
    </row>
    <row r="197" spans="1:3" ht="13.5" thickBot="1">
      <c r="A197" s="117"/>
      <c r="B197" s="124"/>
      <c r="C197" s="117"/>
    </row>
    <row r="198" spans="1:14" ht="13.5" thickBot="1">
      <c r="A198" s="117"/>
      <c r="B198" s="121"/>
      <c r="C198" s="117"/>
      <c r="M198" s="228">
        <f>M192/(1000*S179)</f>
        <v>22.857680451579327</v>
      </c>
      <c r="N198" s="180" t="s">
        <v>194</v>
      </c>
    </row>
    <row r="199" spans="1:14" ht="12.75">
      <c r="A199" s="117"/>
      <c r="B199" s="137"/>
      <c r="C199" s="117"/>
      <c r="N199" s="169" t="s">
        <v>195</v>
      </c>
    </row>
    <row r="200" spans="1:3" ht="13.5" thickBot="1">
      <c r="A200" s="117"/>
      <c r="B200" s="137"/>
      <c r="C200" s="117"/>
    </row>
    <row r="201" spans="1:14" ht="13.5" thickBot="1">
      <c r="A201" s="117"/>
      <c r="B201" s="137"/>
      <c r="C201" s="117"/>
      <c r="M201" s="229">
        <f>M190</f>
        <v>5705210</v>
      </c>
      <c r="N201" s="169" t="s">
        <v>215</v>
      </c>
    </row>
    <row r="202" spans="1:3" ht="12.75">
      <c r="A202" s="117"/>
      <c r="B202" s="137"/>
      <c r="C202" s="117"/>
    </row>
    <row r="203" spans="1:3" ht="12.75">
      <c r="A203" s="117"/>
      <c r="B203" s="137"/>
      <c r="C203" s="117"/>
    </row>
    <row r="205" ht="12.75">
      <c r="A205" s="181" t="s">
        <v>188</v>
      </c>
    </row>
    <row r="206" ht="13.5" thickBot="1"/>
    <row r="207" spans="1:19" ht="13.5" thickBot="1">
      <c r="A207" s="53" t="s">
        <v>40</v>
      </c>
      <c r="B207" s="15" t="s">
        <v>0</v>
      </c>
      <c r="C207" s="16" t="s">
        <v>1</v>
      </c>
      <c r="D207" s="42" t="s">
        <v>2</v>
      </c>
      <c r="E207" s="142" t="s">
        <v>81</v>
      </c>
      <c r="F207" s="19" t="s">
        <v>4</v>
      </c>
      <c r="G207" s="20" t="s">
        <v>5</v>
      </c>
      <c r="H207" s="33" t="s">
        <v>6</v>
      </c>
      <c r="I207" s="109" t="s">
        <v>141</v>
      </c>
      <c r="J207" s="23" t="s">
        <v>8</v>
      </c>
      <c r="K207" s="24" t="s">
        <v>9</v>
      </c>
      <c r="L207" s="49" t="s">
        <v>14</v>
      </c>
      <c r="M207" s="1" t="s">
        <v>13</v>
      </c>
      <c r="N207" s="3" t="s">
        <v>11</v>
      </c>
      <c r="O207" s="50" t="s">
        <v>114</v>
      </c>
      <c r="P207" s="81" t="s">
        <v>113</v>
      </c>
      <c r="Q207" s="110" t="s">
        <v>142</v>
      </c>
      <c r="R207" s="111" t="s">
        <v>80</v>
      </c>
      <c r="S207" s="190" t="s">
        <v>196</v>
      </c>
    </row>
    <row r="208" spans="1:19" ht="13.5" thickBot="1">
      <c r="A208" s="114"/>
      <c r="B208" s="115">
        <v>12240</v>
      </c>
      <c r="C208" s="116">
        <v>2200</v>
      </c>
      <c r="D208" s="125">
        <v>8960</v>
      </c>
      <c r="E208" s="119">
        <v>1020</v>
      </c>
      <c r="F208" s="125">
        <v>8380</v>
      </c>
      <c r="G208" s="115"/>
      <c r="H208" s="116">
        <v>3120</v>
      </c>
      <c r="I208" s="147"/>
      <c r="J208" s="147">
        <f>527*1000</f>
        <v>527000</v>
      </c>
      <c r="K208" s="148">
        <f>(4126+471)*1000</f>
        <v>4597000</v>
      </c>
      <c r="L208" s="119">
        <v>1220</v>
      </c>
      <c r="M208" s="132">
        <f>B221</f>
        <v>149500</v>
      </c>
      <c r="N208" s="135">
        <f>D214</f>
        <v>9550</v>
      </c>
      <c r="O208" s="116">
        <v>4300</v>
      </c>
      <c r="P208" s="149">
        <v>0</v>
      </c>
      <c r="Q208" s="147">
        <v>0</v>
      </c>
      <c r="R208" s="121">
        <v>0</v>
      </c>
      <c r="S208" s="1">
        <v>227.7</v>
      </c>
    </row>
    <row r="209" spans="1:18" ht="13.5" thickBot="1">
      <c r="A209" s="117"/>
      <c r="B209" s="118">
        <v>13980</v>
      </c>
      <c r="C209" s="119">
        <v>2660</v>
      </c>
      <c r="D209" s="126">
        <v>10140</v>
      </c>
      <c r="E209" s="123"/>
      <c r="F209" s="126">
        <v>8940</v>
      </c>
      <c r="G209" s="133"/>
      <c r="H209" s="119">
        <v>2960</v>
      </c>
      <c r="I209" s="117"/>
      <c r="J209" s="117"/>
      <c r="K209" s="117"/>
      <c r="L209" s="119">
        <v>4380</v>
      </c>
      <c r="M209" s="126">
        <f>C213</f>
        <v>11960</v>
      </c>
      <c r="N209" s="118">
        <f>M219</f>
        <v>5342190</v>
      </c>
      <c r="O209" s="119"/>
      <c r="P209" s="117"/>
      <c r="Q209" s="117"/>
      <c r="R209" s="117"/>
    </row>
    <row r="210" spans="1:18" ht="13.5" thickBot="1">
      <c r="A210" s="117"/>
      <c r="B210" s="118">
        <v>13920</v>
      </c>
      <c r="C210" s="119">
        <v>1860</v>
      </c>
      <c r="D210" s="126"/>
      <c r="E210" s="143"/>
      <c r="F210" s="130">
        <v>10720</v>
      </c>
      <c r="G210" s="145">
        <f>G208</f>
        <v>0</v>
      </c>
      <c r="H210" s="119"/>
      <c r="I210" s="117"/>
      <c r="J210" s="117"/>
      <c r="K210" s="117"/>
      <c r="L210" s="119">
        <v>860</v>
      </c>
      <c r="M210" s="126">
        <f>D214</f>
        <v>9550</v>
      </c>
      <c r="N210" s="133"/>
      <c r="O210" s="120"/>
      <c r="P210" s="117"/>
      <c r="Q210" s="117"/>
      <c r="R210" s="117"/>
    </row>
    <row r="211" spans="1:18" ht="13.5" thickBot="1">
      <c r="A211" s="117"/>
      <c r="B211" s="118">
        <v>13620</v>
      </c>
      <c r="C211" s="119">
        <v>2580</v>
      </c>
      <c r="D211" s="119"/>
      <c r="E211" s="120"/>
      <c r="F211" s="144">
        <f>SUM(F208:F210)</f>
        <v>28040</v>
      </c>
      <c r="G211" s="117"/>
      <c r="H211" s="120"/>
      <c r="I211" s="117"/>
      <c r="J211" s="117"/>
      <c r="K211" s="117"/>
      <c r="L211" s="119">
        <v>1280</v>
      </c>
      <c r="M211" s="119">
        <f>E212</f>
        <v>1020</v>
      </c>
      <c r="N211" s="146">
        <f>N208+N209+N210</f>
        <v>5351740</v>
      </c>
      <c r="O211" s="144">
        <f>SUM(O208:O210)</f>
        <v>4300</v>
      </c>
      <c r="P211" s="117"/>
      <c r="Q211" s="117"/>
      <c r="R211" s="117"/>
    </row>
    <row r="212" spans="1:18" ht="13.5" thickBot="1">
      <c r="A212" s="117"/>
      <c r="B212" s="118">
        <v>13700</v>
      </c>
      <c r="C212" s="120">
        <f>2.66*1000</f>
        <v>2660</v>
      </c>
      <c r="D212" s="120"/>
      <c r="E212" s="144">
        <f>SUM(E208:E211)</f>
        <v>1020</v>
      </c>
      <c r="F212" s="117"/>
      <c r="G212" s="117"/>
      <c r="H212" s="146">
        <f>SUM(H208:H211)</f>
        <v>6080</v>
      </c>
      <c r="I212" s="117"/>
      <c r="J212" s="117"/>
      <c r="K212" s="117"/>
      <c r="L212" s="119"/>
      <c r="M212" s="119">
        <f>F211</f>
        <v>28040</v>
      </c>
      <c r="N212" s="117"/>
      <c r="O212" s="117"/>
      <c r="P212" s="117"/>
      <c r="Q212" s="117"/>
      <c r="R212" s="117"/>
    </row>
    <row r="213" spans="1:18" ht="13.5" thickBot="1">
      <c r="A213" s="117"/>
      <c r="B213" s="119">
        <v>13060</v>
      </c>
      <c r="C213" s="144">
        <f>SUM(C208:C212)</f>
        <v>11960</v>
      </c>
      <c r="D213" s="144">
        <f>SUM(D208:D212)</f>
        <v>19100</v>
      </c>
      <c r="E213" s="117"/>
      <c r="F213" s="117"/>
      <c r="G213" s="117"/>
      <c r="H213" s="117"/>
      <c r="I213" s="117"/>
      <c r="J213" s="117"/>
      <c r="K213" s="117"/>
      <c r="L213" s="120"/>
      <c r="M213" s="119">
        <f>G210</f>
        <v>0</v>
      </c>
      <c r="N213" s="117"/>
      <c r="O213" s="117"/>
      <c r="P213" s="117"/>
      <c r="Q213" s="117"/>
      <c r="R213" s="117"/>
    </row>
    <row r="214" spans="1:18" ht="13.5" thickBot="1">
      <c r="A214" s="117"/>
      <c r="B214" s="119">
        <v>6400</v>
      </c>
      <c r="C214" s="117"/>
      <c r="D214" s="164">
        <f>D213/2</f>
        <v>9550</v>
      </c>
      <c r="E214" s="131" t="s">
        <v>56</v>
      </c>
      <c r="F214" s="117"/>
      <c r="G214" s="117"/>
      <c r="H214" s="117"/>
      <c r="I214" s="117"/>
      <c r="J214" s="117"/>
      <c r="K214" s="117"/>
      <c r="L214" s="144">
        <f>SUM(L208:L213)</f>
        <v>7740</v>
      </c>
      <c r="M214" s="119">
        <f>H212</f>
        <v>6080</v>
      </c>
      <c r="N214" s="117"/>
      <c r="O214" s="117"/>
      <c r="P214" s="117"/>
      <c r="Q214" s="117"/>
      <c r="R214" s="117"/>
    </row>
    <row r="215" spans="1:18" ht="13.5" thickBot="1">
      <c r="A215" s="117"/>
      <c r="B215" s="119">
        <v>7680</v>
      </c>
      <c r="C215" s="117"/>
      <c r="D215" s="55"/>
      <c r="E215" s="116"/>
      <c r="F215" s="117"/>
      <c r="G215" s="117"/>
      <c r="H215" s="117"/>
      <c r="I215" s="117"/>
      <c r="J215" s="117"/>
      <c r="K215" s="117"/>
      <c r="L215" s="117"/>
      <c r="M215" s="119">
        <f>O208</f>
        <v>4300</v>
      </c>
      <c r="N215" s="117"/>
      <c r="O215" s="117"/>
      <c r="P215" s="117"/>
      <c r="Q215" s="117"/>
      <c r="R215" s="117"/>
    </row>
    <row r="216" spans="1:18" ht="13.5" thickBot="1">
      <c r="A216" s="117"/>
      <c r="B216" s="119">
        <v>12080</v>
      </c>
      <c r="C216" s="117"/>
      <c r="E216" s="119"/>
      <c r="F216" s="117"/>
      <c r="G216" s="117"/>
      <c r="H216" s="117"/>
      <c r="I216" s="117"/>
      <c r="J216" s="117"/>
      <c r="K216" s="117"/>
      <c r="L216" s="117"/>
      <c r="M216" s="119">
        <f>J208</f>
        <v>527000</v>
      </c>
      <c r="N216" s="117"/>
      <c r="O216" s="121"/>
      <c r="P216" s="117" t="s">
        <v>115</v>
      </c>
      <c r="Q216" s="117"/>
      <c r="R216" s="117"/>
    </row>
    <row r="217" spans="1:18" ht="13.5" thickBot="1">
      <c r="A217" s="117"/>
      <c r="B217" s="119">
        <v>11060</v>
      </c>
      <c r="C217" s="117"/>
      <c r="E217" s="119"/>
      <c r="F217" s="117"/>
      <c r="G217" s="117"/>
      <c r="H217" s="117"/>
      <c r="I217" s="117"/>
      <c r="J217" s="117"/>
      <c r="K217" s="117"/>
      <c r="L217" s="117"/>
      <c r="M217" s="123">
        <f>K208</f>
        <v>4597000</v>
      </c>
      <c r="N217" s="117"/>
      <c r="O217" s="121"/>
      <c r="P217" s="117"/>
      <c r="Q217" s="117"/>
      <c r="R217" s="117"/>
    </row>
    <row r="218" spans="1:18" ht="13.5" thickBot="1">
      <c r="A218" s="117"/>
      <c r="B218" s="119">
        <v>14580</v>
      </c>
      <c r="C218" s="117"/>
      <c r="E218" s="124"/>
      <c r="F218" s="117"/>
      <c r="G218" s="117"/>
      <c r="H218" s="117"/>
      <c r="I218" s="117"/>
      <c r="J218" s="117"/>
      <c r="K218" s="117"/>
      <c r="L218" s="117"/>
      <c r="M218" s="124">
        <f>L214</f>
        <v>7740</v>
      </c>
      <c r="N218" s="117"/>
      <c r="O218" s="121"/>
      <c r="P218" s="117" t="s">
        <v>179</v>
      </c>
      <c r="Q218" s="117"/>
      <c r="R218" s="117"/>
    </row>
    <row r="219" spans="1:18" ht="13.5" thickBot="1">
      <c r="A219" s="117"/>
      <c r="B219" s="232">
        <v>7820</v>
      </c>
      <c r="C219" s="117"/>
      <c r="E219" s="121"/>
      <c r="M219" s="144">
        <f>SUM(M208:M218)</f>
        <v>5342190</v>
      </c>
      <c r="N219" s="117" t="s">
        <v>177</v>
      </c>
      <c r="O219" s="117"/>
      <c r="P219" s="117"/>
      <c r="Q219" s="117"/>
      <c r="R219" s="117"/>
    </row>
    <row r="220" spans="1:18" ht="13.5" thickBot="1">
      <c r="A220" s="117"/>
      <c r="B220" s="119">
        <v>9360</v>
      </c>
      <c r="C220" s="117"/>
      <c r="E220" s="123"/>
      <c r="F220" s="28"/>
      <c r="M220" s="124"/>
      <c r="N220" s="117"/>
      <c r="O220" s="117"/>
      <c r="P220" s="117"/>
      <c r="Q220" s="117"/>
      <c r="R220" s="117"/>
    </row>
    <row r="221" spans="1:18" ht="13.5" thickBot="1">
      <c r="A221" s="117"/>
      <c r="B221" s="233">
        <f>SUM(B208:B220)</f>
        <v>149500</v>
      </c>
      <c r="C221" s="117"/>
      <c r="E221" s="121"/>
      <c r="M221" s="144">
        <f>N211</f>
        <v>5351740</v>
      </c>
      <c r="N221" s="117" t="s">
        <v>179</v>
      </c>
      <c r="O221" s="117"/>
      <c r="P221" s="117"/>
      <c r="Q221" s="117"/>
      <c r="R221" s="117"/>
    </row>
    <row r="222" spans="1:6" ht="13.5" thickBot="1">
      <c r="A222" s="117"/>
      <c r="B222" s="123"/>
      <c r="C222" s="117"/>
      <c r="F222" s="92"/>
    </row>
    <row r="223" spans="1:14" ht="13.5" thickBot="1">
      <c r="A223" s="117"/>
      <c r="B223" s="123"/>
      <c r="C223" s="117"/>
      <c r="M223" s="228">
        <f>100*(M219/M221)</f>
        <v>99.82155336395266</v>
      </c>
      <c r="N223" s="180" t="s">
        <v>193</v>
      </c>
    </row>
    <row r="224" spans="1:14" ht="12.75">
      <c r="A224" s="117"/>
      <c r="B224" s="123"/>
      <c r="C224" s="117"/>
      <c r="N224" s="184" t="s">
        <v>178</v>
      </c>
    </row>
    <row r="225" spans="1:14" ht="12.75">
      <c r="A225" s="117"/>
      <c r="B225" s="123"/>
      <c r="C225" s="117"/>
      <c r="N225" s="169" t="s">
        <v>180</v>
      </c>
    </row>
    <row r="226" spans="1:3" ht="13.5" thickBot="1">
      <c r="A226" s="117"/>
      <c r="B226" s="124"/>
      <c r="C226" s="117"/>
    </row>
    <row r="227" spans="1:14" ht="13.5" thickBot="1">
      <c r="A227" s="117"/>
      <c r="B227" s="121"/>
      <c r="C227" s="117"/>
      <c r="M227" s="228">
        <f>M221/(1000*S208)</f>
        <v>23.50346947738252</v>
      </c>
      <c r="N227" s="180" t="s">
        <v>194</v>
      </c>
    </row>
    <row r="228" spans="1:14" ht="12.75">
      <c r="A228" s="117"/>
      <c r="B228" s="137"/>
      <c r="C228" s="117"/>
      <c r="N228" s="169" t="s">
        <v>195</v>
      </c>
    </row>
    <row r="229" spans="1:3" ht="13.5" thickBot="1">
      <c r="A229" s="117"/>
      <c r="B229" s="137"/>
      <c r="C229" s="117"/>
    </row>
    <row r="230" spans="1:14" ht="13.5" thickBot="1">
      <c r="A230" s="117"/>
      <c r="B230" s="137"/>
      <c r="C230" s="117"/>
      <c r="M230" s="229">
        <f>M219</f>
        <v>5342190</v>
      </c>
      <c r="N230" s="169" t="s">
        <v>215</v>
      </c>
    </row>
    <row r="231" spans="1:3" ht="12.75">
      <c r="A231" s="117"/>
      <c r="B231" s="137"/>
      <c r="C231" s="117"/>
    </row>
    <row r="232" spans="1:3" ht="12.75">
      <c r="A232" s="117"/>
      <c r="B232" s="137"/>
      <c r="C232" s="117"/>
    </row>
    <row r="234" ht="12.75">
      <c r="A234" s="181" t="s">
        <v>189</v>
      </c>
    </row>
    <row r="235" ht="13.5" thickBot="1"/>
    <row r="236" spans="1:19" ht="13.5" thickBot="1">
      <c r="A236" s="53" t="s">
        <v>40</v>
      </c>
      <c r="B236" s="15" t="s">
        <v>0</v>
      </c>
      <c r="C236" s="16" t="s">
        <v>1</v>
      </c>
      <c r="D236" s="42" t="s">
        <v>2</v>
      </c>
      <c r="E236" s="142" t="s">
        <v>81</v>
      </c>
      <c r="F236" s="19" t="s">
        <v>4</v>
      </c>
      <c r="G236" s="20" t="s">
        <v>5</v>
      </c>
      <c r="H236" s="33" t="s">
        <v>6</v>
      </c>
      <c r="I236" s="109" t="s">
        <v>141</v>
      </c>
      <c r="J236" s="23" t="s">
        <v>8</v>
      </c>
      <c r="K236" s="24" t="s">
        <v>9</v>
      </c>
      <c r="L236" s="49" t="s">
        <v>14</v>
      </c>
      <c r="M236" s="1" t="s">
        <v>13</v>
      </c>
      <c r="N236" s="3" t="s">
        <v>11</v>
      </c>
      <c r="O236" s="50" t="s">
        <v>114</v>
      </c>
      <c r="P236" s="81" t="s">
        <v>113</v>
      </c>
      <c r="Q236" s="110" t="s">
        <v>142</v>
      </c>
      <c r="R236" s="111" t="s">
        <v>80</v>
      </c>
      <c r="S236" s="190" t="s">
        <v>196</v>
      </c>
    </row>
    <row r="237" spans="1:19" ht="13.5" thickBot="1">
      <c r="A237" s="114"/>
      <c r="B237" s="115">
        <v>10520</v>
      </c>
      <c r="C237" s="116">
        <v>2920</v>
      </c>
      <c r="D237" s="125">
        <v>10400</v>
      </c>
      <c r="E237" s="119">
        <v>5620</v>
      </c>
      <c r="F237" s="125">
        <v>10920</v>
      </c>
      <c r="G237" s="115">
        <v>1820</v>
      </c>
      <c r="H237" s="116">
        <v>3040</v>
      </c>
      <c r="I237" s="147"/>
      <c r="J237" s="147">
        <f>469*1000</f>
        <v>469000</v>
      </c>
      <c r="K237" s="148">
        <f>(3033+566)*1000</f>
        <v>3599000</v>
      </c>
      <c r="L237" s="119">
        <v>7660</v>
      </c>
      <c r="M237" s="132">
        <f>B256</f>
        <v>165700</v>
      </c>
      <c r="N237" s="135">
        <f>D243</f>
        <v>5200</v>
      </c>
      <c r="O237" s="116">
        <v>1700</v>
      </c>
      <c r="P237" s="149">
        <v>0</v>
      </c>
      <c r="Q237" s="147">
        <v>0</v>
      </c>
      <c r="R237" s="121">
        <v>0</v>
      </c>
      <c r="S237" s="1">
        <v>224</v>
      </c>
    </row>
    <row r="238" spans="1:18" ht="13.5" thickBot="1">
      <c r="A238" s="117"/>
      <c r="B238" s="118">
        <v>15320</v>
      </c>
      <c r="C238" s="119">
        <v>2020</v>
      </c>
      <c r="D238" s="126"/>
      <c r="E238" s="123"/>
      <c r="F238" s="126">
        <v>7500</v>
      </c>
      <c r="G238" s="133"/>
      <c r="H238" s="119"/>
      <c r="I238" s="117"/>
      <c r="J238" s="117"/>
      <c r="K238" s="117"/>
      <c r="L238" s="119">
        <v>2200</v>
      </c>
      <c r="M238" s="126">
        <f>C243</f>
        <v>12440</v>
      </c>
      <c r="N238" s="118">
        <f>M248</f>
        <v>4293020</v>
      </c>
      <c r="O238" s="119"/>
      <c r="P238" s="117"/>
      <c r="Q238" s="117"/>
      <c r="R238" s="117"/>
    </row>
    <row r="239" spans="1:18" ht="13.5" thickBot="1">
      <c r="A239" s="117"/>
      <c r="B239" s="118">
        <v>13820</v>
      </c>
      <c r="C239" s="119">
        <v>1340</v>
      </c>
      <c r="D239" s="126"/>
      <c r="E239" s="143"/>
      <c r="F239" s="130"/>
      <c r="G239" s="145">
        <f>G237</f>
        <v>1820</v>
      </c>
      <c r="H239" s="119"/>
      <c r="I239" s="117"/>
      <c r="J239" s="117"/>
      <c r="K239" s="117"/>
      <c r="L239" s="119">
        <v>2920</v>
      </c>
      <c r="M239" s="126">
        <f>D243</f>
        <v>5200</v>
      </c>
      <c r="N239" s="133"/>
      <c r="O239" s="120"/>
      <c r="P239" s="117"/>
      <c r="Q239" s="117"/>
      <c r="R239" s="117"/>
    </row>
    <row r="240" spans="1:18" ht="13.5" thickBot="1">
      <c r="A240" s="117"/>
      <c r="B240" s="118">
        <v>14200</v>
      </c>
      <c r="C240" s="119">
        <v>520</v>
      </c>
      <c r="D240" s="119"/>
      <c r="E240" s="120"/>
      <c r="F240" s="144">
        <f>SUM(F237:F239)</f>
        <v>18420</v>
      </c>
      <c r="G240" s="117"/>
      <c r="H240" s="120"/>
      <c r="I240" s="117"/>
      <c r="J240" s="117"/>
      <c r="K240" s="117"/>
      <c r="L240" s="119"/>
      <c r="M240" s="119">
        <f>E241</f>
        <v>5620</v>
      </c>
      <c r="N240" s="146">
        <f>N237+N238+N239</f>
        <v>4298220</v>
      </c>
      <c r="O240" s="144">
        <f>SUM(O237:O239)</f>
        <v>1700</v>
      </c>
      <c r="P240" s="117"/>
      <c r="Q240" s="117"/>
      <c r="R240" s="117"/>
    </row>
    <row r="241" spans="1:18" ht="13.5" thickBot="1">
      <c r="A241" s="117"/>
      <c r="B241" s="118">
        <v>11900</v>
      </c>
      <c r="C241" s="120">
        <v>2280</v>
      </c>
      <c r="D241" s="120"/>
      <c r="E241" s="144">
        <f>SUM(E237:E240)</f>
        <v>5620</v>
      </c>
      <c r="F241" s="117"/>
      <c r="G241" s="117"/>
      <c r="H241" s="146">
        <f>SUM(H237:H240)</f>
        <v>3040</v>
      </c>
      <c r="I241" s="117"/>
      <c r="J241" s="117"/>
      <c r="K241" s="117"/>
      <c r="L241" s="119"/>
      <c r="M241" s="119">
        <f>F240</f>
        <v>18420</v>
      </c>
      <c r="N241" s="117"/>
      <c r="O241" s="117"/>
      <c r="P241" s="117"/>
      <c r="Q241" s="117"/>
      <c r="R241" s="117"/>
    </row>
    <row r="242" spans="1:18" ht="13.5" thickBot="1">
      <c r="A242" s="117"/>
      <c r="B242" s="119">
        <v>10440</v>
      </c>
      <c r="C242" s="231">
        <f>3.36*1000</f>
        <v>3360</v>
      </c>
      <c r="D242" s="144">
        <f>SUM(D237:D241)</f>
        <v>10400</v>
      </c>
      <c r="E242" s="117"/>
      <c r="F242" s="117"/>
      <c r="G242" s="117"/>
      <c r="H242" s="117"/>
      <c r="I242" s="117"/>
      <c r="J242" s="117"/>
      <c r="K242" s="117"/>
      <c r="L242" s="120"/>
      <c r="M242" s="119">
        <f>G239</f>
        <v>1820</v>
      </c>
      <c r="N242" s="117"/>
      <c r="O242" s="117"/>
      <c r="P242" s="117"/>
      <c r="Q242" s="117"/>
      <c r="R242" s="117"/>
    </row>
    <row r="243" spans="1:18" ht="13.5" thickBot="1">
      <c r="A243" s="117"/>
      <c r="B243" s="119">
        <v>8640</v>
      </c>
      <c r="C243" s="175">
        <f>SUM(C237:C242)</f>
        <v>12440</v>
      </c>
      <c r="D243" s="164">
        <f>D242/2</f>
        <v>5200</v>
      </c>
      <c r="E243" s="131" t="s">
        <v>56</v>
      </c>
      <c r="F243" s="117"/>
      <c r="G243" s="117"/>
      <c r="H243" s="117"/>
      <c r="I243" s="117"/>
      <c r="J243" s="117"/>
      <c r="K243" s="117"/>
      <c r="L243" s="144">
        <f>SUM(L237:L242)</f>
        <v>12780</v>
      </c>
      <c r="M243" s="119">
        <f>H241</f>
        <v>3040</v>
      </c>
      <c r="N243" s="117"/>
      <c r="O243" s="117"/>
      <c r="P243" s="117"/>
      <c r="Q243" s="117"/>
      <c r="R243" s="117"/>
    </row>
    <row r="244" spans="1:18" ht="13.5" thickBot="1">
      <c r="A244" s="117"/>
      <c r="B244" s="119">
        <v>8880</v>
      </c>
      <c r="C244" s="117"/>
      <c r="D244" s="55"/>
      <c r="E244" s="116"/>
      <c r="F244" s="117"/>
      <c r="G244" s="117"/>
      <c r="H244" s="117"/>
      <c r="I244" s="117"/>
      <c r="J244" s="117"/>
      <c r="K244" s="117"/>
      <c r="L244" s="117"/>
      <c r="M244" s="119">
        <f>I237</f>
        <v>0</v>
      </c>
      <c r="N244" s="117"/>
      <c r="O244" s="117"/>
      <c r="P244" s="117"/>
      <c r="Q244" s="117"/>
      <c r="R244" s="117"/>
    </row>
    <row r="245" spans="1:18" ht="13.5" thickBot="1">
      <c r="A245" s="117"/>
      <c r="B245" s="119">
        <v>9880</v>
      </c>
      <c r="C245" s="117"/>
      <c r="E245" s="119"/>
      <c r="F245" s="117"/>
      <c r="G245" s="117"/>
      <c r="H245" s="117"/>
      <c r="I245" s="117"/>
      <c r="J245" s="117"/>
      <c r="K245" s="117"/>
      <c r="L245" s="117"/>
      <c r="M245" s="119">
        <f>J237</f>
        <v>469000</v>
      </c>
      <c r="N245" s="117"/>
      <c r="O245" s="121">
        <f>O240</f>
        <v>1700</v>
      </c>
      <c r="P245" s="117" t="s">
        <v>115</v>
      </c>
      <c r="Q245" s="117"/>
      <c r="R245" s="117"/>
    </row>
    <row r="246" spans="1:18" ht="13.5" thickBot="1">
      <c r="A246" s="117"/>
      <c r="B246" s="119">
        <v>9700</v>
      </c>
      <c r="C246" s="117"/>
      <c r="E246" s="119"/>
      <c r="F246" s="117"/>
      <c r="G246" s="117"/>
      <c r="H246" s="117"/>
      <c r="I246" s="117"/>
      <c r="J246" s="117"/>
      <c r="K246" s="117"/>
      <c r="L246" s="117"/>
      <c r="M246" s="123">
        <f>K237</f>
        <v>3599000</v>
      </c>
      <c r="N246" s="117"/>
      <c r="O246" s="121"/>
      <c r="P246" s="117"/>
      <c r="Q246" s="117"/>
      <c r="R246" s="117"/>
    </row>
    <row r="247" spans="1:18" ht="13.5" thickBot="1">
      <c r="A247" s="117"/>
      <c r="B247" s="119">
        <v>9880</v>
      </c>
      <c r="C247" s="117"/>
      <c r="E247" s="124"/>
      <c r="F247" s="117"/>
      <c r="G247" s="117"/>
      <c r="H247" s="117"/>
      <c r="I247" s="117"/>
      <c r="J247" s="117"/>
      <c r="K247" s="117"/>
      <c r="L247" s="117"/>
      <c r="M247" s="124">
        <f>L243</f>
        <v>12780</v>
      </c>
      <c r="N247" s="117"/>
      <c r="O247" s="121">
        <f>M250</f>
        <v>4298220</v>
      </c>
      <c r="P247" s="117" t="s">
        <v>179</v>
      </c>
      <c r="Q247" s="117"/>
      <c r="R247" s="117"/>
    </row>
    <row r="248" spans="1:18" ht="13.5" thickBot="1">
      <c r="A248" s="117"/>
      <c r="B248" s="232">
        <v>6440</v>
      </c>
      <c r="C248" s="117"/>
      <c r="E248" s="121"/>
      <c r="M248" s="144">
        <f>SUM(M237:M247)</f>
        <v>4293020</v>
      </c>
      <c r="N248" s="117" t="s">
        <v>177</v>
      </c>
      <c r="O248" s="117"/>
      <c r="P248" s="117"/>
      <c r="Q248" s="117"/>
      <c r="R248" s="117"/>
    </row>
    <row r="249" spans="1:18" ht="13.5" thickBot="1">
      <c r="A249" s="117"/>
      <c r="B249" s="119">
        <v>6500</v>
      </c>
      <c r="C249" s="117"/>
      <c r="E249" s="123"/>
      <c r="F249" s="28"/>
      <c r="M249" s="124"/>
      <c r="N249" s="117"/>
      <c r="O249" s="117"/>
      <c r="P249" s="117"/>
      <c r="Q249" s="117"/>
      <c r="R249" s="117"/>
    </row>
    <row r="250" spans="1:18" ht="13.5" thickBot="1">
      <c r="A250" s="117"/>
      <c r="B250" s="123">
        <v>9580</v>
      </c>
      <c r="C250" s="117"/>
      <c r="E250" s="121"/>
      <c r="M250" s="144">
        <f>N240</f>
        <v>4298220</v>
      </c>
      <c r="N250" s="117" t="s">
        <v>179</v>
      </c>
      <c r="O250" s="117"/>
      <c r="P250" s="117"/>
      <c r="Q250" s="117"/>
      <c r="R250" s="117"/>
    </row>
    <row r="251" spans="1:6" ht="13.5" thickBot="1">
      <c r="A251" s="117"/>
      <c r="B251" s="123">
        <v>9360</v>
      </c>
      <c r="C251" s="117"/>
      <c r="F251" s="92"/>
    </row>
    <row r="252" spans="1:14" ht="13.5" thickBot="1">
      <c r="A252" s="117"/>
      <c r="B252" s="123">
        <v>10640</v>
      </c>
      <c r="C252" s="117"/>
      <c r="M252" s="228">
        <f>100*(M248/M250)</f>
        <v>99.87901968721935</v>
      </c>
      <c r="N252" s="180" t="s">
        <v>193</v>
      </c>
    </row>
    <row r="253" spans="1:14" ht="12.75">
      <c r="A253" s="117"/>
      <c r="B253" s="123"/>
      <c r="C253" s="117"/>
      <c r="N253" s="184" t="s">
        <v>178</v>
      </c>
    </row>
    <row r="254" spans="1:14" ht="12.75">
      <c r="A254" s="117"/>
      <c r="B254" s="123"/>
      <c r="C254" s="117"/>
      <c r="N254" s="169" t="s">
        <v>180</v>
      </c>
    </row>
    <row r="255" spans="1:3" ht="13.5" thickBot="1">
      <c r="A255" s="117"/>
      <c r="B255" s="124"/>
      <c r="C255" s="117"/>
    </row>
    <row r="256" spans="1:14" ht="13.5" thickBot="1">
      <c r="A256" s="117"/>
      <c r="B256" s="121">
        <f>SUM(B237:B255)</f>
        <v>165700</v>
      </c>
      <c r="C256" s="117"/>
      <c r="M256" s="228">
        <f>M250/(1000*S237)</f>
        <v>19.188482142857143</v>
      </c>
      <c r="N256" s="180" t="s">
        <v>194</v>
      </c>
    </row>
    <row r="257" spans="1:14" ht="12.75">
      <c r="A257" s="117"/>
      <c r="B257" s="137"/>
      <c r="C257" s="117"/>
      <c r="N257" s="169" t="s">
        <v>195</v>
      </c>
    </row>
    <row r="258" spans="1:3" ht="13.5" thickBot="1">
      <c r="A258" s="117"/>
      <c r="B258" s="137"/>
      <c r="C258" s="117"/>
    </row>
    <row r="259" spans="1:14" ht="13.5" thickBot="1">
      <c r="A259" s="117"/>
      <c r="B259" s="137"/>
      <c r="C259" s="117"/>
      <c r="M259" s="229">
        <f>M248</f>
        <v>4293020</v>
      </c>
      <c r="N259" s="169" t="s">
        <v>215</v>
      </c>
    </row>
    <row r="260" spans="1:3" ht="12.75">
      <c r="A260" s="117"/>
      <c r="B260" s="137"/>
      <c r="C260" s="117"/>
    </row>
    <row r="261" spans="1:3" ht="12.75">
      <c r="A261" s="117"/>
      <c r="B261" s="137"/>
      <c r="C261" s="117"/>
    </row>
    <row r="263" ht="12.75">
      <c r="A263" s="181" t="s">
        <v>190</v>
      </c>
    </row>
    <row r="264" ht="13.5" thickBot="1"/>
    <row r="265" spans="1:19" ht="13.5" thickBot="1">
      <c r="A265" s="53" t="s">
        <v>40</v>
      </c>
      <c r="B265" s="15" t="s">
        <v>0</v>
      </c>
      <c r="C265" s="16" t="s">
        <v>1</v>
      </c>
      <c r="D265" s="42" t="s">
        <v>2</v>
      </c>
      <c r="E265" s="142" t="s">
        <v>81</v>
      </c>
      <c r="F265" s="19" t="s">
        <v>4</v>
      </c>
      <c r="G265" s="20" t="s">
        <v>5</v>
      </c>
      <c r="H265" s="33" t="s">
        <v>6</v>
      </c>
      <c r="I265" s="109" t="s">
        <v>141</v>
      </c>
      <c r="J265" s="23" t="s">
        <v>8</v>
      </c>
      <c r="K265" s="24" t="s">
        <v>9</v>
      </c>
      <c r="L265" s="49" t="s">
        <v>14</v>
      </c>
      <c r="M265" s="1" t="s">
        <v>13</v>
      </c>
      <c r="N265" s="3" t="s">
        <v>11</v>
      </c>
      <c r="O265" s="50" t="s">
        <v>114</v>
      </c>
      <c r="P265" s="81" t="s">
        <v>113</v>
      </c>
      <c r="Q265" s="110" t="s">
        <v>142</v>
      </c>
      <c r="R265" s="111" t="s">
        <v>80</v>
      </c>
      <c r="S265" s="190" t="s">
        <v>196</v>
      </c>
    </row>
    <row r="266" spans="1:19" ht="13.5" thickBot="1">
      <c r="A266" s="114"/>
      <c r="B266" s="115">
        <v>10960</v>
      </c>
      <c r="C266" s="116">
        <v>2820</v>
      </c>
      <c r="D266" s="125">
        <v>10300</v>
      </c>
      <c r="E266" s="119">
        <v>6460</v>
      </c>
      <c r="F266" s="125">
        <v>8460</v>
      </c>
      <c r="G266" s="115">
        <v>3020</v>
      </c>
      <c r="H266" s="116">
        <v>3120</v>
      </c>
      <c r="I266" s="147">
        <v>0</v>
      </c>
      <c r="J266" s="147">
        <f>412*1000</f>
        <v>412000</v>
      </c>
      <c r="K266" s="148">
        <f>(4189+598)*1000</f>
        <v>4787000</v>
      </c>
      <c r="L266" s="119">
        <v>940</v>
      </c>
      <c r="M266" s="132">
        <f>B285</f>
        <v>151860</v>
      </c>
      <c r="N266" s="135">
        <f>D272</f>
        <v>10090</v>
      </c>
      <c r="O266" s="116"/>
      <c r="P266" s="149">
        <v>0</v>
      </c>
      <c r="Q266" s="147">
        <v>0</v>
      </c>
      <c r="R266" s="121">
        <v>0</v>
      </c>
      <c r="S266" s="1">
        <v>250.38</v>
      </c>
    </row>
    <row r="267" spans="1:18" ht="13.5" thickBot="1">
      <c r="A267" s="117"/>
      <c r="B267" s="118">
        <v>13480</v>
      </c>
      <c r="C267" s="119">
        <v>2000</v>
      </c>
      <c r="D267" s="126">
        <v>1640</v>
      </c>
      <c r="E267" s="123"/>
      <c r="F267" s="126">
        <v>10640</v>
      </c>
      <c r="G267" s="133"/>
      <c r="H267" s="119"/>
      <c r="I267" s="117"/>
      <c r="J267" s="117"/>
      <c r="K267" s="117"/>
      <c r="L267" s="119">
        <v>2520</v>
      </c>
      <c r="M267" s="126">
        <f>C271</f>
        <v>8385</v>
      </c>
      <c r="N267" s="118">
        <f>M277</f>
        <v>5409855</v>
      </c>
      <c r="O267" s="119"/>
      <c r="P267" s="117"/>
      <c r="Q267" s="117"/>
      <c r="R267" s="117"/>
    </row>
    <row r="268" spans="1:18" ht="13.5" thickBot="1">
      <c r="A268" s="117"/>
      <c r="B268" s="118">
        <v>12320</v>
      </c>
      <c r="C268" s="119">
        <v>2080</v>
      </c>
      <c r="D268" s="126">
        <v>8240</v>
      </c>
      <c r="E268" s="143"/>
      <c r="F268" s="130"/>
      <c r="G268" s="145">
        <f>G266</f>
        <v>3020</v>
      </c>
      <c r="H268" s="119"/>
      <c r="I268" s="117"/>
      <c r="J268" s="117"/>
      <c r="K268" s="117"/>
      <c r="L268" s="119">
        <v>2520</v>
      </c>
      <c r="M268" s="126">
        <f>D272</f>
        <v>10090</v>
      </c>
      <c r="N268" s="133"/>
      <c r="O268" s="120"/>
      <c r="P268" s="117"/>
      <c r="Q268" s="117"/>
      <c r="R268" s="117"/>
    </row>
    <row r="269" spans="1:18" ht="13.5" thickBot="1">
      <c r="A269" s="117"/>
      <c r="B269" s="118">
        <v>10100</v>
      </c>
      <c r="C269" s="119">
        <v>1440</v>
      </c>
      <c r="D269" s="119"/>
      <c r="E269" s="120"/>
      <c r="F269" s="144">
        <f>SUM(F266:F268)</f>
        <v>19100</v>
      </c>
      <c r="G269" s="117"/>
      <c r="H269" s="120"/>
      <c r="I269" s="117"/>
      <c r="J269" s="117"/>
      <c r="K269" s="117"/>
      <c r="L269" s="119">
        <v>2840</v>
      </c>
      <c r="M269" s="119">
        <f>E270</f>
        <v>6460</v>
      </c>
      <c r="N269" s="146">
        <f>N266+N267+N268</f>
        <v>5419945</v>
      </c>
      <c r="O269" s="144">
        <f>SUM(O266:O268)</f>
        <v>0</v>
      </c>
      <c r="P269" s="117"/>
      <c r="Q269" s="117"/>
      <c r="R269" s="117"/>
    </row>
    <row r="270" spans="1:18" ht="13.5" thickBot="1">
      <c r="A270" s="117"/>
      <c r="B270" s="118">
        <v>11000</v>
      </c>
      <c r="C270" s="120">
        <v>45</v>
      </c>
      <c r="D270" s="120"/>
      <c r="E270" s="144">
        <f>SUM(E266:E269)</f>
        <v>6460</v>
      </c>
      <c r="F270" s="117"/>
      <c r="G270" s="117"/>
      <c r="H270" s="146">
        <f>SUM(H266:H269)</f>
        <v>3120</v>
      </c>
      <c r="I270" s="117"/>
      <c r="J270" s="117"/>
      <c r="K270" s="117"/>
      <c r="L270" s="119"/>
      <c r="M270" s="119">
        <f>F269</f>
        <v>19100</v>
      </c>
      <c r="N270" s="117"/>
      <c r="O270" s="117"/>
      <c r="P270" s="117"/>
      <c r="Q270" s="117"/>
      <c r="R270" s="117"/>
    </row>
    <row r="271" spans="1:18" ht="13.5" thickBot="1">
      <c r="A271" s="117"/>
      <c r="B271" s="119">
        <v>11620</v>
      </c>
      <c r="C271" s="144">
        <f>SUM(C266:C270)</f>
        <v>8385</v>
      </c>
      <c r="D271" s="144">
        <f>SUM(D266:D270)</f>
        <v>20180</v>
      </c>
      <c r="E271" s="117"/>
      <c r="F271" s="117"/>
      <c r="G271" s="117"/>
      <c r="H271" s="117"/>
      <c r="I271" s="117"/>
      <c r="J271" s="117"/>
      <c r="K271" s="117"/>
      <c r="L271" s="120"/>
      <c r="M271" s="119">
        <f>G268</f>
        <v>3020</v>
      </c>
      <c r="N271" s="117"/>
      <c r="O271" s="117"/>
      <c r="P271" s="117"/>
      <c r="Q271" s="117"/>
      <c r="R271" s="117"/>
    </row>
    <row r="272" spans="1:18" ht="13.5" thickBot="1">
      <c r="A272" s="117"/>
      <c r="B272" s="119">
        <v>11860</v>
      </c>
      <c r="C272" s="117"/>
      <c r="D272" s="164">
        <f>D271/2</f>
        <v>10090</v>
      </c>
      <c r="E272" s="131" t="s">
        <v>56</v>
      </c>
      <c r="F272" s="117"/>
      <c r="G272" s="117"/>
      <c r="H272" s="117"/>
      <c r="I272" s="117"/>
      <c r="J272" s="117"/>
      <c r="K272" s="117"/>
      <c r="L272" s="144">
        <f>SUM(L266:L271)</f>
        <v>8820</v>
      </c>
      <c r="M272" s="119">
        <f>H270</f>
        <v>3120</v>
      </c>
      <c r="N272" s="117"/>
      <c r="O272" s="117"/>
      <c r="P272" s="117"/>
      <c r="Q272" s="117"/>
      <c r="R272" s="117"/>
    </row>
    <row r="273" spans="1:18" ht="13.5" thickBot="1">
      <c r="A273" s="117"/>
      <c r="B273" s="119">
        <v>13040</v>
      </c>
      <c r="C273" s="117"/>
      <c r="D273" s="55"/>
      <c r="E273" s="116"/>
      <c r="F273" s="117"/>
      <c r="G273" s="117"/>
      <c r="H273" s="117"/>
      <c r="I273" s="117"/>
      <c r="J273" s="117"/>
      <c r="K273" s="117"/>
      <c r="L273" s="117"/>
      <c r="M273" s="119">
        <f>I266</f>
        <v>0</v>
      </c>
      <c r="N273" s="117"/>
      <c r="O273" s="117"/>
      <c r="P273" s="117"/>
      <c r="Q273" s="117"/>
      <c r="R273" s="117"/>
    </row>
    <row r="274" spans="1:18" ht="13.5" thickBot="1">
      <c r="A274" s="117"/>
      <c r="B274" s="234">
        <v>11000</v>
      </c>
      <c r="C274" s="117"/>
      <c r="E274" s="119"/>
      <c r="F274" s="117"/>
      <c r="G274" s="117"/>
      <c r="H274" s="117"/>
      <c r="I274" s="117"/>
      <c r="J274" s="117"/>
      <c r="K274" s="117"/>
      <c r="L274" s="117"/>
      <c r="M274" s="119">
        <f>J266</f>
        <v>412000</v>
      </c>
      <c r="N274" s="117"/>
      <c r="O274" s="144">
        <f>O269</f>
        <v>0</v>
      </c>
      <c r="P274" s="117" t="s">
        <v>115</v>
      </c>
      <c r="Q274" s="117"/>
      <c r="R274" s="117"/>
    </row>
    <row r="275" spans="1:18" ht="13.5" thickBot="1">
      <c r="A275" s="117"/>
      <c r="B275" s="234">
        <v>10540</v>
      </c>
      <c r="C275" s="117"/>
      <c r="E275" s="119"/>
      <c r="F275" s="117"/>
      <c r="G275" s="117"/>
      <c r="H275" s="117"/>
      <c r="I275" s="117"/>
      <c r="J275" s="117"/>
      <c r="K275" s="117"/>
      <c r="L275" s="117"/>
      <c r="M275" s="123">
        <f>K266</f>
        <v>4787000</v>
      </c>
      <c r="N275" s="117"/>
      <c r="O275" s="121"/>
      <c r="P275" s="117"/>
      <c r="Q275" s="117"/>
      <c r="R275" s="117"/>
    </row>
    <row r="276" spans="1:18" ht="13.5" thickBot="1">
      <c r="A276" s="117"/>
      <c r="B276" s="234">
        <v>11200</v>
      </c>
      <c r="C276" s="117"/>
      <c r="E276" s="124"/>
      <c r="F276" s="117"/>
      <c r="G276" s="117"/>
      <c r="H276" s="117"/>
      <c r="I276" s="117"/>
      <c r="J276" s="117"/>
      <c r="K276" s="117"/>
      <c r="L276" s="117"/>
      <c r="M276" s="124">
        <f>L272</f>
        <v>8820</v>
      </c>
      <c r="N276" s="117"/>
      <c r="O276" s="144">
        <f>M279</f>
        <v>5419945</v>
      </c>
      <c r="P276" s="117" t="s">
        <v>179</v>
      </c>
      <c r="Q276" s="117"/>
      <c r="R276" s="117"/>
    </row>
    <row r="277" spans="1:18" ht="13.5" thickBot="1">
      <c r="A277" s="117"/>
      <c r="B277" s="235">
        <v>6840</v>
      </c>
      <c r="C277" s="117"/>
      <c r="E277" s="121"/>
      <c r="M277" s="144">
        <f>SUM(M266:M276)</f>
        <v>5409855</v>
      </c>
      <c r="N277" s="117" t="s">
        <v>177</v>
      </c>
      <c r="O277" s="117"/>
      <c r="P277" s="117"/>
      <c r="Q277" s="117"/>
      <c r="R277" s="117"/>
    </row>
    <row r="278" spans="1:18" ht="13.5" thickBot="1">
      <c r="A278" s="117"/>
      <c r="B278" s="234">
        <v>6100</v>
      </c>
      <c r="C278" s="117"/>
      <c r="E278" s="123"/>
      <c r="F278" s="28"/>
      <c r="M278" s="124"/>
      <c r="N278" s="117"/>
      <c r="O278" s="117"/>
      <c r="P278" s="117"/>
      <c r="Q278" s="117"/>
      <c r="R278" s="117"/>
    </row>
    <row r="279" spans="1:18" ht="13.5" thickBot="1">
      <c r="A279" s="117"/>
      <c r="B279" s="236">
        <v>11800</v>
      </c>
      <c r="C279" s="117"/>
      <c r="E279" s="121"/>
      <c r="M279" s="144">
        <f>N269</f>
        <v>5419945</v>
      </c>
      <c r="N279" s="117" t="s">
        <v>179</v>
      </c>
      <c r="O279" s="117"/>
      <c r="P279" s="117"/>
      <c r="Q279" s="117"/>
      <c r="R279" s="117"/>
    </row>
    <row r="280" spans="1:6" ht="13.5" thickBot="1">
      <c r="A280" s="117"/>
      <c r="B280" s="123"/>
      <c r="C280" s="117"/>
      <c r="F280" s="92"/>
    </row>
    <row r="281" spans="1:14" ht="13.5" thickBot="1">
      <c r="A281" s="117"/>
      <c r="B281" s="123"/>
      <c r="C281" s="117"/>
      <c r="M281" s="228">
        <f>100*(M277/M279)</f>
        <v>99.81383574925576</v>
      </c>
      <c r="N281" s="180" t="s">
        <v>193</v>
      </c>
    </row>
    <row r="282" spans="1:14" ht="12.75">
      <c r="A282" s="117"/>
      <c r="B282" s="123"/>
      <c r="C282" s="117"/>
      <c r="N282" s="184" t="s">
        <v>178</v>
      </c>
    </row>
    <row r="283" spans="1:14" ht="12.75">
      <c r="A283" s="117"/>
      <c r="B283" s="123"/>
      <c r="C283" s="117"/>
      <c r="N283" s="169" t="s">
        <v>180</v>
      </c>
    </row>
    <row r="284" spans="1:3" ht="13.5" thickBot="1">
      <c r="A284" s="117"/>
      <c r="B284" s="124"/>
      <c r="C284" s="117"/>
    </row>
    <row r="285" spans="1:14" ht="13.5" thickBot="1">
      <c r="A285" s="117"/>
      <c r="B285" s="144">
        <f>SUM(B266:B284)</f>
        <v>151860</v>
      </c>
      <c r="C285" s="117"/>
      <c r="M285" s="228">
        <f>M279/(1000*S266)</f>
        <v>21.646876747344038</v>
      </c>
      <c r="N285" s="180" t="s">
        <v>194</v>
      </c>
    </row>
    <row r="286" spans="1:14" ht="12.75">
      <c r="A286" s="117"/>
      <c r="B286" s="123"/>
      <c r="C286" s="117"/>
      <c r="N286" s="169" t="s">
        <v>195</v>
      </c>
    </row>
    <row r="287" spans="1:3" ht="13.5" thickBot="1">
      <c r="A287" s="117"/>
      <c r="B287" s="123"/>
      <c r="C287" s="117"/>
    </row>
    <row r="288" spans="1:14" ht="13.5" thickBot="1">
      <c r="A288" s="117"/>
      <c r="B288" s="124"/>
      <c r="C288" s="117"/>
      <c r="M288" s="229">
        <f>M277</f>
        <v>5409855</v>
      </c>
      <c r="N288" s="169" t="s">
        <v>215</v>
      </c>
    </row>
    <row r="289" spans="1:3" ht="13.5" thickBot="1">
      <c r="A289" s="117"/>
      <c r="B289" s="121"/>
      <c r="C289" s="117"/>
    </row>
    <row r="290" spans="1:3" ht="12.75">
      <c r="A290" s="117"/>
      <c r="B290" s="137"/>
      <c r="C290" s="117"/>
    </row>
    <row r="291" spans="1:3" ht="12.75">
      <c r="A291" s="117"/>
      <c r="B291" s="137"/>
      <c r="C291" s="117"/>
    </row>
    <row r="292" spans="1:3" ht="12.75">
      <c r="A292" s="117"/>
      <c r="B292" s="137"/>
      <c r="C292" s="117"/>
    </row>
    <row r="293" spans="1:3" ht="12.75">
      <c r="A293" s="117"/>
      <c r="B293" s="137"/>
      <c r="C293" s="117"/>
    </row>
    <row r="294" spans="1:3" ht="12.75">
      <c r="A294" s="117"/>
      <c r="B294" s="137"/>
      <c r="C294" s="117"/>
    </row>
    <row r="296" ht="12.75">
      <c r="A296" s="181" t="s">
        <v>191</v>
      </c>
    </row>
    <row r="297" ht="13.5" thickBot="1">
      <c r="P297" t="s">
        <v>160</v>
      </c>
    </row>
    <row r="298" spans="1:19" ht="13.5" thickBot="1">
      <c r="A298" s="53" t="s">
        <v>40</v>
      </c>
      <c r="B298" s="15" t="s">
        <v>0</v>
      </c>
      <c r="C298" s="16" t="s">
        <v>1</v>
      </c>
      <c r="D298" s="42" t="s">
        <v>2</v>
      </c>
      <c r="E298" s="142" t="s">
        <v>81</v>
      </c>
      <c r="F298" s="19" t="s">
        <v>4</v>
      </c>
      <c r="G298" s="20" t="s">
        <v>5</v>
      </c>
      <c r="H298" s="33" t="s">
        <v>6</v>
      </c>
      <c r="I298" s="109" t="s">
        <v>141</v>
      </c>
      <c r="J298" s="23" t="s">
        <v>8</v>
      </c>
      <c r="K298" s="24" t="s">
        <v>9</v>
      </c>
      <c r="L298" s="49" t="s">
        <v>14</v>
      </c>
      <c r="M298" s="1" t="s">
        <v>13</v>
      </c>
      <c r="N298" s="3" t="s">
        <v>11</v>
      </c>
      <c r="O298" s="50" t="s">
        <v>114</v>
      </c>
      <c r="P298" s="81" t="s">
        <v>113</v>
      </c>
      <c r="Q298" s="110" t="s">
        <v>142</v>
      </c>
      <c r="R298" s="111" t="s">
        <v>80</v>
      </c>
      <c r="S298" s="190" t="s">
        <v>196</v>
      </c>
    </row>
    <row r="299" spans="1:19" ht="13.5" thickBot="1">
      <c r="A299" s="114"/>
      <c r="B299" s="115">
        <v>8720</v>
      </c>
      <c r="C299" s="116">
        <v>2020</v>
      </c>
      <c r="D299" s="125">
        <v>7940</v>
      </c>
      <c r="E299" s="119">
        <v>17300</v>
      </c>
      <c r="F299" s="125">
        <v>10700</v>
      </c>
      <c r="G299" s="115">
        <v>2340</v>
      </c>
      <c r="H299" s="116">
        <v>2860</v>
      </c>
      <c r="I299" s="147"/>
      <c r="J299" s="147">
        <f>714*1000</f>
        <v>714000</v>
      </c>
      <c r="K299" s="148">
        <f>(4146+578)*1000</f>
        <v>4724000</v>
      </c>
      <c r="L299" s="119">
        <v>2880</v>
      </c>
      <c r="M299" s="132">
        <f>B315</f>
        <v>141680</v>
      </c>
      <c r="N299" s="135">
        <f>D305</f>
        <v>3970</v>
      </c>
      <c r="O299" s="116"/>
      <c r="P299" s="149">
        <v>940</v>
      </c>
      <c r="Q299" s="147">
        <v>0</v>
      </c>
      <c r="R299" s="121">
        <v>0</v>
      </c>
      <c r="S299" s="1">
        <v>209.03</v>
      </c>
    </row>
    <row r="300" spans="1:18" ht="13.5" thickBot="1">
      <c r="A300" s="117"/>
      <c r="B300" s="118">
        <v>11380</v>
      </c>
      <c r="C300" s="119">
        <v>2700</v>
      </c>
      <c r="D300" s="126"/>
      <c r="E300" s="123">
        <v>4960</v>
      </c>
      <c r="F300" s="126">
        <v>7280</v>
      </c>
      <c r="G300" s="133"/>
      <c r="H300" s="119"/>
      <c r="I300" s="117"/>
      <c r="J300" s="117"/>
      <c r="K300" s="117"/>
      <c r="L300" s="119">
        <v>1900</v>
      </c>
      <c r="M300" s="126">
        <f>C305</f>
        <v>17820</v>
      </c>
      <c r="N300" s="118">
        <f>M310</f>
        <v>5695550</v>
      </c>
      <c r="O300" s="119"/>
      <c r="P300" s="117"/>
      <c r="Q300" s="117"/>
      <c r="R300" s="117"/>
    </row>
    <row r="301" spans="1:18" ht="13.5" thickBot="1">
      <c r="A301" s="117"/>
      <c r="B301" s="118">
        <v>7020</v>
      </c>
      <c r="C301" s="119">
        <v>3020</v>
      </c>
      <c r="D301" s="126"/>
      <c r="E301" s="143">
        <v>3980</v>
      </c>
      <c r="F301" s="130">
        <v>9520</v>
      </c>
      <c r="G301" s="145">
        <f>G299</f>
        <v>2340</v>
      </c>
      <c r="H301" s="119"/>
      <c r="I301" s="117"/>
      <c r="J301" s="117"/>
      <c r="K301" s="117"/>
      <c r="L301" s="119">
        <v>2440</v>
      </c>
      <c r="M301" s="126">
        <f>D305</f>
        <v>3970</v>
      </c>
      <c r="N301" s="133"/>
      <c r="O301" s="120"/>
      <c r="P301" s="117"/>
      <c r="Q301" s="117"/>
      <c r="R301" s="117"/>
    </row>
    <row r="302" spans="1:18" ht="13.5" thickBot="1">
      <c r="A302" s="117"/>
      <c r="B302" s="118">
        <v>8980</v>
      </c>
      <c r="C302" s="119">
        <v>1060</v>
      </c>
      <c r="D302" s="119"/>
      <c r="E302" s="120"/>
      <c r="F302" s="231">
        <v>7540</v>
      </c>
      <c r="G302" s="117"/>
      <c r="H302" s="120"/>
      <c r="I302" s="117"/>
      <c r="J302" s="117"/>
      <c r="K302" s="117"/>
      <c r="L302" s="119">
        <v>880</v>
      </c>
      <c r="M302" s="119">
        <f>E303</f>
        <v>26240</v>
      </c>
      <c r="N302" s="146">
        <f>N299+N300+N301</f>
        <v>5699520</v>
      </c>
      <c r="O302" s="144">
        <f>SUM(O299:O301)</f>
        <v>0</v>
      </c>
      <c r="P302" s="117"/>
      <c r="Q302" s="117"/>
      <c r="R302" s="117"/>
    </row>
    <row r="303" spans="1:18" ht="13.5" thickBot="1">
      <c r="A303" s="117"/>
      <c r="B303" s="118">
        <v>8060</v>
      </c>
      <c r="C303" s="120">
        <v>3020</v>
      </c>
      <c r="D303" s="120"/>
      <c r="E303" s="144">
        <f>SUM(E299:E302)</f>
        <v>26240</v>
      </c>
      <c r="F303" s="237">
        <v>7540</v>
      </c>
      <c r="G303" s="117"/>
      <c r="H303" s="146">
        <f>SUM(H299:H302)</f>
        <v>2860</v>
      </c>
      <c r="I303" s="117"/>
      <c r="J303" s="117"/>
      <c r="K303" s="117"/>
      <c r="L303" s="119">
        <v>2980</v>
      </c>
      <c r="M303" s="119">
        <f>F306</f>
        <v>50620</v>
      </c>
      <c r="N303" s="117"/>
      <c r="O303" s="117"/>
      <c r="P303" s="117"/>
      <c r="Q303" s="117"/>
      <c r="R303" s="117"/>
    </row>
    <row r="304" spans="1:18" ht="13.5" thickBot="1">
      <c r="A304" s="117"/>
      <c r="B304" s="119">
        <v>10660</v>
      </c>
      <c r="C304" s="231">
        <v>6000</v>
      </c>
      <c r="D304" s="144">
        <f>SUM(D299:D303)</f>
        <v>7940</v>
      </c>
      <c r="E304" s="117"/>
      <c r="F304" s="237">
        <v>8040</v>
      </c>
      <c r="G304" s="117"/>
      <c r="H304" s="117"/>
      <c r="I304" s="117"/>
      <c r="J304" s="117"/>
      <c r="K304" s="117"/>
      <c r="L304" s="120"/>
      <c r="M304" s="119">
        <f>G301</f>
        <v>2340</v>
      </c>
      <c r="N304" s="117"/>
      <c r="O304" s="117"/>
      <c r="P304" s="117"/>
      <c r="Q304" s="117"/>
      <c r="R304" s="117"/>
    </row>
    <row r="305" spans="1:18" ht="13.5" thickBot="1">
      <c r="A305" s="117"/>
      <c r="B305" s="119">
        <v>11420</v>
      </c>
      <c r="C305" s="175">
        <f>SUM(C299:C304)</f>
        <v>17820</v>
      </c>
      <c r="D305" s="164">
        <f>D304/2</f>
        <v>3970</v>
      </c>
      <c r="E305" s="131" t="s">
        <v>56</v>
      </c>
      <c r="F305" s="117"/>
      <c r="G305" s="117"/>
      <c r="H305" s="117"/>
      <c r="I305" s="117"/>
      <c r="J305" s="117"/>
      <c r="K305" s="117"/>
      <c r="L305" s="144">
        <f>SUM(L299:L304)</f>
        <v>11080</v>
      </c>
      <c r="M305" s="119">
        <f>H303</f>
        <v>2860</v>
      </c>
      <c r="N305" s="117"/>
      <c r="O305" s="117"/>
      <c r="P305" s="117"/>
      <c r="Q305" s="117"/>
      <c r="R305" s="117"/>
    </row>
    <row r="306" spans="1:18" ht="13.5" thickBot="1">
      <c r="A306" s="117"/>
      <c r="B306" s="119">
        <v>11780</v>
      </c>
      <c r="C306" s="117"/>
      <c r="D306" s="55"/>
      <c r="E306" s="116"/>
      <c r="F306" s="175">
        <f>SUM(F299:F305)</f>
        <v>50620</v>
      </c>
      <c r="G306" s="117"/>
      <c r="H306" s="117"/>
      <c r="I306" s="117"/>
      <c r="J306" s="117"/>
      <c r="K306" s="117"/>
      <c r="L306" s="117"/>
      <c r="M306" s="119">
        <f>P299</f>
        <v>940</v>
      </c>
      <c r="N306" s="117"/>
      <c r="O306" s="117"/>
      <c r="P306" s="117"/>
      <c r="Q306" s="117"/>
      <c r="R306" s="117"/>
    </row>
    <row r="307" spans="1:18" ht="13.5" thickBot="1">
      <c r="A307" s="117"/>
      <c r="B307" s="119">
        <v>10920</v>
      </c>
      <c r="C307" s="117"/>
      <c r="E307" s="119"/>
      <c r="F307" s="117"/>
      <c r="G307" s="117"/>
      <c r="H307" s="117"/>
      <c r="I307" s="117"/>
      <c r="J307" s="117"/>
      <c r="K307" s="117"/>
      <c r="L307" s="117"/>
      <c r="M307" s="119">
        <f>J299</f>
        <v>714000</v>
      </c>
      <c r="N307" s="117"/>
      <c r="O307" s="121"/>
      <c r="P307" s="117" t="s">
        <v>115</v>
      </c>
      <c r="Q307" s="117"/>
      <c r="R307" s="117"/>
    </row>
    <row r="308" spans="1:18" ht="13.5" thickBot="1">
      <c r="A308" s="117"/>
      <c r="B308" s="119">
        <v>11880</v>
      </c>
      <c r="C308" s="117"/>
      <c r="E308" s="119"/>
      <c r="F308" s="117"/>
      <c r="G308" s="117"/>
      <c r="H308" s="117"/>
      <c r="I308" s="117"/>
      <c r="J308" s="117"/>
      <c r="K308" s="117"/>
      <c r="L308" s="117"/>
      <c r="M308" s="123">
        <f>K299</f>
        <v>4724000</v>
      </c>
      <c r="N308" s="117"/>
      <c r="O308" s="121"/>
      <c r="P308" s="117"/>
      <c r="Q308" s="117"/>
      <c r="R308" s="117"/>
    </row>
    <row r="309" spans="1:18" ht="13.5" thickBot="1">
      <c r="A309" s="117"/>
      <c r="B309" s="119">
        <v>9660</v>
      </c>
      <c r="C309" s="117"/>
      <c r="E309" s="124"/>
      <c r="F309" s="117"/>
      <c r="G309" s="117"/>
      <c r="H309" s="117"/>
      <c r="I309" s="117"/>
      <c r="J309" s="117"/>
      <c r="K309" s="117"/>
      <c r="L309" s="117"/>
      <c r="M309" s="124">
        <f>L305</f>
        <v>11080</v>
      </c>
      <c r="N309" s="117"/>
      <c r="O309" s="121">
        <f>M312</f>
        <v>5699520</v>
      </c>
      <c r="P309" s="117" t="s">
        <v>179</v>
      </c>
      <c r="Q309" s="117"/>
      <c r="R309" s="117"/>
    </row>
    <row r="310" spans="1:18" ht="13.5" thickBot="1">
      <c r="A310" s="117"/>
      <c r="B310" s="232">
        <v>9980</v>
      </c>
      <c r="C310" s="117"/>
      <c r="E310" s="121"/>
      <c r="M310" s="144">
        <f>SUM(M299:M309)</f>
        <v>5695550</v>
      </c>
      <c r="N310" s="117" t="s">
        <v>177</v>
      </c>
      <c r="O310" s="117"/>
      <c r="P310" s="117"/>
      <c r="Q310" s="117"/>
      <c r="R310" s="117"/>
    </row>
    <row r="311" spans="1:18" ht="13.5" thickBot="1">
      <c r="A311" s="117"/>
      <c r="B311" s="119">
        <v>13620</v>
      </c>
      <c r="C311" s="117"/>
      <c r="E311" s="123"/>
      <c r="F311" s="28"/>
      <c r="M311" s="124"/>
      <c r="N311" s="117"/>
      <c r="O311" s="117"/>
      <c r="P311" s="117"/>
      <c r="Q311" s="117"/>
      <c r="R311" s="117"/>
    </row>
    <row r="312" spans="1:18" ht="13.5" thickBot="1">
      <c r="A312" s="117"/>
      <c r="B312" s="123">
        <v>7600</v>
      </c>
      <c r="C312" s="117"/>
      <c r="E312" s="121"/>
      <c r="M312" s="144">
        <f>N302</f>
        <v>5699520</v>
      </c>
      <c r="N312" s="117" t="s">
        <v>179</v>
      </c>
      <c r="O312" s="117"/>
      <c r="P312" s="117"/>
      <c r="Q312" s="117"/>
      <c r="R312" s="117"/>
    </row>
    <row r="313" spans="1:6" ht="13.5" thickBot="1">
      <c r="A313" s="117"/>
      <c r="B313" s="123"/>
      <c r="C313" s="117"/>
      <c r="F313" s="92"/>
    </row>
    <row r="314" spans="1:14" ht="13.5" thickBot="1">
      <c r="A314" s="117"/>
      <c r="B314" s="123"/>
      <c r="C314" s="117"/>
      <c r="M314" s="228">
        <f>100*(M310/M312)</f>
        <v>99.93034501150973</v>
      </c>
      <c r="N314" s="180" t="s">
        <v>193</v>
      </c>
    </row>
    <row r="315" spans="1:14" ht="12.75">
      <c r="A315" s="117"/>
      <c r="B315" s="233">
        <f>SUM(B299:B314)</f>
        <v>141680</v>
      </c>
      <c r="C315" s="117"/>
      <c r="N315" s="184" t="s">
        <v>178</v>
      </c>
    </row>
    <row r="316" spans="1:14" ht="12.75">
      <c r="A316" s="117"/>
      <c r="B316" s="123"/>
      <c r="C316" s="117"/>
      <c r="N316" s="169" t="s">
        <v>180</v>
      </c>
    </row>
    <row r="317" spans="1:3" ht="13.5" thickBot="1">
      <c r="A317" s="117"/>
      <c r="B317" s="124"/>
      <c r="C317" s="117"/>
    </row>
    <row r="318" spans="1:3" ht="13.5" thickBot="1">
      <c r="A318" s="117"/>
      <c r="B318" s="121"/>
      <c r="C318" s="117"/>
    </row>
    <row r="319" spans="1:14" ht="13.5" thickBot="1">
      <c r="A319" s="117"/>
      <c r="B319" s="123"/>
      <c r="C319" s="117"/>
      <c r="M319" s="228">
        <f>M312/(1000*S299)</f>
        <v>27.26651676792805</v>
      </c>
      <c r="N319" s="180" t="s">
        <v>194</v>
      </c>
    </row>
    <row r="320" spans="1:14" ht="12.75">
      <c r="A320" s="117"/>
      <c r="B320" s="123"/>
      <c r="C320" s="117"/>
      <c r="N320" s="169" t="s">
        <v>195</v>
      </c>
    </row>
    <row r="321" spans="1:3" ht="13.5" thickBot="1">
      <c r="A321" s="117"/>
      <c r="B321" s="124"/>
      <c r="C321" s="117"/>
    </row>
    <row r="322" spans="1:14" ht="13.5" thickBot="1">
      <c r="A322" s="117"/>
      <c r="B322" s="121"/>
      <c r="C322" s="117"/>
      <c r="M322" s="230">
        <f>M310</f>
        <v>5695550</v>
      </c>
      <c r="N322" s="169" t="s">
        <v>215</v>
      </c>
    </row>
    <row r="323" spans="1:3" ht="12.75">
      <c r="A323" s="117"/>
      <c r="B323" s="137"/>
      <c r="C323" s="117"/>
    </row>
    <row r="324" spans="1:3" ht="12.75">
      <c r="A324" s="117"/>
      <c r="B324" s="137"/>
      <c r="C324" s="117"/>
    </row>
    <row r="325" spans="1:3" ht="12.75">
      <c r="A325" s="117"/>
      <c r="B325" s="137"/>
      <c r="C325" s="117"/>
    </row>
    <row r="326" spans="1:3" ht="12.75">
      <c r="A326" s="117"/>
      <c r="B326" s="137"/>
      <c r="C326" s="117"/>
    </row>
    <row r="327" spans="1:3" ht="12.75">
      <c r="A327" s="117"/>
      <c r="B327" s="137"/>
      <c r="C327" s="117"/>
    </row>
    <row r="329" ht="12.75">
      <c r="A329" s="181" t="s">
        <v>192</v>
      </c>
    </row>
    <row r="330" ht="13.5" thickBot="1">
      <c r="P330" t="s">
        <v>160</v>
      </c>
    </row>
    <row r="331" spans="1:19" ht="13.5" thickBot="1">
      <c r="A331" s="53" t="s">
        <v>40</v>
      </c>
      <c r="B331" s="15" t="s">
        <v>0</v>
      </c>
      <c r="C331" s="16" t="s">
        <v>1</v>
      </c>
      <c r="D331" s="42" t="s">
        <v>2</v>
      </c>
      <c r="E331" s="142" t="s">
        <v>81</v>
      </c>
      <c r="F331" s="19" t="s">
        <v>4</v>
      </c>
      <c r="G331" s="20" t="s">
        <v>5</v>
      </c>
      <c r="H331" s="33" t="s">
        <v>6</v>
      </c>
      <c r="I331" s="109" t="s">
        <v>141</v>
      </c>
      <c r="J331" s="23" t="s">
        <v>8</v>
      </c>
      <c r="K331" s="24" t="s">
        <v>9</v>
      </c>
      <c r="L331" s="49" t="s">
        <v>14</v>
      </c>
      <c r="M331" s="1" t="s">
        <v>13</v>
      </c>
      <c r="N331" s="3" t="s">
        <v>11</v>
      </c>
      <c r="O331" s="50" t="s">
        <v>114</v>
      </c>
      <c r="P331" s="81" t="s">
        <v>113</v>
      </c>
      <c r="Q331" s="110" t="s">
        <v>142</v>
      </c>
      <c r="R331" s="111" t="s">
        <v>80</v>
      </c>
      <c r="S331" s="190" t="s">
        <v>196</v>
      </c>
    </row>
    <row r="332" spans="1:19" ht="13.5" thickBot="1">
      <c r="A332" s="114">
        <v>0</v>
      </c>
      <c r="B332" s="115">
        <v>5660</v>
      </c>
      <c r="C332" s="116">
        <v>2380</v>
      </c>
      <c r="D332" s="125">
        <v>8160</v>
      </c>
      <c r="E332" s="119"/>
      <c r="F332" s="125">
        <v>11200</v>
      </c>
      <c r="G332" s="115">
        <v>1900</v>
      </c>
      <c r="H332" s="116">
        <v>3060</v>
      </c>
      <c r="I332" s="147"/>
      <c r="J332" s="147">
        <f>706*1000</f>
        <v>706000</v>
      </c>
      <c r="K332" s="148">
        <f>(3747+386)*1000</f>
        <v>4133000</v>
      </c>
      <c r="L332" s="119">
        <v>2500</v>
      </c>
      <c r="M332" s="132">
        <f>B346</f>
        <v>110100</v>
      </c>
      <c r="N332" s="135">
        <f>D338</f>
        <v>4080</v>
      </c>
      <c r="O332" s="116"/>
      <c r="P332" s="149">
        <v>0</v>
      </c>
      <c r="Q332" s="147">
        <v>0</v>
      </c>
      <c r="R332" s="121">
        <v>0</v>
      </c>
      <c r="S332" s="1">
        <v>238.28</v>
      </c>
    </row>
    <row r="333" spans="1:18" ht="13.5" thickBot="1">
      <c r="A333" s="117"/>
      <c r="B333" s="118">
        <v>9700</v>
      </c>
      <c r="C333" s="119">
        <v>1680</v>
      </c>
      <c r="D333" s="126"/>
      <c r="E333" s="123"/>
      <c r="F333" s="126">
        <v>5260</v>
      </c>
      <c r="G333" s="133"/>
      <c r="H333" s="119"/>
      <c r="I333" s="117"/>
      <c r="J333" s="117"/>
      <c r="K333" s="117"/>
      <c r="L333" s="119">
        <v>2940</v>
      </c>
      <c r="M333" s="126">
        <f>C337</f>
        <v>7920</v>
      </c>
      <c r="N333" s="118">
        <f>M343</f>
        <v>5001960</v>
      </c>
      <c r="O333" s="119"/>
      <c r="P333" s="117"/>
      <c r="Q333" s="117"/>
      <c r="R333" s="117"/>
    </row>
    <row r="334" spans="1:18" ht="13.5" thickBot="1">
      <c r="A334" s="117"/>
      <c r="B334" s="118">
        <v>8480</v>
      </c>
      <c r="C334" s="119">
        <v>2860</v>
      </c>
      <c r="D334" s="126"/>
      <c r="E334" s="143"/>
      <c r="F334" s="130">
        <v>10540</v>
      </c>
      <c r="G334" s="145">
        <f>G332</f>
        <v>1900</v>
      </c>
      <c r="H334" s="119"/>
      <c r="I334" s="117"/>
      <c r="J334" s="117"/>
      <c r="K334" s="117"/>
      <c r="L334" s="119">
        <v>3460</v>
      </c>
      <c r="M334" s="126">
        <f>D338</f>
        <v>4080</v>
      </c>
      <c r="N334" s="133"/>
      <c r="O334" s="120"/>
      <c r="P334" s="117"/>
      <c r="Q334" s="117"/>
      <c r="R334" s="117"/>
    </row>
    <row r="335" spans="1:18" ht="13.5" thickBot="1">
      <c r="A335" s="117"/>
      <c r="B335" s="118">
        <v>5520</v>
      </c>
      <c r="C335" s="119">
        <v>2340</v>
      </c>
      <c r="D335" s="119"/>
      <c r="E335" s="120"/>
      <c r="F335" s="144">
        <f>SUM(F332:F334)</f>
        <v>27000</v>
      </c>
      <c r="G335" s="117"/>
      <c r="H335" s="120"/>
      <c r="I335" s="117"/>
      <c r="J335" s="117"/>
      <c r="K335" s="117"/>
      <c r="L335" s="119"/>
      <c r="M335" s="119">
        <f>E336</f>
        <v>0</v>
      </c>
      <c r="N335" s="146">
        <f>N332+N333+N334</f>
        <v>5006040</v>
      </c>
      <c r="O335" s="144">
        <f>SUM(O332:O334)</f>
        <v>0</v>
      </c>
      <c r="P335" s="117"/>
      <c r="Q335" s="117"/>
      <c r="R335" s="117"/>
    </row>
    <row r="336" spans="1:18" ht="13.5" thickBot="1">
      <c r="A336" s="117"/>
      <c r="B336" s="118">
        <v>7740</v>
      </c>
      <c r="C336" s="120"/>
      <c r="D336" s="120"/>
      <c r="E336" s="144">
        <f>SUM(E332:E335)</f>
        <v>0</v>
      </c>
      <c r="F336" s="117"/>
      <c r="G336" s="117"/>
      <c r="H336" s="146">
        <f>SUM(H332:H335)</f>
        <v>3060</v>
      </c>
      <c r="I336" s="117"/>
      <c r="J336" s="117"/>
      <c r="K336" s="117"/>
      <c r="L336" s="119"/>
      <c r="M336" s="119">
        <f>F335</f>
        <v>27000</v>
      </c>
      <c r="N336" s="117"/>
      <c r="O336" s="117"/>
      <c r="P336" s="117"/>
      <c r="Q336" s="117"/>
      <c r="R336" s="117"/>
    </row>
    <row r="337" spans="1:18" ht="13.5" thickBot="1">
      <c r="A337" s="117"/>
      <c r="B337" s="119">
        <v>7920</v>
      </c>
      <c r="C337" s="144">
        <f>SUM(B337)</f>
        <v>7920</v>
      </c>
      <c r="D337" s="144">
        <f>SUM(D332:D336)</f>
        <v>8160</v>
      </c>
      <c r="E337" s="117"/>
      <c r="F337" s="117"/>
      <c r="G337" s="117"/>
      <c r="H337" s="117"/>
      <c r="I337" s="117"/>
      <c r="J337" s="117"/>
      <c r="K337" s="117"/>
      <c r="L337" s="120"/>
      <c r="M337" s="119">
        <f>G334</f>
        <v>1900</v>
      </c>
      <c r="N337" s="117"/>
      <c r="O337" s="117"/>
      <c r="P337" s="117"/>
      <c r="Q337" s="117"/>
      <c r="R337" s="117"/>
    </row>
    <row r="338" spans="1:18" ht="13.5" thickBot="1">
      <c r="A338" s="117"/>
      <c r="B338" s="119">
        <v>8620</v>
      </c>
      <c r="C338" s="117"/>
      <c r="D338" s="164">
        <f>D337/2</f>
        <v>4080</v>
      </c>
      <c r="E338" s="131" t="s">
        <v>56</v>
      </c>
      <c r="F338" s="117"/>
      <c r="G338" s="117"/>
      <c r="H338" s="117"/>
      <c r="I338" s="117"/>
      <c r="J338" s="117"/>
      <c r="K338" s="117"/>
      <c r="L338" s="144">
        <f>SUM(L332:L337)</f>
        <v>8900</v>
      </c>
      <c r="M338" s="119">
        <f>H336</f>
        <v>3060</v>
      </c>
      <c r="N338" s="117"/>
      <c r="O338" s="117"/>
      <c r="P338" s="117"/>
      <c r="Q338" s="117"/>
      <c r="R338" s="117"/>
    </row>
    <row r="339" spans="1:18" ht="13.5" thickBot="1">
      <c r="A339" s="117"/>
      <c r="B339" s="119">
        <v>9800</v>
      </c>
      <c r="C339" s="117"/>
      <c r="D339" s="55"/>
      <c r="E339" s="116"/>
      <c r="F339" s="117"/>
      <c r="G339" s="117"/>
      <c r="H339" s="117"/>
      <c r="I339" s="117"/>
      <c r="J339" s="117"/>
      <c r="K339" s="117"/>
      <c r="L339" s="117"/>
      <c r="M339" s="119">
        <f>I332</f>
        <v>0</v>
      </c>
      <c r="N339" s="117"/>
      <c r="O339" s="117"/>
      <c r="P339" s="117"/>
      <c r="Q339" s="117"/>
      <c r="R339" s="117"/>
    </row>
    <row r="340" spans="1:18" ht="13.5" thickBot="1">
      <c r="A340" s="117"/>
      <c r="B340" s="119">
        <v>9800</v>
      </c>
      <c r="C340" s="117"/>
      <c r="E340" s="119"/>
      <c r="F340" s="117"/>
      <c r="G340" s="117"/>
      <c r="H340" s="117"/>
      <c r="I340" s="117"/>
      <c r="J340" s="117"/>
      <c r="K340" s="117"/>
      <c r="L340" s="117"/>
      <c r="M340" s="119">
        <f>J332</f>
        <v>706000</v>
      </c>
      <c r="N340" s="117"/>
      <c r="O340" s="121"/>
      <c r="P340" s="117" t="s">
        <v>115</v>
      </c>
      <c r="Q340" s="117"/>
      <c r="R340" s="117"/>
    </row>
    <row r="341" spans="1:18" ht="13.5" thickBot="1">
      <c r="A341" s="117"/>
      <c r="B341" s="119">
        <v>10420</v>
      </c>
      <c r="C341" s="117"/>
      <c r="E341" s="119"/>
      <c r="F341" s="117"/>
      <c r="G341" s="117"/>
      <c r="H341" s="117"/>
      <c r="I341" s="117"/>
      <c r="J341" s="117"/>
      <c r="K341" s="117"/>
      <c r="L341" s="117"/>
      <c r="M341" s="123">
        <f>K332</f>
        <v>4133000</v>
      </c>
      <c r="N341" s="117"/>
      <c r="O341" s="121"/>
      <c r="P341" s="117"/>
      <c r="Q341" s="117"/>
      <c r="R341" s="117"/>
    </row>
    <row r="342" spans="1:18" ht="13.5" thickBot="1">
      <c r="A342" s="117"/>
      <c r="B342" s="119">
        <v>13120</v>
      </c>
      <c r="C342" s="117"/>
      <c r="E342" s="124"/>
      <c r="F342" s="117"/>
      <c r="G342" s="117"/>
      <c r="H342" s="117"/>
      <c r="I342" s="117"/>
      <c r="J342" s="117"/>
      <c r="K342" s="117"/>
      <c r="L342" s="117"/>
      <c r="M342" s="124">
        <f>L338</f>
        <v>8900</v>
      </c>
      <c r="N342" s="117"/>
      <c r="O342" s="121"/>
      <c r="P342" s="117" t="s">
        <v>179</v>
      </c>
      <c r="Q342" s="117"/>
      <c r="R342" s="117"/>
    </row>
    <row r="343" spans="1:18" ht="13.5" thickBot="1">
      <c r="A343" s="117"/>
      <c r="B343" s="232">
        <v>13320</v>
      </c>
      <c r="C343" s="117"/>
      <c r="E343" s="121"/>
      <c r="M343" s="144">
        <f>SUM(M332:M342)</f>
        <v>5001960</v>
      </c>
      <c r="N343" s="117" t="s">
        <v>177</v>
      </c>
      <c r="O343" s="117"/>
      <c r="P343" s="117"/>
      <c r="Q343" s="117"/>
      <c r="R343" s="117"/>
    </row>
    <row r="344" spans="1:18" ht="13.5" thickBot="1">
      <c r="A344" s="117"/>
      <c r="B344" s="119"/>
      <c r="C344" s="117"/>
      <c r="E344" s="123"/>
      <c r="F344" s="28"/>
      <c r="M344" s="124"/>
      <c r="N344" s="117"/>
      <c r="O344" s="117"/>
      <c r="P344" s="117"/>
      <c r="Q344" s="117"/>
      <c r="R344" s="117"/>
    </row>
    <row r="345" spans="1:18" ht="13.5" thickBot="1">
      <c r="A345" s="117"/>
      <c r="B345" s="123"/>
      <c r="C345" s="117"/>
      <c r="E345" s="121"/>
      <c r="M345" s="144">
        <f>N335</f>
        <v>5006040</v>
      </c>
      <c r="N345" s="117" t="s">
        <v>179</v>
      </c>
      <c r="O345" s="117"/>
      <c r="P345" s="117"/>
      <c r="Q345" s="117"/>
      <c r="R345" s="117"/>
    </row>
    <row r="346" spans="1:6" ht="13.5" thickBot="1">
      <c r="A346" s="117"/>
      <c r="B346" s="233">
        <f>SUM(B332:B345)</f>
        <v>110100</v>
      </c>
      <c r="C346" s="117"/>
      <c r="F346" s="92"/>
    </row>
    <row r="347" spans="1:14" ht="13.5" thickBot="1">
      <c r="A347" s="117"/>
      <c r="B347" s="123"/>
      <c r="C347" s="117"/>
      <c r="M347" s="228">
        <f>100*(M343/M345)</f>
        <v>99.91849845386773</v>
      </c>
      <c r="N347" s="180" t="s">
        <v>193</v>
      </c>
    </row>
    <row r="348" spans="1:14" ht="12.75">
      <c r="A348" s="117"/>
      <c r="B348" s="123"/>
      <c r="C348" s="117"/>
      <c r="N348" s="184" t="s">
        <v>178</v>
      </c>
    </row>
    <row r="349" spans="1:14" ht="12.75">
      <c r="A349" s="117"/>
      <c r="B349" s="123"/>
      <c r="C349" s="117"/>
      <c r="N349" s="169" t="s">
        <v>180</v>
      </c>
    </row>
    <row r="350" spans="1:3" ht="13.5" thickBot="1">
      <c r="A350" s="117"/>
      <c r="B350" s="124"/>
      <c r="C350" s="117"/>
    </row>
    <row r="351" spans="1:14" ht="13.5" thickBot="1">
      <c r="A351" s="117"/>
      <c r="B351" s="121"/>
      <c r="C351" s="117"/>
      <c r="M351" s="228">
        <f>M345/(1000*S332)</f>
        <v>21.009064965586706</v>
      </c>
      <c r="N351" s="180" t="s">
        <v>194</v>
      </c>
    </row>
    <row r="352" spans="1:14" ht="12.75">
      <c r="A352" s="117"/>
      <c r="B352" s="123"/>
      <c r="C352" s="117"/>
      <c r="N352" s="169" t="s">
        <v>195</v>
      </c>
    </row>
    <row r="353" spans="1:3" ht="13.5" thickBot="1">
      <c r="A353" s="117"/>
      <c r="B353" s="123"/>
      <c r="C353" s="117"/>
    </row>
    <row r="354" spans="1:14" ht="13.5" thickBot="1">
      <c r="A354" s="117"/>
      <c r="B354" s="124"/>
      <c r="C354" s="117"/>
      <c r="M354" s="229">
        <f>M343</f>
        <v>5001960</v>
      </c>
      <c r="N354" s="169" t="s">
        <v>215</v>
      </c>
    </row>
    <row r="355" spans="1:3" ht="13.5" thickBot="1">
      <c r="A355" s="117"/>
      <c r="B355" s="121"/>
      <c r="C355" s="117"/>
    </row>
    <row r="359" s="173" customFormat="1" ht="12.75">
      <c r="A359" s="172"/>
    </row>
    <row r="360" spans="1:25" ht="69" customHeight="1">
      <c r="A360" s="192" t="s">
        <v>161</v>
      </c>
      <c r="B360" s="193" t="s">
        <v>40</v>
      </c>
      <c r="C360" s="194" t="s">
        <v>0</v>
      </c>
      <c r="D360" s="195" t="s">
        <v>1</v>
      </c>
      <c r="E360" s="196" t="s">
        <v>174</v>
      </c>
      <c r="F360" s="197" t="s">
        <v>81</v>
      </c>
      <c r="G360" s="198" t="s">
        <v>56</v>
      </c>
      <c r="H360" s="199" t="s">
        <v>4</v>
      </c>
      <c r="I360" s="200" t="s">
        <v>5</v>
      </c>
      <c r="J360" s="201" t="s">
        <v>6</v>
      </c>
      <c r="K360" s="202" t="s">
        <v>141</v>
      </c>
      <c r="L360" s="203" t="s">
        <v>8</v>
      </c>
      <c r="M360" s="204" t="s">
        <v>9</v>
      </c>
      <c r="N360" s="205" t="s">
        <v>14</v>
      </c>
      <c r="O360" s="212" t="s">
        <v>216</v>
      </c>
      <c r="P360" s="220" t="s">
        <v>217</v>
      </c>
      <c r="Q360" s="206" t="s">
        <v>114</v>
      </c>
      <c r="R360" s="207" t="s">
        <v>113</v>
      </c>
      <c r="S360" s="208" t="s">
        <v>142</v>
      </c>
      <c r="T360" s="209" t="s">
        <v>80</v>
      </c>
      <c r="U360" s="210" t="s">
        <v>208</v>
      </c>
      <c r="V360" s="211" t="s">
        <v>196</v>
      </c>
      <c r="W360" s="192" t="s">
        <v>210</v>
      </c>
      <c r="X360" s="192" t="s">
        <v>212</v>
      </c>
      <c r="Y360" s="226" t="s">
        <v>218</v>
      </c>
    </row>
    <row r="361" spans="1:25" ht="12.75">
      <c r="A361" s="172" t="s">
        <v>162</v>
      </c>
      <c r="B361" s="171">
        <f>A4</f>
        <v>0</v>
      </c>
      <c r="C361" s="171">
        <f>B15</f>
        <v>101660</v>
      </c>
      <c r="D361" s="171">
        <f>C9</f>
        <v>5860</v>
      </c>
      <c r="E361" s="171">
        <f>D9</f>
        <v>8160</v>
      </c>
      <c r="F361" s="171">
        <f>E8</f>
        <v>4140</v>
      </c>
      <c r="G361" s="171">
        <f>E15</f>
        <v>0</v>
      </c>
      <c r="H361" s="171">
        <f>F9</f>
        <v>24680</v>
      </c>
      <c r="I361" s="171">
        <f>G6</f>
        <v>2280</v>
      </c>
      <c r="J361" s="171">
        <f>H8</f>
        <v>3040</v>
      </c>
      <c r="K361" s="171">
        <f>I4</f>
        <v>0</v>
      </c>
      <c r="L361" s="171">
        <f>J4</f>
        <v>416344</v>
      </c>
      <c r="M361" s="171">
        <f>K4</f>
        <v>2226000</v>
      </c>
      <c r="N361" s="171">
        <f>L10</f>
        <v>9920</v>
      </c>
      <c r="O361" s="171">
        <f>M16</f>
        <v>2799044</v>
      </c>
      <c r="P361" s="221">
        <f>N7</f>
        <v>2805504</v>
      </c>
      <c r="Q361" s="171">
        <f>O7</f>
        <v>2380</v>
      </c>
      <c r="R361" s="171">
        <f>P4</f>
        <v>1040</v>
      </c>
      <c r="S361" s="171">
        <f>Q4</f>
        <v>0</v>
      </c>
      <c r="T361" s="171">
        <f>R4</f>
        <v>0</v>
      </c>
      <c r="U361" s="238">
        <f aca="true" t="shared" si="0" ref="U361:U372">100*(O361/P361)</f>
        <v>99.76973834291451</v>
      </c>
      <c r="V361" s="171">
        <f>S4</f>
        <v>138.1</v>
      </c>
      <c r="W361" s="243">
        <f>M24</f>
        <v>20.31501810282404</v>
      </c>
      <c r="X361" s="171">
        <v>20</v>
      </c>
      <c r="Y361" s="76"/>
    </row>
    <row r="362" spans="1:25" ht="12.75">
      <c r="A362" s="172" t="s">
        <v>163</v>
      </c>
      <c r="B362" s="171">
        <f>A31</f>
        <v>0</v>
      </c>
      <c r="C362" s="171">
        <f>B42</f>
        <v>85980</v>
      </c>
      <c r="D362" s="171">
        <f>C36</f>
        <v>18860</v>
      </c>
      <c r="E362" s="171">
        <f>D36</f>
        <v>0</v>
      </c>
      <c r="F362" s="171">
        <f>E35</f>
        <v>4460</v>
      </c>
      <c r="G362" s="171">
        <f>E44</f>
        <v>0</v>
      </c>
      <c r="H362" s="171">
        <f>F9</f>
        <v>24680</v>
      </c>
      <c r="I362" s="171">
        <f>G33</f>
        <v>2600</v>
      </c>
      <c r="J362" s="171">
        <f>H35</f>
        <v>2960</v>
      </c>
      <c r="K362" s="171">
        <f>I31</f>
        <v>0</v>
      </c>
      <c r="L362" s="171">
        <f>J31</f>
        <v>339288</v>
      </c>
      <c r="M362" s="171">
        <f>K31</f>
        <v>1973000</v>
      </c>
      <c r="N362" s="171">
        <f>L37</f>
        <v>3680</v>
      </c>
      <c r="O362" s="171">
        <f>M42</f>
        <v>2446568</v>
      </c>
      <c r="P362" s="221">
        <f>N34</f>
        <v>2446568</v>
      </c>
      <c r="Q362" s="171">
        <f>O34</f>
        <v>0</v>
      </c>
      <c r="R362" s="171">
        <f>P31</f>
        <v>0</v>
      </c>
      <c r="S362" s="171">
        <f>Q31</f>
        <v>0</v>
      </c>
      <c r="T362" s="171">
        <f>R31</f>
        <v>0</v>
      </c>
      <c r="U362" s="239">
        <f t="shared" si="0"/>
        <v>100</v>
      </c>
      <c r="V362" s="171">
        <f>S31</f>
        <v>137.4</v>
      </c>
      <c r="W362" s="243">
        <f>M50</f>
        <v>17.806171761280932</v>
      </c>
      <c r="X362" s="171">
        <v>20</v>
      </c>
      <c r="Y362" s="76"/>
    </row>
    <row r="363" spans="1:25" ht="12.75">
      <c r="A363" s="172" t="s">
        <v>164</v>
      </c>
      <c r="B363" s="171">
        <f>A59</f>
        <v>941</v>
      </c>
      <c r="C363" s="171">
        <f>B72</f>
        <v>111080</v>
      </c>
      <c r="D363" s="171">
        <f>C64</f>
        <v>19000</v>
      </c>
      <c r="E363" s="171">
        <f>D64</f>
        <v>6660</v>
      </c>
      <c r="F363" s="171">
        <f>E63</f>
        <v>10500</v>
      </c>
      <c r="G363" s="171">
        <f>E72</f>
        <v>1980</v>
      </c>
      <c r="H363" s="171">
        <f>F62</f>
        <v>18220</v>
      </c>
      <c r="I363" s="171">
        <f>G6</f>
        <v>2280</v>
      </c>
      <c r="J363" s="171">
        <f>H63</f>
        <v>4080</v>
      </c>
      <c r="K363" s="171">
        <f>I59</f>
        <v>0</v>
      </c>
      <c r="L363" s="171">
        <f>J59</f>
        <v>440466</v>
      </c>
      <c r="M363" s="171">
        <f>K59</f>
        <v>3998003.42</v>
      </c>
      <c r="N363" s="171">
        <f>L65</f>
        <v>5880</v>
      </c>
      <c r="O363" s="171">
        <f>M72</f>
        <v>4616700.42</v>
      </c>
      <c r="P363" s="221">
        <f>N62</f>
        <v>4621010.42</v>
      </c>
      <c r="Q363" s="171">
        <f>O62</f>
        <v>980</v>
      </c>
      <c r="R363" s="171">
        <f>P59</f>
        <v>740</v>
      </c>
      <c r="S363" s="171">
        <f>Q59</f>
        <v>28</v>
      </c>
      <c r="T363" s="171">
        <f>R59</f>
        <v>0</v>
      </c>
      <c r="U363" s="239">
        <f t="shared" si="0"/>
        <v>99.90673035530615</v>
      </c>
      <c r="V363" s="171">
        <f>S59</f>
        <v>211.9</v>
      </c>
      <c r="W363" s="244">
        <f>M80</f>
        <v>21.807505521472393</v>
      </c>
      <c r="X363" s="171">
        <v>20</v>
      </c>
      <c r="Y363" s="76"/>
    </row>
    <row r="364" spans="1:25" ht="12.75">
      <c r="A364" s="172" t="s">
        <v>165</v>
      </c>
      <c r="B364" s="171">
        <f>A90</f>
        <v>0</v>
      </c>
      <c r="C364" s="171">
        <f>B101</f>
        <v>109040</v>
      </c>
      <c r="D364" s="171">
        <f>C95</f>
        <v>17300</v>
      </c>
      <c r="E364" s="171">
        <f>D95</f>
        <v>16660</v>
      </c>
      <c r="F364" s="171">
        <f>E94</f>
        <v>7160</v>
      </c>
      <c r="G364" s="171">
        <v>0</v>
      </c>
      <c r="H364" s="171">
        <f>F93</f>
        <v>26060</v>
      </c>
      <c r="I364" s="171">
        <f>G92</f>
        <v>4220</v>
      </c>
      <c r="J364" s="171">
        <f>H94</f>
        <v>2800</v>
      </c>
      <c r="K364" s="171">
        <v>0</v>
      </c>
      <c r="L364" s="171">
        <f>J90</f>
        <v>494513</v>
      </c>
      <c r="M364" s="171">
        <f>K90</f>
        <v>3385000</v>
      </c>
      <c r="N364" s="171">
        <f>L96</f>
        <v>10060</v>
      </c>
      <c r="O364" s="171">
        <f>M101</f>
        <v>4064483</v>
      </c>
      <c r="P364" s="221">
        <f>N93</f>
        <v>4074033</v>
      </c>
      <c r="Q364" s="171">
        <f>O93</f>
        <v>1220</v>
      </c>
      <c r="R364" s="171">
        <v>0</v>
      </c>
      <c r="S364" s="171">
        <v>0</v>
      </c>
      <c r="T364" s="171">
        <v>0</v>
      </c>
      <c r="U364" s="238">
        <f t="shared" si="0"/>
        <v>99.76558854579724</v>
      </c>
      <c r="V364" s="171">
        <f>S90</f>
        <v>209.4</v>
      </c>
      <c r="W364" s="243">
        <f>M109</f>
        <v>19.455744985673352</v>
      </c>
      <c r="X364" s="171">
        <v>20</v>
      </c>
      <c r="Y364" s="76"/>
    </row>
    <row r="365" spans="1:25" ht="12.75">
      <c r="A365" s="172" t="s">
        <v>166</v>
      </c>
      <c r="B365" s="171">
        <f>A119</f>
        <v>0</v>
      </c>
      <c r="C365" s="171">
        <f>B131</f>
        <v>108420</v>
      </c>
      <c r="D365" s="171">
        <f>C124</f>
        <v>13320</v>
      </c>
      <c r="E365" s="171">
        <f>D124</f>
        <v>0</v>
      </c>
      <c r="F365" s="171">
        <f>E123</f>
        <v>5800</v>
      </c>
      <c r="G365" s="171">
        <f>E131</f>
        <v>1860</v>
      </c>
      <c r="H365" s="171">
        <f>F123</f>
        <v>28800</v>
      </c>
      <c r="I365" s="171">
        <f>G121</f>
        <v>3480</v>
      </c>
      <c r="J365" s="171">
        <f>H123</f>
        <v>5820</v>
      </c>
      <c r="K365" s="171">
        <f>I119</f>
        <v>0</v>
      </c>
      <c r="L365" s="171">
        <f>J119</f>
        <v>579000</v>
      </c>
      <c r="M365" s="171">
        <f>K119</f>
        <v>4234000</v>
      </c>
      <c r="N365" s="171">
        <f>L125</f>
        <v>7820</v>
      </c>
      <c r="O365" s="171">
        <f>M131</f>
        <v>4999960</v>
      </c>
      <c r="P365" s="221">
        <f>N122</f>
        <v>5003900</v>
      </c>
      <c r="Q365" s="171">
        <f>O122</f>
        <v>3940</v>
      </c>
      <c r="R365" s="171">
        <f>P119</f>
        <v>11640</v>
      </c>
      <c r="S365" s="171">
        <f>Q119</f>
        <v>0</v>
      </c>
      <c r="T365" s="171">
        <f>R119</f>
        <v>0</v>
      </c>
      <c r="U365" s="239">
        <f t="shared" si="0"/>
        <v>99.92126141609545</v>
      </c>
      <c r="V365" s="171">
        <f>S119</f>
        <v>249</v>
      </c>
      <c r="W365" s="243">
        <f>M139</f>
        <v>20.09598393574297</v>
      </c>
      <c r="X365" s="171">
        <v>20</v>
      </c>
      <c r="Y365" s="76"/>
    </row>
    <row r="366" spans="1:25" ht="12.75">
      <c r="A366" s="172" t="s">
        <v>167</v>
      </c>
      <c r="B366" s="171">
        <f>A150</f>
        <v>0</v>
      </c>
      <c r="C366" s="171">
        <f>B161</f>
        <v>130980</v>
      </c>
      <c r="D366" s="171">
        <f>C155</f>
        <v>14500</v>
      </c>
      <c r="E366" s="171">
        <f>D155</f>
        <v>19740</v>
      </c>
      <c r="F366" s="171">
        <f>E154</f>
        <v>7860</v>
      </c>
      <c r="G366" s="171">
        <f>E157</f>
        <v>1240</v>
      </c>
      <c r="H366" s="171">
        <f>F154</f>
        <v>32260</v>
      </c>
      <c r="I366" s="171">
        <f>G152</f>
        <v>1840</v>
      </c>
      <c r="J366" s="171">
        <f>H154</f>
        <v>3960</v>
      </c>
      <c r="K366" s="171">
        <f>I150</f>
        <v>0</v>
      </c>
      <c r="L366" s="171">
        <f>J150</f>
        <v>431000</v>
      </c>
      <c r="M366" s="171">
        <f>K150</f>
        <v>4694000</v>
      </c>
      <c r="N366" s="171">
        <f>L156</f>
        <v>14620</v>
      </c>
      <c r="O366" s="171">
        <f>M161</f>
        <v>5342130</v>
      </c>
      <c r="P366" s="221">
        <f>M163</f>
        <v>5352000</v>
      </c>
      <c r="Q366" s="171">
        <f>O153</f>
        <v>0</v>
      </c>
      <c r="R366" s="171">
        <f>P150</f>
        <v>0</v>
      </c>
      <c r="S366" s="171">
        <v>0</v>
      </c>
      <c r="T366" s="171">
        <v>0</v>
      </c>
      <c r="U366" s="238">
        <f t="shared" si="0"/>
        <v>99.81558295964126</v>
      </c>
      <c r="V366" s="171">
        <f>S150</f>
        <v>264.5</v>
      </c>
      <c r="W366" s="243">
        <f>M169</f>
        <v>20.234404536862005</v>
      </c>
      <c r="X366" s="171">
        <v>20</v>
      </c>
      <c r="Y366" s="76"/>
    </row>
    <row r="367" spans="1:25" ht="12.75">
      <c r="A367" s="172" t="s">
        <v>168</v>
      </c>
      <c r="B367" s="171">
        <f>A179</f>
        <v>0</v>
      </c>
      <c r="C367" s="171">
        <f>B190</f>
        <v>113980</v>
      </c>
      <c r="D367" s="171">
        <f>C184</f>
        <v>15600</v>
      </c>
      <c r="E367" s="171">
        <f>D184</f>
        <v>8820</v>
      </c>
      <c r="F367" s="171">
        <f>E183</f>
        <v>6920</v>
      </c>
      <c r="G367" s="171">
        <f>E190</f>
        <v>0</v>
      </c>
      <c r="H367" s="171">
        <f>F182</f>
        <v>29460</v>
      </c>
      <c r="I367" s="171">
        <f>G181</f>
        <v>2020</v>
      </c>
      <c r="J367" s="171">
        <f>H183</f>
        <v>3040</v>
      </c>
      <c r="K367" s="171">
        <v>0</v>
      </c>
      <c r="L367" s="171">
        <f>J179</f>
        <v>631000</v>
      </c>
      <c r="M367" s="171">
        <f>K179</f>
        <v>4890000</v>
      </c>
      <c r="N367" s="171">
        <f>L185</f>
        <v>7760</v>
      </c>
      <c r="O367" s="171">
        <f>M190</f>
        <v>5705210</v>
      </c>
      <c r="P367" s="221">
        <f>M192</f>
        <v>5709620</v>
      </c>
      <c r="Q367" s="176">
        <f>O182</f>
        <v>240</v>
      </c>
      <c r="R367" s="171">
        <f>P179</f>
        <v>780</v>
      </c>
      <c r="S367" s="171">
        <v>0</v>
      </c>
      <c r="T367" s="171">
        <v>0</v>
      </c>
      <c r="U367" s="239">
        <f t="shared" si="0"/>
        <v>99.92276193512004</v>
      </c>
      <c r="V367" s="171">
        <f>S179</f>
        <v>249.79</v>
      </c>
      <c r="W367" s="244">
        <f>M198</f>
        <v>22.857680451579327</v>
      </c>
      <c r="X367" s="171">
        <v>20</v>
      </c>
      <c r="Y367" s="76"/>
    </row>
    <row r="368" spans="1:25" ht="12.75">
      <c r="A368" s="172" t="s">
        <v>169</v>
      </c>
      <c r="B368" s="171">
        <v>0</v>
      </c>
      <c r="C368" s="171">
        <f>B221</f>
        <v>149500</v>
      </c>
      <c r="D368" s="171">
        <f>C213</f>
        <v>11960</v>
      </c>
      <c r="E368" s="171">
        <f>D213</f>
        <v>19100</v>
      </c>
      <c r="F368" s="171">
        <f>E212</f>
        <v>1020</v>
      </c>
      <c r="G368" s="171">
        <v>0</v>
      </c>
      <c r="H368" s="171">
        <f>F211</f>
        <v>28040</v>
      </c>
      <c r="I368" s="171">
        <v>0</v>
      </c>
      <c r="J368" s="171">
        <f>H212</f>
        <v>6080</v>
      </c>
      <c r="K368" s="171">
        <v>0</v>
      </c>
      <c r="L368" s="171">
        <f>J208</f>
        <v>527000</v>
      </c>
      <c r="M368" s="171">
        <f>K208</f>
        <v>4597000</v>
      </c>
      <c r="N368" s="171">
        <f>L214</f>
        <v>7740</v>
      </c>
      <c r="O368" s="171">
        <f>M219</f>
        <v>5342190</v>
      </c>
      <c r="P368" s="221">
        <f>N211</f>
        <v>5351740</v>
      </c>
      <c r="Q368" s="171">
        <f>O211</f>
        <v>4300</v>
      </c>
      <c r="R368" s="171">
        <v>0</v>
      </c>
      <c r="S368" s="171">
        <v>0</v>
      </c>
      <c r="T368" s="171">
        <v>0</v>
      </c>
      <c r="U368" s="238">
        <f t="shared" si="0"/>
        <v>99.82155336395266</v>
      </c>
      <c r="V368" s="171">
        <f>S208</f>
        <v>227.7</v>
      </c>
      <c r="W368" s="244">
        <f>M227</f>
        <v>23.50346947738252</v>
      </c>
      <c r="X368" s="171">
        <v>20</v>
      </c>
      <c r="Y368" s="76"/>
    </row>
    <row r="369" spans="1:25" ht="12.75">
      <c r="A369" s="172" t="s">
        <v>170</v>
      </c>
      <c r="B369" s="171">
        <v>0</v>
      </c>
      <c r="C369" s="171">
        <f>B256</f>
        <v>165700</v>
      </c>
      <c r="D369" s="171">
        <f>C243</f>
        <v>12440</v>
      </c>
      <c r="E369" s="171">
        <f>D242</f>
        <v>10400</v>
      </c>
      <c r="F369" s="171">
        <f>E241</f>
        <v>5620</v>
      </c>
      <c r="G369" s="171">
        <f>E250</f>
        <v>0</v>
      </c>
      <c r="H369" s="171">
        <f>F240</f>
        <v>18420</v>
      </c>
      <c r="I369" s="171">
        <f>G239</f>
        <v>1820</v>
      </c>
      <c r="J369" s="171">
        <f>H241</f>
        <v>3040</v>
      </c>
      <c r="K369" s="171">
        <v>0</v>
      </c>
      <c r="L369" s="171">
        <f>J237</f>
        <v>469000</v>
      </c>
      <c r="M369" s="171">
        <f>K237</f>
        <v>3599000</v>
      </c>
      <c r="N369" s="171">
        <f>L243</f>
        <v>12780</v>
      </c>
      <c r="O369" s="171">
        <f>M248</f>
        <v>4293020</v>
      </c>
      <c r="P369" s="221">
        <f>N240</f>
        <v>4298220</v>
      </c>
      <c r="Q369" s="171">
        <f>O240</f>
        <v>1700</v>
      </c>
      <c r="R369" s="171">
        <v>0</v>
      </c>
      <c r="S369" s="171">
        <v>0</v>
      </c>
      <c r="T369" s="171">
        <v>0</v>
      </c>
      <c r="U369" s="239">
        <f t="shared" si="0"/>
        <v>99.87901968721935</v>
      </c>
      <c r="V369" s="171">
        <f>S237</f>
        <v>224</v>
      </c>
      <c r="W369" s="243">
        <f>M256</f>
        <v>19.188482142857143</v>
      </c>
      <c r="X369" s="171">
        <v>20</v>
      </c>
      <c r="Y369" s="76"/>
    </row>
    <row r="370" spans="1:25" ht="12.75">
      <c r="A370" s="172" t="s">
        <v>171</v>
      </c>
      <c r="B370" s="171">
        <v>0</v>
      </c>
      <c r="C370" s="171">
        <f>B285</f>
        <v>151860</v>
      </c>
      <c r="D370" s="171">
        <f>C271</f>
        <v>8385</v>
      </c>
      <c r="E370" s="171">
        <f>D271</f>
        <v>20180</v>
      </c>
      <c r="F370" s="171">
        <f>E270</f>
        <v>6460</v>
      </c>
      <c r="G370" s="171">
        <f>E277</f>
        <v>0</v>
      </c>
      <c r="H370" s="171">
        <f>F269</f>
        <v>19100</v>
      </c>
      <c r="I370" s="171">
        <f>G268</f>
        <v>3020</v>
      </c>
      <c r="J370" s="171">
        <f>H270</f>
        <v>3120</v>
      </c>
      <c r="K370" s="171">
        <v>0</v>
      </c>
      <c r="L370" s="171">
        <f>J266</f>
        <v>412000</v>
      </c>
      <c r="M370" s="171">
        <f>K266</f>
        <v>4787000</v>
      </c>
      <c r="N370" s="171">
        <f>L272</f>
        <v>8820</v>
      </c>
      <c r="O370" s="171">
        <f>M277</f>
        <v>5409855</v>
      </c>
      <c r="P370" s="221">
        <f>M279</f>
        <v>5419945</v>
      </c>
      <c r="Q370" s="171">
        <f>O269</f>
        <v>0</v>
      </c>
      <c r="R370" s="171">
        <f>P266</f>
        <v>0</v>
      </c>
      <c r="S370" s="171">
        <f>Q266</f>
        <v>0</v>
      </c>
      <c r="T370" s="171">
        <v>0</v>
      </c>
      <c r="U370" s="238">
        <f t="shared" si="0"/>
        <v>99.81383574925576</v>
      </c>
      <c r="V370" s="171">
        <f>S266</f>
        <v>250.38</v>
      </c>
      <c r="W370" s="244">
        <f>M285</f>
        <v>21.646876747344038</v>
      </c>
      <c r="X370" s="171">
        <v>20</v>
      </c>
      <c r="Y370" s="76"/>
    </row>
    <row r="371" spans="1:25" ht="12.75">
      <c r="A371" s="172" t="s">
        <v>172</v>
      </c>
      <c r="B371" s="171">
        <f>A299</f>
        <v>0</v>
      </c>
      <c r="C371" s="171">
        <f>B315</f>
        <v>141680</v>
      </c>
      <c r="D371" s="171">
        <f>C305</f>
        <v>17820</v>
      </c>
      <c r="E371" s="171">
        <f>D304</f>
        <v>7940</v>
      </c>
      <c r="F371" s="171">
        <f>E303</f>
        <v>26240</v>
      </c>
      <c r="G371" s="171">
        <v>0</v>
      </c>
      <c r="H371" s="171">
        <f>F306</f>
        <v>50620</v>
      </c>
      <c r="I371" s="171">
        <f>G301</f>
        <v>2340</v>
      </c>
      <c r="J371" s="171">
        <f>H303</f>
        <v>2860</v>
      </c>
      <c r="K371" s="171">
        <v>0</v>
      </c>
      <c r="L371" s="171">
        <f>J299</f>
        <v>714000</v>
      </c>
      <c r="M371" s="171">
        <f>K299</f>
        <v>4724000</v>
      </c>
      <c r="N371" s="171">
        <f>L305</f>
        <v>11080</v>
      </c>
      <c r="O371" s="171">
        <f>M310</f>
        <v>5695550</v>
      </c>
      <c r="P371" s="221">
        <f>N302</f>
        <v>5699520</v>
      </c>
      <c r="Q371" s="171">
        <v>0</v>
      </c>
      <c r="R371" s="171">
        <f>P299</f>
        <v>940</v>
      </c>
      <c r="S371" s="171">
        <v>0</v>
      </c>
      <c r="T371" s="171">
        <v>0</v>
      </c>
      <c r="U371" s="239">
        <f t="shared" si="0"/>
        <v>99.93034501150973</v>
      </c>
      <c r="V371" s="171">
        <f>S299</f>
        <v>209.03</v>
      </c>
      <c r="W371" s="244">
        <f>M319</f>
        <v>27.26651676792805</v>
      </c>
      <c r="X371" s="171">
        <v>20</v>
      </c>
      <c r="Y371" s="76"/>
    </row>
    <row r="372" spans="1:25" ht="12.75">
      <c r="A372" s="172" t="s">
        <v>173</v>
      </c>
      <c r="B372" s="171">
        <v>0</v>
      </c>
      <c r="C372" s="171">
        <f>B346</f>
        <v>110100</v>
      </c>
      <c r="D372" s="171">
        <f>C337</f>
        <v>7920</v>
      </c>
      <c r="E372" s="171">
        <f>D337</f>
        <v>8160</v>
      </c>
      <c r="F372" s="171">
        <f>E336</f>
        <v>0</v>
      </c>
      <c r="G372" s="171">
        <f>E343</f>
        <v>0</v>
      </c>
      <c r="H372" s="171">
        <f>F335</f>
        <v>27000</v>
      </c>
      <c r="I372" s="171">
        <f>G334</f>
        <v>1900</v>
      </c>
      <c r="J372" s="171">
        <f>H336</f>
        <v>3060</v>
      </c>
      <c r="K372" s="171">
        <v>0</v>
      </c>
      <c r="L372" s="171">
        <f>J332</f>
        <v>706000</v>
      </c>
      <c r="M372" s="171">
        <f>K332</f>
        <v>4133000</v>
      </c>
      <c r="N372" s="171">
        <f>L338</f>
        <v>8900</v>
      </c>
      <c r="O372" s="171">
        <f>M343</f>
        <v>5001960</v>
      </c>
      <c r="P372" s="221">
        <f>N335</f>
        <v>5006040</v>
      </c>
      <c r="Q372" s="171">
        <f>O335</f>
        <v>0</v>
      </c>
      <c r="R372" s="171">
        <f>P332</f>
        <v>0</v>
      </c>
      <c r="S372" s="171">
        <v>0</v>
      </c>
      <c r="T372" s="171">
        <v>0</v>
      </c>
      <c r="U372" s="239">
        <f t="shared" si="0"/>
        <v>99.91849845386773</v>
      </c>
      <c r="V372" s="171">
        <f>S332</f>
        <v>238.28</v>
      </c>
      <c r="W372" s="245">
        <f>M351</f>
        <v>21.009064965586706</v>
      </c>
      <c r="X372" s="171">
        <v>20</v>
      </c>
      <c r="Y372" s="76"/>
    </row>
    <row r="373" spans="1:25" ht="12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222"/>
      <c r="Q373" s="76"/>
      <c r="R373" s="76"/>
      <c r="S373" s="76"/>
      <c r="T373" s="76"/>
      <c r="U373" s="240"/>
      <c r="V373" s="171"/>
      <c r="W373" s="171"/>
      <c r="X373" s="171"/>
      <c r="Y373" s="76"/>
    </row>
    <row r="374" spans="1:25" s="175" customFormat="1" ht="12.75">
      <c r="A374" s="174" t="s">
        <v>175</v>
      </c>
      <c r="B374" s="174">
        <f>B361+B362+B363+B364+B365+B366+B367+B368+B369+B370+B371+B372</f>
        <v>941</v>
      </c>
      <c r="C374" s="174">
        <f aca="true" t="shared" si="1" ref="C374:T374">C361+C362+C363+C364+C365+C366+C367+C368+C369+C370+C371+C372</f>
        <v>1479980</v>
      </c>
      <c r="D374" s="174">
        <f t="shared" si="1"/>
        <v>162965</v>
      </c>
      <c r="E374" s="174">
        <f t="shared" si="1"/>
        <v>125820</v>
      </c>
      <c r="F374" s="174">
        <f t="shared" si="1"/>
        <v>86180</v>
      </c>
      <c r="G374" s="174">
        <f t="shared" si="1"/>
        <v>5080</v>
      </c>
      <c r="H374" s="174">
        <f t="shared" si="1"/>
        <v>327340</v>
      </c>
      <c r="I374" s="174">
        <f t="shared" si="1"/>
        <v>27800</v>
      </c>
      <c r="J374" s="174">
        <f t="shared" si="1"/>
        <v>43860</v>
      </c>
      <c r="K374" s="174">
        <f t="shared" si="1"/>
        <v>0</v>
      </c>
      <c r="L374" s="174">
        <f t="shared" si="1"/>
        <v>6159611</v>
      </c>
      <c r="M374" s="174">
        <f t="shared" si="1"/>
        <v>47240003.42</v>
      </c>
      <c r="N374" s="174">
        <f t="shared" si="1"/>
        <v>109060</v>
      </c>
      <c r="O374" s="174">
        <f t="shared" si="1"/>
        <v>55716670.42</v>
      </c>
      <c r="P374" s="223">
        <f t="shared" si="1"/>
        <v>55788100.42</v>
      </c>
      <c r="Q374" s="174">
        <f t="shared" si="1"/>
        <v>14760</v>
      </c>
      <c r="R374" s="174">
        <f t="shared" si="1"/>
        <v>15140</v>
      </c>
      <c r="S374" s="174">
        <f t="shared" si="1"/>
        <v>28</v>
      </c>
      <c r="T374" s="174">
        <f t="shared" si="1"/>
        <v>0</v>
      </c>
      <c r="U374" s="241">
        <f>100*(O374/P374)</f>
        <v>99.87196194266834</v>
      </c>
      <c r="V374" s="174"/>
      <c r="W374" s="174"/>
      <c r="X374" s="174"/>
      <c r="Y374" s="174"/>
    </row>
    <row r="375" spans="1:25" s="177" customFormat="1" ht="25.5">
      <c r="A375" s="178" t="s">
        <v>176</v>
      </c>
      <c r="B375" s="304">
        <f>B374/1000</f>
        <v>0.941</v>
      </c>
      <c r="C375" s="304">
        <f aca="true" t="shared" si="2" ref="C375:T375">C374/1000</f>
        <v>1479.98</v>
      </c>
      <c r="D375" s="304">
        <f t="shared" si="2"/>
        <v>162.965</v>
      </c>
      <c r="E375" s="304">
        <f t="shared" si="2"/>
        <v>125.82</v>
      </c>
      <c r="F375" s="304">
        <f t="shared" si="2"/>
        <v>86.18</v>
      </c>
      <c r="G375" s="304">
        <f t="shared" si="2"/>
        <v>5.08</v>
      </c>
      <c r="H375" s="304">
        <f t="shared" si="2"/>
        <v>327.34</v>
      </c>
      <c r="I375" s="304">
        <f t="shared" si="2"/>
        <v>27.8</v>
      </c>
      <c r="J375" s="304">
        <f t="shared" si="2"/>
        <v>43.86</v>
      </c>
      <c r="K375" s="179">
        <f t="shared" si="2"/>
        <v>0</v>
      </c>
      <c r="L375" s="304">
        <f t="shared" si="2"/>
        <v>6159.611</v>
      </c>
      <c r="M375" s="179">
        <f t="shared" si="2"/>
        <v>47240.00342</v>
      </c>
      <c r="N375" s="304">
        <f t="shared" si="2"/>
        <v>109.06</v>
      </c>
      <c r="O375" s="179">
        <f t="shared" si="2"/>
        <v>55716.67042</v>
      </c>
      <c r="P375" s="224">
        <f t="shared" si="2"/>
        <v>55788.10042</v>
      </c>
      <c r="Q375" s="304">
        <f t="shared" si="2"/>
        <v>14.76</v>
      </c>
      <c r="R375" s="304">
        <f t="shared" si="2"/>
        <v>15.14</v>
      </c>
      <c r="S375" s="179">
        <f t="shared" si="2"/>
        <v>0.028</v>
      </c>
      <c r="T375" s="179">
        <f t="shared" si="2"/>
        <v>0</v>
      </c>
      <c r="U375" s="242">
        <f>100*(O375/P375)</f>
        <v>99.87196194266834</v>
      </c>
      <c r="V375" s="179">
        <f>V361+V362+V363+V364+V365+V366+V367+V368+V369+V370+V371+V372+V373+V374</f>
        <v>2609.4800000000005</v>
      </c>
      <c r="W375" s="246">
        <f>P374/(1000*V375)</f>
        <v>21.37901053849809</v>
      </c>
      <c r="X375" s="179"/>
      <c r="Y375" s="227"/>
    </row>
    <row r="376" ht="12.75">
      <c r="P376" s="225" t="s">
        <v>219</v>
      </c>
    </row>
    <row r="377" ht="12.75">
      <c r="A377" s="180" t="s">
        <v>178</v>
      </c>
    </row>
    <row r="378" ht="12.75">
      <c r="A378" s="180" t="s">
        <v>180</v>
      </c>
    </row>
    <row r="380" ht="12.75">
      <c r="A380" s="180" t="s">
        <v>197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434"/>
  <sheetViews>
    <sheetView zoomScale="90" zoomScaleNormal="90" zoomScalePageLayoutView="0" workbookViewId="0" topLeftCell="A406">
      <selection activeCell="U415" sqref="U415:U426"/>
    </sheetView>
  </sheetViews>
  <sheetFormatPr defaultColWidth="9.140625" defaultRowHeight="12.75"/>
  <cols>
    <col min="1" max="1" width="10.7109375" style="0" customWidth="1"/>
    <col min="4" max="4" width="12.57421875" style="0" customWidth="1"/>
    <col min="5" max="5" width="11.28125" style="0" customWidth="1"/>
    <col min="6" max="6" width="12.140625" style="0" customWidth="1"/>
    <col min="13" max="13" width="11.00390625" style="0" customWidth="1"/>
    <col min="14" max="14" width="9.28125" style="0" customWidth="1"/>
    <col min="15" max="15" width="15.8515625" style="0" customWidth="1"/>
    <col min="16" max="16" width="19.57421875" style="0" customWidth="1"/>
    <col min="19" max="19" width="34.00390625" style="0" customWidth="1"/>
    <col min="20" max="20" width="9.7109375" style="0" customWidth="1"/>
    <col min="21" max="21" width="23.140625" style="0" customWidth="1"/>
    <col min="22" max="22" width="32.28125" style="0" customWidth="1"/>
    <col min="23" max="23" width="21.28125" style="0" customWidth="1"/>
    <col min="24" max="24" width="14.7109375" style="0" customWidth="1"/>
  </cols>
  <sheetData>
    <row r="1" ht="12.75">
      <c r="A1" s="181" t="s">
        <v>181</v>
      </c>
    </row>
    <row r="2" ht="13.5" thickBot="1"/>
    <row r="3" spans="1:19" ht="13.5" thickBot="1">
      <c r="A3" s="53" t="s">
        <v>40</v>
      </c>
      <c r="B3" s="15" t="s">
        <v>0</v>
      </c>
      <c r="C3" s="16" t="s">
        <v>1</v>
      </c>
      <c r="D3" s="42" t="s">
        <v>2</v>
      </c>
      <c r="E3" s="142" t="s">
        <v>81</v>
      </c>
      <c r="F3" s="19" t="s">
        <v>4</v>
      </c>
      <c r="G3" s="20" t="s">
        <v>5</v>
      </c>
      <c r="H3" s="33" t="s">
        <v>6</v>
      </c>
      <c r="I3" s="109" t="s">
        <v>141</v>
      </c>
      <c r="J3" s="23" t="s">
        <v>8</v>
      </c>
      <c r="K3" s="24" t="s">
        <v>9</v>
      </c>
      <c r="L3" s="49" t="s">
        <v>14</v>
      </c>
      <c r="M3" s="1" t="s">
        <v>13</v>
      </c>
      <c r="N3" s="3" t="s">
        <v>11</v>
      </c>
      <c r="O3" s="50" t="s">
        <v>114</v>
      </c>
      <c r="P3" s="81" t="s">
        <v>113</v>
      </c>
      <c r="Q3" s="110" t="s">
        <v>142</v>
      </c>
      <c r="R3" s="189" t="s">
        <v>80</v>
      </c>
      <c r="S3" s="190" t="s">
        <v>196</v>
      </c>
    </row>
    <row r="4" spans="1:19" ht="13.5" thickBot="1">
      <c r="A4" s="114">
        <v>2200</v>
      </c>
      <c r="B4" s="115">
        <v>96000</v>
      </c>
      <c r="C4" s="116">
        <v>7700</v>
      </c>
      <c r="D4" s="125">
        <f>10.6*1000</f>
        <v>10600</v>
      </c>
      <c r="E4" s="119">
        <v>0</v>
      </c>
      <c r="F4" s="125">
        <f>22.86*1000</f>
        <v>22860</v>
      </c>
      <c r="G4" s="115"/>
      <c r="H4" s="116">
        <v>1660</v>
      </c>
      <c r="I4" s="147">
        <f>529*1000</f>
        <v>529000</v>
      </c>
      <c r="J4" s="147">
        <f>720*1000</f>
        <v>720000</v>
      </c>
      <c r="K4" s="148">
        <f>(2666)*1000</f>
        <v>2666000</v>
      </c>
      <c r="L4" s="119">
        <f>10.5*1000</f>
        <v>10500</v>
      </c>
      <c r="M4" s="132">
        <f>B15</f>
        <v>96000</v>
      </c>
      <c r="N4" s="135">
        <f>D10+C9</f>
        <v>13000</v>
      </c>
      <c r="O4" s="116">
        <v>2100</v>
      </c>
      <c r="P4" s="149"/>
      <c r="Q4" s="147">
        <v>0</v>
      </c>
      <c r="R4" s="114">
        <v>0</v>
      </c>
      <c r="S4" s="121">
        <v>180</v>
      </c>
    </row>
    <row r="5" spans="1:18" ht="13.5" thickBot="1">
      <c r="A5" s="117"/>
      <c r="B5" s="118"/>
      <c r="C5" s="119"/>
      <c r="D5" s="126"/>
      <c r="E5" s="123"/>
      <c r="F5" s="126"/>
      <c r="G5" s="133"/>
      <c r="H5" s="119"/>
      <c r="I5" s="117"/>
      <c r="J5" s="117"/>
      <c r="K5" s="117"/>
      <c r="L5" s="119"/>
      <c r="M5" s="126">
        <v>0</v>
      </c>
      <c r="N5" s="118">
        <f>M16</f>
        <v>3526060</v>
      </c>
      <c r="O5" s="119"/>
      <c r="P5" s="117"/>
      <c r="Q5" s="117"/>
      <c r="R5" s="117"/>
    </row>
    <row r="6" spans="1:18" ht="13.5" thickBot="1">
      <c r="A6" s="117"/>
      <c r="B6" s="118"/>
      <c r="C6" s="119"/>
      <c r="D6" s="126"/>
      <c r="E6" s="143"/>
      <c r="F6" s="119"/>
      <c r="G6" s="163">
        <f>G4</f>
        <v>0</v>
      </c>
      <c r="H6" s="119"/>
      <c r="I6" s="117"/>
      <c r="J6" s="117"/>
      <c r="K6" s="117"/>
      <c r="L6" s="119"/>
      <c r="M6" s="126">
        <f>D10</f>
        <v>5300</v>
      </c>
      <c r="N6" s="133">
        <f>O4</f>
        <v>2100</v>
      </c>
      <c r="O6" s="120"/>
      <c r="P6" s="117"/>
      <c r="Q6" s="117"/>
      <c r="R6" s="117"/>
    </row>
    <row r="7" spans="1:18" ht="13.5" thickBot="1">
      <c r="A7" s="117"/>
      <c r="B7" s="118"/>
      <c r="C7" s="119"/>
      <c r="D7" s="119"/>
      <c r="E7" s="120"/>
      <c r="F7" s="123"/>
      <c r="G7" s="117"/>
      <c r="H7" s="120"/>
      <c r="I7" s="117"/>
      <c r="J7" s="117"/>
      <c r="K7" s="117"/>
      <c r="L7" s="119"/>
      <c r="M7" s="119">
        <f>E8+E15</f>
        <v>1540</v>
      </c>
      <c r="N7" s="146">
        <f>N4+N5+N6</f>
        <v>3541160</v>
      </c>
      <c r="O7" s="144">
        <f>SUM(O4:O6)</f>
        <v>2100</v>
      </c>
      <c r="P7" s="117"/>
      <c r="Q7" s="117"/>
      <c r="R7" s="117"/>
    </row>
    <row r="8" spans="1:18" ht="13.5" thickBot="1">
      <c r="A8" s="117"/>
      <c r="B8" s="118"/>
      <c r="C8" s="120"/>
      <c r="D8" s="120"/>
      <c r="E8" s="144">
        <f>SUM(E4:E7)</f>
        <v>0</v>
      </c>
      <c r="F8" s="119"/>
      <c r="G8" s="117"/>
      <c r="H8" s="146">
        <f>SUM(H4:H7)</f>
        <v>1660</v>
      </c>
      <c r="I8" s="117"/>
      <c r="J8" s="117"/>
      <c r="K8" s="117"/>
      <c r="L8" s="119"/>
      <c r="M8" s="119">
        <f>F9</f>
        <v>22860</v>
      </c>
      <c r="N8" s="117"/>
      <c r="O8" s="117"/>
      <c r="P8" s="117"/>
      <c r="Q8" s="117"/>
      <c r="R8" s="117"/>
    </row>
    <row r="9" spans="1:18" ht="13.5" thickBot="1">
      <c r="A9" s="117"/>
      <c r="B9" s="119"/>
      <c r="C9" s="144">
        <f>C4+C5+C6+C7+C8</f>
        <v>7700</v>
      </c>
      <c r="D9" s="144">
        <f>SUM(D4:D8)</f>
        <v>10600</v>
      </c>
      <c r="E9" s="117"/>
      <c r="F9" s="146">
        <f>SUM(F4:F8)</f>
        <v>22860</v>
      </c>
      <c r="G9" s="117"/>
      <c r="H9" s="117"/>
      <c r="I9" s="117"/>
      <c r="J9" s="117"/>
      <c r="K9" s="117"/>
      <c r="L9" s="120"/>
      <c r="M9" s="119">
        <f>G6</f>
        <v>0</v>
      </c>
      <c r="N9" s="117"/>
      <c r="O9" s="117"/>
      <c r="P9" s="117"/>
      <c r="Q9" s="117"/>
      <c r="R9" s="117"/>
    </row>
    <row r="10" spans="1:18" ht="13.5" thickBot="1">
      <c r="A10" s="117"/>
      <c r="B10" s="119"/>
      <c r="C10" s="117"/>
      <c r="D10" s="164">
        <f>D9/2</f>
        <v>5300</v>
      </c>
      <c r="E10" s="131" t="s">
        <v>56</v>
      </c>
      <c r="F10" s="117"/>
      <c r="G10" s="117"/>
      <c r="H10" s="117"/>
      <c r="I10" s="117"/>
      <c r="J10" s="117"/>
      <c r="K10" s="117"/>
      <c r="L10" s="144">
        <f>SUM(L4:L9)</f>
        <v>10500</v>
      </c>
      <c r="M10" s="119">
        <f>H8</f>
        <v>1660</v>
      </c>
      <c r="N10" s="117"/>
      <c r="O10" s="117"/>
      <c r="P10" s="117"/>
      <c r="Q10" s="117"/>
      <c r="R10" s="117"/>
    </row>
    <row r="11" spans="1:18" ht="12.75">
      <c r="A11" s="117"/>
      <c r="B11" s="119"/>
      <c r="C11" s="117"/>
      <c r="D11" s="55"/>
      <c r="E11" s="116">
        <v>1540</v>
      </c>
      <c r="F11" s="117"/>
      <c r="G11" s="117"/>
      <c r="H11" s="117"/>
      <c r="I11" s="117"/>
      <c r="J11" s="117"/>
      <c r="K11" s="117"/>
      <c r="L11" s="117"/>
      <c r="M11" s="119">
        <f>A4</f>
        <v>2200</v>
      </c>
      <c r="N11" s="117"/>
      <c r="O11" s="117"/>
      <c r="P11" s="117"/>
      <c r="Q11" s="117"/>
      <c r="R11" s="117"/>
    </row>
    <row r="12" spans="1:18" ht="13.5" thickBot="1">
      <c r="A12" s="117"/>
      <c r="B12" s="119"/>
      <c r="C12" s="117"/>
      <c r="E12" s="119"/>
      <c r="F12" s="117"/>
      <c r="G12" s="117"/>
      <c r="H12" s="117"/>
      <c r="I12" s="117"/>
      <c r="J12" s="117"/>
      <c r="K12" s="117"/>
      <c r="L12" s="117"/>
      <c r="M12" s="119">
        <f>P4</f>
        <v>0</v>
      </c>
      <c r="Q12" s="117"/>
      <c r="R12" s="117"/>
    </row>
    <row r="13" spans="1:18" ht="13.5" thickBot="1">
      <c r="A13" s="117"/>
      <c r="B13" s="119"/>
      <c r="C13" s="117"/>
      <c r="E13" s="119"/>
      <c r="F13" s="117"/>
      <c r="G13" s="117"/>
      <c r="H13" s="117"/>
      <c r="I13" s="117"/>
      <c r="J13" s="117"/>
      <c r="K13" s="117"/>
      <c r="L13" s="117"/>
      <c r="M13" s="119">
        <f>J4</f>
        <v>720000</v>
      </c>
      <c r="N13" s="117"/>
      <c r="O13" s="144">
        <f>O7</f>
        <v>2100</v>
      </c>
      <c r="P13" s="175" t="s">
        <v>115</v>
      </c>
      <c r="Q13" s="117"/>
      <c r="R13" s="117"/>
    </row>
    <row r="14" spans="1:18" ht="13.5" thickBot="1">
      <c r="A14" s="117"/>
      <c r="B14" s="119"/>
      <c r="C14" s="117"/>
      <c r="E14" s="124"/>
      <c r="F14" s="117"/>
      <c r="G14" s="117"/>
      <c r="H14" s="117"/>
      <c r="I14" s="117"/>
      <c r="J14" s="117"/>
      <c r="K14" s="117"/>
      <c r="L14" s="117"/>
      <c r="M14" s="123">
        <f>K4</f>
        <v>2666000</v>
      </c>
      <c r="N14" s="117"/>
      <c r="O14" s="121"/>
      <c r="P14" s="117"/>
      <c r="Q14" s="117"/>
      <c r="R14" s="117"/>
    </row>
    <row r="15" spans="1:18" ht="13.5" thickBot="1">
      <c r="A15" s="117"/>
      <c r="B15" s="141">
        <f>SUM(B4:B14)</f>
        <v>96000</v>
      </c>
      <c r="C15" s="117"/>
      <c r="E15" s="144">
        <f>SUM(E11:E14)</f>
        <v>1540</v>
      </c>
      <c r="M15" s="124">
        <f>L10</f>
        <v>10500</v>
      </c>
      <c r="N15" s="117"/>
      <c r="O15" s="121">
        <f>M18</f>
        <v>3541160</v>
      </c>
      <c r="P15" s="117" t="s">
        <v>179</v>
      </c>
      <c r="Q15" s="117"/>
      <c r="R15" s="117"/>
    </row>
    <row r="16" spans="1:18" ht="13.5" thickBot="1">
      <c r="A16" s="117"/>
      <c r="B16" s="119"/>
      <c r="C16" s="117"/>
      <c r="E16" s="123"/>
      <c r="F16" s="28"/>
      <c r="M16" s="144">
        <f>SUM(M4:M15)</f>
        <v>3526060</v>
      </c>
      <c r="N16" s="117" t="s">
        <v>177</v>
      </c>
      <c r="O16" s="117"/>
      <c r="P16" s="117"/>
      <c r="Q16" s="117"/>
      <c r="R16" s="117"/>
    </row>
    <row r="17" spans="1:18" ht="13.5" thickBot="1">
      <c r="A17" s="117"/>
      <c r="B17" s="123"/>
      <c r="C17" s="117"/>
      <c r="E17" s="121"/>
      <c r="M17" s="124"/>
      <c r="N17" s="117"/>
      <c r="O17" s="117"/>
      <c r="P17" s="117"/>
      <c r="Q17" s="117"/>
      <c r="R17" s="117"/>
    </row>
    <row r="18" spans="1:16" ht="13.5" thickBot="1">
      <c r="A18" s="117"/>
      <c r="B18" s="123"/>
      <c r="C18" s="117"/>
      <c r="F18" s="92"/>
      <c r="M18" s="144">
        <f>N7</f>
        <v>3541160</v>
      </c>
      <c r="N18" s="117" t="s">
        <v>179</v>
      </c>
      <c r="O18" s="117"/>
      <c r="P18" s="117"/>
    </row>
    <row r="19" spans="1:3" ht="13.5" thickBot="1">
      <c r="A19" s="117"/>
      <c r="B19" s="123"/>
      <c r="C19" s="117"/>
    </row>
    <row r="20" spans="1:21" ht="13.5" thickBot="1">
      <c r="A20" s="117"/>
      <c r="B20" s="123"/>
      <c r="C20" s="117"/>
      <c r="M20" s="228">
        <f>100*(M16/M18)</f>
        <v>99.57358605654643</v>
      </c>
      <c r="N20" s="180" t="s">
        <v>193</v>
      </c>
      <c r="S20" s="183"/>
      <c r="T20" s="183"/>
      <c r="U20" s="183"/>
    </row>
    <row r="21" spans="1:14" ht="12.75">
      <c r="A21" s="117"/>
      <c r="B21" s="123"/>
      <c r="C21" s="117"/>
      <c r="N21" s="184" t="s">
        <v>178</v>
      </c>
    </row>
    <row r="22" spans="1:14" ht="13.5" thickBot="1">
      <c r="A22" s="117"/>
      <c r="B22" s="124"/>
      <c r="C22" s="117"/>
      <c r="N22" s="169" t="s">
        <v>180</v>
      </c>
    </row>
    <row r="23" spans="1:3" ht="13.5" thickBot="1">
      <c r="A23" s="117"/>
      <c r="B23" s="121"/>
      <c r="C23" s="117"/>
    </row>
    <row r="24" spans="8:14" ht="13.5" thickBot="1">
      <c r="H24" s="219"/>
      <c r="M24" s="228">
        <f>M18/(1000*S4)</f>
        <v>19.673111111111112</v>
      </c>
      <c r="N24" s="180" t="s">
        <v>230</v>
      </c>
    </row>
    <row r="25" ht="12.75">
      <c r="N25" s="169" t="s">
        <v>195</v>
      </c>
    </row>
    <row r="26" ht="13.5" thickBot="1">
      <c r="N26" s="169"/>
    </row>
    <row r="27" spans="13:14" ht="13.5" thickBot="1">
      <c r="M27" s="229">
        <f>M16</f>
        <v>3526060</v>
      </c>
      <c r="N27" s="169" t="s">
        <v>215</v>
      </c>
    </row>
    <row r="28" ht="12.75">
      <c r="A28" s="181" t="s">
        <v>182</v>
      </c>
    </row>
    <row r="29" ht="13.5" thickBot="1"/>
    <row r="30" spans="1:19" ht="13.5" thickBot="1">
      <c r="A30" s="53" t="s">
        <v>40</v>
      </c>
      <c r="B30" s="15" t="s">
        <v>0</v>
      </c>
      <c r="C30" s="16" t="s">
        <v>1</v>
      </c>
      <c r="D30" s="42" t="s">
        <v>2</v>
      </c>
      <c r="E30" s="142" t="s">
        <v>81</v>
      </c>
      <c r="F30" s="19" t="s">
        <v>4</v>
      </c>
      <c r="G30" s="20" t="s">
        <v>5</v>
      </c>
      <c r="H30" s="33" t="s">
        <v>6</v>
      </c>
      <c r="I30" s="109" t="s">
        <v>141</v>
      </c>
      <c r="J30" s="23" t="s">
        <v>8</v>
      </c>
      <c r="K30" s="24" t="s">
        <v>9</v>
      </c>
      <c r="L30" s="49" t="s">
        <v>14</v>
      </c>
      <c r="M30" s="1" t="s">
        <v>13</v>
      </c>
      <c r="N30" s="3" t="s">
        <v>11</v>
      </c>
      <c r="O30" s="50" t="s">
        <v>114</v>
      </c>
      <c r="P30" s="81" t="s">
        <v>113</v>
      </c>
      <c r="Q30" s="110" t="s">
        <v>142</v>
      </c>
      <c r="R30" s="111" t="s">
        <v>80</v>
      </c>
      <c r="S30" s="190" t="s">
        <v>196</v>
      </c>
    </row>
    <row r="31" spans="1:19" ht="13.5" thickBot="1">
      <c r="A31" s="250">
        <v>0</v>
      </c>
      <c r="B31" s="115">
        <f>8.88*1000</f>
        <v>8880</v>
      </c>
      <c r="C31" s="116">
        <f>0.86*1000</f>
        <v>860</v>
      </c>
      <c r="D31" s="125">
        <f>1.36*1000</f>
        <v>1360</v>
      </c>
      <c r="E31" s="119">
        <f>6.66*1000</f>
        <v>6660</v>
      </c>
      <c r="F31" s="125">
        <f>3.82*1000</f>
        <v>3820</v>
      </c>
      <c r="G31" s="115">
        <f>3.12*1000</f>
        <v>3120</v>
      </c>
      <c r="H31" s="116">
        <f>7.1*1000</f>
        <v>7100</v>
      </c>
      <c r="I31" s="254">
        <f>499*1000</f>
        <v>499000</v>
      </c>
      <c r="J31" s="254">
        <f>476*1000</f>
        <v>476000</v>
      </c>
      <c r="K31" s="255">
        <f>(3290)*1000</f>
        <v>3290000</v>
      </c>
      <c r="L31" s="119">
        <f>0.4*1000</f>
        <v>400</v>
      </c>
      <c r="M31" s="132">
        <f>A31</f>
        <v>0</v>
      </c>
      <c r="N31" s="135">
        <f>C36</f>
        <v>6680</v>
      </c>
      <c r="O31" s="116">
        <v>60</v>
      </c>
      <c r="P31" s="149">
        <v>880</v>
      </c>
      <c r="Q31" s="147">
        <v>0</v>
      </c>
      <c r="R31" s="121">
        <v>0</v>
      </c>
      <c r="S31" s="121">
        <v>202.09</v>
      </c>
    </row>
    <row r="32" spans="1:18" ht="13.5" thickBot="1">
      <c r="A32" s="117"/>
      <c r="B32" s="118">
        <f>9.72*1000</f>
        <v>9720</v>
      </c>
      <c r="C32" s="119">
        <f>1.18*1000</f>
        <v>1180</v>
      </c>
      <c r="D32" s="126">
        <f>2.06*1000</f>
        <v>2060</v>
      </c>
      <c r="E32" s="123"/>
      <c r="F32" s="126">
        <f>8.2*1000</f>
        <v>8200</v>
      </c>
      <c r="G32" s="133"/>
      <c r="H32" s="119"/>
      <c r="I32" s="117"/>
      <c r="J32" s="117"/>
      <c r="K32" s="117"/>
      <c r="L32" s="119">
        <f>6.1*1000</f>
        <v>6100</v>
      </c>
      <c r="M32" s="126">
        <f>B50</f>
        <v>125740</v>
      </c>
      <c r="N32" s="118">
        <f>O34</f>
        <v>60</v>
      </c>
      <c r="O32" s="119"/>
      <c r="P32" s="117"/>
      <c r="Q32" s="117"/>
      <c r="R32" s="117"/>
    </row>
    <row r="33" spans="1:18" ht="13.5" thickBot="1">
      <c r="A33" s="117"/>
      <c r="B33" s="118">
        <f>3.72*1000</f>
        <v>3720</v>
      </c>
      <c r="C33" s="119">
        <f>1.44*1000</f>
        <v>1440</v>
      </c>
      <c r="D33" s="126">
        <f>4.36*1000</f>
        <v>4360</v>
      </c>
      <c r="E33" s="143"/>
      <c r="F33" s="130">
        <f>9.6*1000</f>
        <v>9600</v>
      </c>
      <c r="G33" s="250">
        <f>G31</f>
        <v>3120</v>
      </c>
      <c r="H33" s="119"/>
      <c r="I33" s="117"/>
      <c r="J33" s="117"/>
      <c r="K33" s="117"/>
      <c r="L33" s="119">
        <f>2.86*1000</f>
        <v>2860</v>
      </c>
      <c r="M33" s="126">
        <f>D39</f>
        <v>36370</v>
      </c>
      <c r="N33" s="267">
        <f>M46</f>
        <v>4502410</v>
      </c>
      <c r="O33" s="120"/>
      <c r="P33" s="117"/>
      <c r="Q33" s="117"/>
      <c r="R33" s="117"/>
    </row>
    <row r="34" spans="1:18" ht="13.5" thickBot="1">
      <c r="A34" s="117"/>
      <c r="B34" s="118">
        <f>9.06*1000</f>
        <v>9060</v>
      </c>
      <c r="C34" s="119">
        <f>3.2*1000</f>
        <v>3200</v>
      </c>
      <c r="D34" s="119">
        <f>19*1000</f>
        <v>19000</v>
      </c>
      <c r="E34" s="120"/>
      <c r="F34" s="252">
        <f>SUM(F31:F33)</f>
        <v>21620</v>
      </c>
      <c r="G34" s="117"/>
      <c r="H34" s="120"/>
      <c r="I34" s="117"/>
      <c r="J34" s="117"/>
      <c r="K34" s="117"/>
      <c r="L34" s="119">
        <f>1.26*1000</f>
        <v>1260</v>
      </c>
      <c r="M34" s="119">
        <f>E35</f>
        <v>6660</v>
      </c>
      <c r="N34" s="266">
        <f>N31+N32+N33</f>
        <v>4509150</v>
      </c>
      <c r="O34" s="144">
        <f>SUM(O31:O33)</f>
        <v>60</v>
      </c>
      <c r="P34" s="117"/>
      <c r="Q34" s="117"/>
      <c r="R34" s="117"/>
    </row>
    <row r="35" spans="1:18" ht="13.5" thickBot="1">
      <c r="A35" s="117"/>
      <c r="B35" s="118">
        <f>9.72*1000</f>
        <v>9720</v>
      </c>
      <c r="C35" s="120"/>
      <c r="D35" s="119">
        <f>(0.13+0.09+0.11)*1000</f>
        <v>330</v>
      </c>
      <c r="E35" s="252">
        <f>SUM(E31:E34)</f>
        <v>6660</v>
      </c>
      <c r="F35" s="117"/>
      <c r="G35" s="117"/>
      <c r="H35" s="253">
        <f>SUM(H31:H34)</f>
        <v>7100</v>
      </c>
      <c r="I35" s="117"/>
      <c r="J35" s="117"/>
      <c r="K35" s="117"/>
      <c r="L35" s="119"/>
      <c r="M35" s="119">
        <f>E44</f>
        <v>25300</v>
      </c>
      <c r="N35" s="117"/>
      <c r="O35" s="117"/>
      <c r="P35" s="117"/>
      <c r="Q35" s="117"/>
      <c r="R35" s="117"/>
    </row>
    <row r="36" spans="1:18" ht="13.5" thickBot="1">
      <c r="A36" s="117"/>
      <c r="B36" s="119">
        <f>9.24*1000</f>
        <v>9240</v>
      </c>
      <c r="C36" s="250">
        <f>C31+C32+C33+C34</f>
        <v>6680</v>
      </c>
      <c r="D36" s="119">
        <f>9.26*1000</f>
        <v>9260</v>
      </c>
      <c r="E36" s="117"/>
      <c r="F36" s="117"/>
      <c r="G36" s="117"/>
      <c r="H36" s="117"/>
      <c r="I36" s="117"/>
      <c r="J36" s="117"/>
      <c r="K36" s="117"/>
      <c r="L36" s="120"/>
      <c r="M36" s="119">
        <f>F34</f>
        <v>21620</v>
      </c>
      <c r="N36" s="117"/>
      <c r="O36" s="117"/>
      <c r="P36" s="117"/>
      <c r="Q36" s="117"/>
      <c r="R36" s="117"/>
    </row>
    <row r="37" spans="1:18" ht="13.5" thickBot="1">
      <c r="A37" s="117"/>
      <c r="B37" s="119">
        <f>11.7*1000</f>
        <v>11700</v>
      </c>
      <c r="C37" s="117"/>
      <c r="D37" s="4"/>
      <c r="E37" s="259" t="s">
        <v>223</v>
      </c>
      <c r="F37" s="117"/>
      <c r="G37" s="117"/>
      <c r="H37" s="117"/>
      <c r="I37" s="117"/>
      <c r="J37" s="117"/>
      <c r="K37" s="117"/>
      <c r="L37" s="252">
        <f>SUM(L31:L36)</f>
        <v>10620</v>
      </c>
      <c r="M37" s="119">
        <f>G33</f>
        <v>3120</v>
      </c>
      <c r="N37" s="117"/>
      <c r="O37" s="117"/>
      <c r="P37" s="117"/>
      <c r="Q37" s="117"/>
      <c r="R37" s="117"/>
    </row>
    <row r="38" spans="1:18" ht="13.5" thickBot="1">
      <c r="A38" s="117"/>
      <c r="B38" s="119">
        <f>9.94*1000</f>
        <v>9940</v>
      </c>
      <c r="C38" s="117"/>
      <c r="D38" s="5"/>
      <c r="E38" s="119">
        <v>10400</v>
      </c>
      <c r="F38" s="117" t="s">
        <v>224</v>
      </c>
      <c r="G38" s="117"/>
      <c r="H38" s="117"/>
      <c r="I38" s="117"/>
      <c r="J38" s="117"/>
      <c r="K38" s="117"/>
      <c r="L38" s="117"/>
      <c r="M38" s="119">
        <f>H35</f>
        <v>7100</v>
      </c>
      <c r="N38" s="117"/>
      <c r="O38" s="117"/>
      <c r="P38" s="117"/>
      <c r="Q38" s="117"/>
      <c r="R38" s="117"/>
    </row>
    <row r="39" spans="1:18" ht="13.5" thickBot="1">
      <c r="A39" s="117"/>
      <c r="B39" s="119">
        <f>9.06*1000</f>
        <v>9060</v>
      </c>
      <c r="C39" s="117"/>
      <c r="D39" s="252">
        <f>SUM(D31:D38)</f>
        <v>36370</v>
      </c>
      <c r="E39" s="119">
        <v>7220</v>
      </c>
      <c r="F39" s="117" t="s">
        <v>225</v>
      </c>
      <c r="G39" s="117"/>
      <c r="H39" s="117"/>
      <c r="I39" s="117"/>
      <c r="J39" s="117"/>
      <c r="K39" s="117"/>
      <c r="L39" s="117"/>
      <c r="M39" s="119">
        <f>I31</f>
        <v>499000</v>
      </c>
      <c r="N39" s="117"/>
      <c r="O39" s="137"/>
      <c r="P39" s="137"/>
      <c r="Q39" s="117"/>
      <c r="R39" s="117"/>
    </row>
    <row r="40" spans="1:18" ht="12.75">
      <c r="A40" s="117"/>
      <c r="B40" s="119">
        <f>10.04*1000</f>
        <v>10040</v>
      </c>
      <c r="C40" s="117"/>
      <c r="D40" s="164">
        <f>D39/2</f>
        <v>18185</v>
      </c>
      <c r="E40" s="119">
        <v>700</v>
      </c>
      <c r="F40" s="117" t="s">
        <v>225</v>
      </c>
      <c r="G40" s="117"/>
      <c r="H40" s="117"/>
      <c r="I40" s="117"/>
      <c r="J40" s="117"/>
      <c r="K40" s="117"/>
      <c r="L40" s="117"/>
      <c r="M40" s="123">
        <f>J31</f>
        <v>476000</v>
      </c>
      <c r="N40" s="117"/>
      <c r="O40" s="137"/>
      <c r="P40" s="137"/>
      <c r="Q40" s="117"/>
      <c r="R40" s="117"/>
    </row>
    <row r="41" spans="1:18" ht="12.75">
      <c r="A41" s="117"/>
      <c r="B41" s="119">
        <f>10.96*1000</f>
        <v>10960</v>
      </c>
      <c r="C41" s="117"/>
      <c r="E41" s="123">
        <v>5000</v>
      </c>
      <c r="F41" s="117" t="s">
        <v>226</v>
      </c>
      <c r="G41" s="117"/>
      <c r="H41" s="117"/>
      <c r="I41" s="117"/>
      <c r="J41" s="117"/>
      <c r="K41" s="117"/>
      <c r="L41" s="117"/>
      <c r="M41" s="123">
        <f>K31</f>
        <v>3290000</v>
      </c>
      <c r="N41" s="117"/>
      <c r="O41" s="137"/>
      <c r="P41" s="137"/>
      <c r="Q41" s="117"/>
      <c r="R41" s="117"/>
    </row>
    <row r="42" spans="1:18" ht="12.75">
      <c r="A42" s="117"/>
      <c r="B42" s="119">
        <f>8.84*1000</f>
        <v>8840</v>
      </c>
      <c r="C42" s="117"/>
      <c r="E42" s="119">
        <v>1980</v>
      </c>
      <c r="F42" s="117" t="s">
        <v>226</v>
      </c>
      <c r="M42" s="119">
        <f>L37</f>
        <v>10620</v>
      </c>
      <c r="O42" s="117"/>
      <c r="P42" s="117"/>
      <c r="Q42" s="117"/>
      <c r="R42" s="117"/>
    </row>
    <row r="43" spans="1:18" ht="13.5" thickBot="1">
      <c r="A43" s="117"/>
      <c r="B43" s="119">
        <f>8.88*1000</f>
        <v>8880</v>
      </c>
      <c r="C43" s="117"/>
      <c r="E43" s="124"/>
      <c r="F43" s="28"/>
      <c r="M43" s="119">
        <f>P31</f>
        <v>880</v>
      </c>
      <c r="O43" s="117"/>
      <c r="P43" s="117"/>
      <c r="Q43" s="117"/>
      <c r="R43" s="117"/>
    </row>
    <row r="44" spans="1:18" ht="13.5" thickBot="1">
      <c r="A44" s="117"/>
      <c r="B44" s="123">
        <f>5.98*1000</f>
        <v>5980</v>
      </c>
      <c r="C44" s="117"/>
      <c r="E44" s="252">
        <f>SUM(E38:E43)</f>
        <v>25300</v>
      </c>
      <c r="M44" s="119">
        <f>Q31</f>
        <v>0</v>
      </c>
      <c r="O44" s="117"/>
      <c r="P44" s="117"/>
      <c r="Q44" s="117"/>
      <c r="R44" s="117"/>
    </row>
    <row r="45" spans="1:13" ht="13.5" thickBot="1">
      <c r="A45" s="117"/>
      <c r="B45" s="123"/>
      <c r="C45" s="117"/>
      <c r="F45" s="92"/>
      <c r="M45" s="120">
        <f>R31</f>
        <v>0</v>
      </c>
    </row>
    <row r="46" spans="1:15" ht="13.5" thickBot="1">
      <c r="A46" s="117"/>
      <c r="B46" s="123"/>
      <c r="C46" s="117"/>
      <c r="E46" s="247"/>
      <c r="M46" s="252">
        <f>SUM(M31:M45)</f>
        <v>4502410</v>
      </c>
      <c r="N46" s="262" t="s">
        <v>177</v>
      </c>
      <c r="O46" s="263" t="s">
        <v>227</v>
      </c>
    </row>
    <row r="47" spans="1:3" ht="13.5" thickBot="1">
      <c r="A47" s="117"/>
      <c r="B47" s="123"/>
      <c r="C47" s="117"/>
    </row>
    <row r="48" spans="1:15" ht="13.5" thickBot="1">
      <c r="A48" s="117"/>
      <c r="B48" s="123"/>
      <c r="C48" s="117"/>
      <c r="M48" s="249">
        <f>N34</f>
        <v>4509150</v>
      </c>
      <c r="N48" s="256" t="s">
        <v>179</v>
      </c>
      <c r="O48" s="257" t="s">
        <v>228</v>
      </c>
    </row>
    <row r="49" spans="1:3" ht="13.5" thickBot="1">
      <c r="A49" s="117"/>
      <c r="B49" s="124"/>
      <c r="C49" s="117"/>
    </row>
    <row r="50" spans="1:14" ht="13.5" thickBot="1">
      <c r="A50" s="117"/>
      <c r="B50" s="251">
        <f>SUM(B31:B49)</f>
        <v>125740</v>
      </c>
      <c r="C50" s="117"/>
      <c r="M50" s="228">
        <f>100*(M46/M48)</f>
        <v>99.85052615237905</v>
      </c>
      <c r="N50" s="180" t="s">
        <v>193</v>
      </c>
    </row>
    <row r="51" spans="1:14" ht="12.75">
      <c r="A51" s="117"/>
      <c r="B51" s="137"/>
      <c r="C51" s="117"/>
      <c r="N51" s="264" t="s">
        <v>178</v>
      </c>
    </row>
    <row r="52" spans="1:14" ht="12.75">
      <c r="A52" s="117"/>
      <c r="B52" s="137"/>
      <c r="C52" s="117"/>
      <c r="N52" s="265" t="s">
        <v>180</v>
      </c>
    </row>
    <row r="53" spans="1:3" ht="13.5" thickBot="1">
      <c r="A53" s="117"/>
      <c r="B53" s="137"/>
      <c r="C53" s="117"/>
    </row>
    <row r="54" spans="1:14" ht="13.5" thickBot="1">
      <c r="A54" s="117"/>
      <c r="B54" s="137"/>
      <c r="C54" s="117"/>
      <c r="M54" s="228">
        <f>M48/(1000*S31)</f>
        <v>22.31258350239992</v>
      </c>
      <c r="N54" s="180" t="s">
        <v>230</v>
      </c>
    </row>
    <row r="55" spans="1:14" ht="12.75">
      <c r="A55" s="117"/>
      <c r="B55" s="137"/>
      <c r="C55" s="117"/>
      <c r="N55" s="169" t="s">
        <v>195</v>
      </c>
    </row>
    <row r="56" spans="1:3" ht="13.5" thickBot="1">
      <c r="A56" s="117"/>
      <c r="B56" s="137"/>
      <c r="C56" s="117"/>
    </row>
    <row r="57" spans="1:14" ht="13.5" thickBot="1">
      <c r="A57" s="117"/>
      <c r="B57" s="137"/>
      <c r="C57" s="117"/>
      <c r="M57" s="261">
        <f>M46</f>
        <v>4502410</v>
      </c>
      <c r="N57" s="260" t="s">
        <v>215</v>
      </c>
    </row>
    <row r="58" spans="1:14" ht="12.75">
      <c r="A58" s="117"/>
      <c r="B58" s="137"/>
      <c r="C58" s="117"/>
      <c r="M58" s="248"/>
      <c r="N58" s="169"/>
    </row>
    <row r="59" spans="1:3" ht="12.75">
      <c r="A59" s="117"/>
      <c r="B59" s="137"/>
      <c r="C59" s="117"/>
    </row>
    <row r="61" ht="12.75">
      <c r="A61" s="181" t="s">
        <v>229</v>
      </c>
    </row>
    <row r="62" ht="13.5" thickBot="1"/>
    <row r="63" spans="1:19" ht="13.5" thickBot="1">
      <c r="A63" s="53" t="s">
        <v>40</v>
      </c>
      <c r="B63" s="15" t="s">
        <v>0</v>
      </c>
      <c r="C63" s="16" t="s">
        <v>1</v>
      </c>
      <c r="D63" s="42" t="s">
        <v>2</v>
      </c>
      <c r="E63" s="142" t="s">
        <v>81</v>
      </c>
      <c r="F63" s="19" t="s">
        <v>4</v>
      </c>
      <c r="G63" s="20" t="s">
        <v>5</v>
      </c>
      <c r="H63" s="33" t="s">
        <v>6</v>
      </c>
      <c r="I63" s="109" t="s">
        <v>141</v>
      </c>
      <c r="J63" s="23" t="s">
        <v>8</v>
      </c>
      <c r="K63" s="24" t="s">
        <v>9</v>
      </c>
      <c r="L63" s="49" t="s">
        <v>14</v>
      </c>
      <c r="M63" s="1" t="s">
        <v>13</v>
      </c>
      <c r="N63" s="3" t="s">
        <v>11</v>
      </c>
      <c r="O63" s="50" t="s">
        <v>114</v>
      </c>
      <c r="P63" s="81" t="s">
        <v>113</v>
      </c>
      <c r="Q63" s="110" t="s">
        <v>142</v>
      </c>
      <c r="R63" s="111" t="s">
        <v>80</v>
      </c>
      <c r="S63" s="190" t="s">
        <v>196</v>
      </c>
    </row>
    <row r="64" spans="1:19" ht="13.5" thickBot="1">
      <c r="A64" s="250">
        <v>0</v>
      </c>
      <c r="B64" s="115">
        <f>167.74*1000</f>
        <v>167740</v>
      </c>
      <c r="C64" s="116">
        <f>17.12*1000</f>
        <v>17120</v>
      </c>
      <c r="D64" s="125">
        <f>18.3*1000</f>
        <v>18300</v>
      </c>
      <c r="E64" s="119">
        <f>7.22*1000</f>
        <v>7220</v>
      </c>
      <c r="F64" s="125">
        <f>43.1*1000</f>
        <v>43100</v>
      </c>
      <c r="G64" s="115">
        <f>2.96*1000</f>
        <v>2960</v>
      </c>
      <c r="H64" s="116">
        <f>0.5*1000</f>
        <v>500</v>
      </c>
      <c r="I64" s="254">
        <f>494*1000</f>
        <v>494000</v>
      </c>
      <c r="J64" s="254">
        <f>865.82*1000</f>
        <v>865820</v>
      </c>
      <c r="K64" s="255">
        <f>(4276.64)*1000</f>
        <v>4276640</v>
      </c>
      <c r="L64" s="119">
        <f>8.08*1000</f>
        <v>8080</v>
      </c>
      <c r="M64" s="132">
        <f>A64</f>
        <v>0</v>
      </c>
      <c r="N64" s="135">
        <f>C69</f>
        <v>17120</v>
      </c>
      <c r="O64" s="269">
        <v>0</v>
      </c>
      <c r="P64" s="149">
        <v>2060</v>
      </c>
      <c r="Q64" s="147">
        <v>0</v>
      </c>
      <c r="R64" s="121">
        <v>0</v>
      </c>
      <c r="S64" s="121">
        <v>259</v>
      </c>
    </row>
    <row r="65" spans="1:18" ht="13.5" thickBot="1">
      <c r="A65" s="117"/>
      <c r="B65" s="118"/>
      <c r="C65" s="119"/>
      <c r="D65" s="126"/>
      <c r="E65" s="123"/>
      <c r="F65" s="126"/>
      <c r="G65" s="133"/>
      <c r="H65" s="119"/>
      <c r="I65" s="117"/>
      <c r="J65" s="117"/>
      <c r="K65" s="117"/>
      <c r="L65" s="119"/>
      <c r="M65" s="126">
        <f>B83</f>
        <v>167740</v>
      </c>
      <c r="N65" s="118">
        <f>O67</f>
        <v>0</v>
      </c>
      <c r="O65" s="119"/>
      <c r="P65" s="117"/>
      <c r="Q65" s="117"/>
      <c r="R65" s="117"/>
    </row>
    <row r="66" spans="1:18" ht="13.5" thickBot="1">
      <c r="A66" s="117"/>
      <c r="B66" s="118"/>
      <c r="C66" s="119"/>
      <c r="D66" s="126"/>
      <c r="E66" s="143"/>
      <c r="F66" s="130"/>
      <c r="G66" s="250">
        <f>G64</f>
        <v>2960</v>
      </c>
      <c r="H66" s="119"/>
      <c r="I66" s="117"/>
      <c r="J66" s="117"/>
      <c r="K66" s="117"/>
      <c r="L66" s="119"/>
      <c r="M66" s="126">
        <f>D72</f>
        <v>18300</v>
      </c>
      <c r="N66" s="258">
        <f>M79</f>
        <v>5886420</v>
      </c>
      <c r="O66" s="120"/>
      <c r="P66" s="117"/>
      <c r="Q66" s="117"/>
      <c r="R66" s="117"/>
    </row>
    <row r="67" spans="1:18" ht="13.5" thickBot="1">
      <c r="A67" s="117"/>
      <c r="B67" s="118"/>
      <c r="C67" s="119"/>
      <c r="D67" s="119"/>
      <c r="E67" s="120"/>
      <c r="F67" s="252">
        <f>SUM(F64:F66)</f>
        <v>43100</v>
      </c>
      <c r="G67" s="117"/>
      <c r="H67" s="120"/>
      <c r="I67" s="117"/>
      <c r="J67" s="117"/>
      <c r="K67" s="117"/>
      <c r="L67" s="119"/>
      <c r="M67" s="119">
        <f>E68</f>
        <v>7220</v>
      </c>
      <c r="N67" s="146">
        <f>N64+N65+N66</f>
        <v>5903540</v>
      </c>
      <c r="O67" s="144">
        <f>SUM(O64:O66)</f>
        <v>0</v>
      </c>
      <c r="P67" s="117"/>
      <c r="Q67" s="117"/>
      <c r="R67" s="117"/>
    </row>
    <row r="68" spans="1:18" ht="13.5" thickBot="1">
      <c r="A68" s="117"/>
      <c r="B68" s="118"/>
      <c r="C68" s="120"/>
      <c r="D68" s="119"/>
      <c r="E68" s="252">
        <f>SUM(E64:E67)</f>
        <v>7220</v>
      </c>
      <c r="F68" s="117"/>
      <c r="G68" s="117"/>
      <c r="H68" s="253">
        <f>SUM(H64:H67)</f>
        <v>500</v>
      </c>
      <c r="I68" s="117"/>
      <c r="J68" s="117"/>
      <c r="K68" s="117"/>
      <c r="L68" s="119"/>
      <c r="M68" s="119">
        <f>E77</f>
        <v>0</v>
      </c>
      <c r="N68" s="117"/>
      <c r="O68" s="117"/>
      <c r="P68" s="117"/>
      <c r="Q68" s="117"/>
      <c r="R68" s="117"/>
    </row>
    <row r="69" spans="1:18" ht="13.5" thickBot="1">
      <c r="A69" s="117"/>
      <c r="B69" s="119"/>
      <c r="C69" s="250">
        <f>C64+C65+C66+C67</f>
        <v>17120</v>
      </c>
      <c r="D69" s="119"/>
      <c r="E69" s="117"/>
      <c r="F69" s="117"/>
      <c r="G69" s="117"/>
      <c r="H69" s="117"/>
      <c r="I69" s="117"/>
      <c r="J69" s="117"/>
      <c r="K69" s="117"/>
      <c r="L69" s="120"/>
      <c r="M69" s="119">
        <f>F67</f>
        <v>43100</v>
      </c>
      <c r="N69" s="117"/>
      <c r="O69" s="117"/>
      <c r="P69" s="117"/>
      <c r="Q69" s="117"/>
      <c r="R69" s="117"/>
    </row>
    <row r="70" spans="1:18" ht="13.5" thickBot="1">
      <c r="A70" s="117"/>
      <c r="B70" s="119"/>
      <c r="C70" s="117"/>
      <c r="D70" s="4"/>
      <c r="E70" s="259" t="s">
        <v>223</v>
      </c>
      <c r="F70" s="117"/>
      <c r="G70" s="117"/>
      <c r="H70" s="117"/>
      <c r="I70" s="117"/>
      <c r="J70" s="117"/>
      <c r="K70" s="117"/>
      <c r="L70" s="252">
        <f>SUM(L64:L69)</f>
        <v>8080</v>
      </c>
      <c r="M70" s="119">
        <f>G66</f>
        <v>2960</v>
      </c>
      <c r="N70" s="117"/>
      <c r="O70" s="117"/>
      <c r="P70" s="117"/>
      <c r="Q70" s="117"/>
      <c r="R70" s="117"/>
    </row>
    <row r="71" spans="1:18" ht="13.5" thickBot="1">
      <c r="A71" s="117"/>
      <c r="B71" s="119"/>
      <c r="C71" s="117"/>
      <c r="D71" s="5"/>
      <c r="E71" s="125"/>
      <c r="F71" s="117"/>
      <c r="G71" s="117"/>
      <c r="H71" s="117"/>
      <c r="I71" s="117"/>
      <c r="J71" s="117"/>
      <c r="K71" s="117"/>
      <c r="L71" s="117"/>
      <c r="M71" s="119">
        <f>H68</f>
        <v>500</v>
      </c>
      <c r="N71" s="117"/>
      <c r="O71" s="117"/>
      <c r="P71" s="117"/>
      <c r="Q71" s="117"/>
      <c r="R71" s="117"/>
    </row>
    <row r="72" spans="1:18" ht="13.5" thickBot="1">
      <c r="A72" s="117"/>
      <c r="B72" s="119"/>
      <c r="C72" s="117"/>
      <c r="D72" s="252">
        <f>SUM(D64:D71)</f>
        <v>18300</v>
      </c>
      <c r="E72" s="119"/>
      <c r="F72" s="117"/>
      <c r="G72" s="117"/>
      <c r="H72" s="117"/>
      <c r="I72" s="117"/>
      <c r="J72" s="117"/>
      <c r="K72" s="117"/>
      <c r="L72" s="117"/>
      <c r="M72" s="119">
        <f>I64</f>
        <v>494000</v>
      </c>
      <c r="N72" s="117"/>
      <c r="O72" s="137"/>
      <c r="P72" s="137"/>
      <c r="Q72" s="117"/>
      <c r="R72" s="117"/>
    </row>
    <row r="73" spans="1:18" ht="12.75">
      <c r="A73" s="117"/>
      <c r="B73" s="119"/>
      <c r="C73" s="117"/>
      <c r="D73" s="164">
        <f>D72/2</f>
        <v>9150</v>
      </c>
      <c r="E73" s="119"/>
      <c r="F73" s="117"/>
      <c r="G73" s="117"/>
      <c r="H73" s="117"/>
      <c r="I73" s="117"/>
      <c r="J73" s="117"/>
      <c r="K73" s="117"/>
      <c r="L73" s="117"/>
      <c r="M73" s="123">
        <f>J64</f>
        <v>865820</v>
      </c>
      <c r="N73" s="117"/>
      <c r="O73" s="137"/>
      <c r="P73" s="137"/>
      <c r="Q73" s="117"/>
      <c r="R73" s="117"/>
    </row>
    <row r="74" spans="1:18" ht="13.5" thickBot="1">
      <c r="A74" s="117"/>
      <c r="B74" s="119"/>
      <c r="C74" s="117"/>
      <c r="E74" s="124"/>
      <c r="F74" s="117"/>
      <c r="G74" s="117"/>
      <c r="H74" s="117"/>
      <c r="I74" s="117"/>
      <c r="J74" s="117"/>
      <c r="K74" s="117"/>
      <c r="L74" s="117"/>
      <c r="M74" s="123">
        <f>K64</f>
        <v>4276640</v>
      </c>
      <c r="N74" s="117"/>
      <c r="O74" s="137"/>
      <c r="P74" s="137"/>
      <c r="Q74" s="117"/>
      <c r="R74" s="117"/>
    </row>
    <row r="75" spans="1:18" ht="13.5" thickBot="1">
      <c r="A75" s="117"/>
      <c r="B75" s="119"/>
      <c r="C75" s="117"/>
      <c r="E75" s="121"/>
      <c r="F75" s="117"/>
      <c r="M75" s="119">
        <f>L70</f>
        <v>8080</v>
      </c>
      <c r="O75" s="117"/>
      <c r="P75" s="117"/>
      <c r="Q75" s="117"/>
      <c r="R75" s="117"/>
    </row>
    <row r="76" spans="1:18" ht="13.5" thickBot="1">
      <c r="A76" s="117"/>
      <c r="B76" s="119"/>
      <c r="C76" s="117"/>
      <c r="E76" s="123"/>
      <c r="F76" s="28"/>
      <c r="M76" s="119">
        <f>P64</f>
        <v>2060</v>
      </c>
      <c r="O76" s="117"/>
      <c r="P76" s="117"/>
      <c r="Q76" s="117"/>
      <c r="R76" s="117"/>
    </row>
    <row r="77" spans="1:18" ht="13.5" thickBot="1">
      <c r="A77" s="117"/>
      <c r="B77" s="123"/>
      <c r="C77" s="117"/>
      <c r="E77" s="252">
        <f>SUM(E71:E76)</f>
        <v>0</v>
      </c>
      <c r="M77" s="119">
        <f>Q64</f>
        <v>0</v>
      </c>
      <c r="O77" s="117"/>
      <c r="P77" s="117"/>
      <c r="Q77" s="117"/>
      <c r="R77" s="117"/>
    </row>
    <row r="78" spans="1:13" ht="13.5" thickBot="1">
      <c r="A78" s="117"/>
      <c r="B78" s="123"/>
      <c r="C78" s="117"/>
      <c r="F78" s="92"/>
      <c r="M78" s="120">
        <f>R64</f>
        <v>0</v>
      </c>
    </row>
    <row r="79" spans="1:15" ht="13.5" thickBot="1">
      <c r="A79" s="117"/>
      <c r="B79" s="123"/>
      <c r="C79" s="117"/>
      <c r="E79" s="247"/>
      <c r="M79" s="252">
        <f>SUM(M64:M78)</f>
        <v>5886420</v>
      </c>
      <c r="N79" s="262" t="s">
        <v>177</v>
      </c>
      <c r="O79" s="263" t="s">
        <v>227</v>
      </c>
    </row>
    <row r="80" spans="1:3" ht="13.5" thickBot="1">
      <c r="A80" s="117"/>
      <c r="B80" s="123"/>
      <c r="C80" s="117"/>
    </row>
    <row r="81" spans="1:15" ht="13.5" thickBot="1">
      <c r="A81" s="117"/>
      <c r="B81" s="123"/>
      <c r="C81" s="117"/>
      <c r="M81" s="249">
        <f>N67</f>
        <v>5903540</v>
      </c>
      <c r="N81" s="256" t="s">
        <v>179</v>
      </c>
      <c r="O81" s="257" t="s">
        <v>228</v>
      </c>
    </row>
    <row r="82" spans="1:3" ht="13.5" thickBot="1">
      <c r="A82" s="117"/>
      <c r="B82" s="124"/>
      <c r="C82" s="117"/>
    </row>
    <row r="83" spans="1:14" ht="13.5" thickBot="1">
      <c r="A83" s="117"/>
      <c r="B83" s="251">
        <f>SUM(B64:B82)</f>
        <v>167740</v>
      </c>
      <c r="C83" s="117"/>
      <c r="M83" s="228">
        <f>100*(M79/M81)</f>
        <v>99.71000450577111</v>
      </c>
      <c r="N83" s="180" t="s">
        <v>193</v>
      </c>
    </row>
    <row r="84" spans="1:14" ht="12.75">
      <c r="A84" s="117"/>
      <c r="B84" s="137"/>
      <c r="C84" s="117"/>
      <c r="N84" s="264" t="s">
        <v>178</v>
      </c>
    </row>
    <row r="85" spans="1:14" ht="12.75">
      <c r="A85" s="117"/>
      <c r="B85" s="137"/>
      <c r="C85" s="117"/>
      <c r="N85" s="265" t="s">
        <v>180</v>
      </c>
    </row>
    <row r="86" spans="1:3" ht="13.5" thickBot="1">
      <c r="A86" s="117"/>
      <c r="B86" s="137"/>
      <c r="C86" s="117"/>
    </row>
    <row r="87" spans="1:14" ht="13.5" thickBot="1">
      <c r="A87" s="117"/>
      <c r="B87" s="137"/>
      <c r="C87" s="117"/>
      <c r="M87" s="228">
        <f>M81/(1000*S64)</f>
        <v>22.793590733590733</v>
      </c>
      <c r="N87" s="180" t="s">
        <v>230</v>
      </c>
    </row>
    <row r="88" spans="1:14" ht="12.75">
      <c r="A88" s="117"/>
      <c r="B88" s="137"/>
      <c r="C88" s="117"/>
      <c r="N88" s="169" t="s">
        <v>195</v>
      </c>
    </row>
    <row r="89" spans="1:3" ht="13.5" thickBot="1">
      <c r="A89" s="117"/>
      <c r="B89" s="137"/>
      <c r="C89" s="117"/>
    </row>
    <row r="90" spans="1:14" ht="13.5" thickBot="1">
      <c r="A90" s="117"/>
      <c r="B90" s="137"/>
      <c r="C90" s="117"/>
      <c r="M90" s="261">
        <f>M79</f>
        <v>5886420</v>
      </c>
      <c r="N90" s="260" t="s">
        <v>215</v>
      </c>
    </row>
    <row r="94" ht="12.75">
      <c r="A94" s="181" t="s">
        <v>184</v>
      </c>
    </row>
    <row r="95" ht="13.5" thickBot="1"/>
    <row r="96" spans="1:19" ht="13.5" thickBot="1">
      <c r="A96" s="53" t="s">
        <v>40</v>
      </c>
      <c r="B96" s="15" t="s">
        <v>0</v>
      </c>
      <c r="C96" s="16" t="s">
        <v>1</v>
      </c>
      <c r="D96" s="42" t="s">
        <v>2</v>
      </c>
      <c r="E96" s="142" t="s">
        <v>81</v>
      </c>
      <c r="F96" s="19" t="s">
        <v>4</v>
      </c>
      <c r="G96" s="20" t="s">
        <v>5</v>
      </c>
      <c r="H96" s="33" t="s">
        <v>6</v>
      </c>
      <c r="I96" s="109" t="s">
        <v>141</v>
      </c>
      <c r="J96" s="23" t="s">
        <v>8</v>
      </c>
      <c r="K96" s="24" t="s">
        <v>9</v>
      </c>
      <c r="L96" s="49" t="s">
        <v>14</v>
      </c>
      <c r="M96" s="1" t="s">
        <v>13</v>
      </c>
      <c r="N96" s="3" t="s">
        <v>11</v>
      </c>
      <c r="O96" s="50" t="s">
        <v>114</v>
      </c>
      <c r="P96" s="81" t="s">
        <v>113</v>
      </c>
      <c r="Q96" s="110" t="s">
        <v>142</v>
      </c>
      <c r="R96" s="111" t="s">
        <v>80</v>
      </c>
      <c r="S96" s="190" t="s">
        <v>196</v>
      </c>
    </row>
    <row r="97" spans="1:19" ht="13.5" thickBot="1">
      <c r="A97" s="250">
        <v>0</v>
      </c>
      <c r="B97" s="115">
        <f>10.98*1000</f>
        <v>10980</v>
      </c>
      <c r="C97" s="116">
        <f>3.92*1000</f>
        <v>3920</v>
      </c>
      <c r="D97" s="125">
        <f>3.44*1000</f>
        <v>3440</v>
      </c>
      <c r="E97" s="119">
        <v>5220</v>
      </c>
      <c r="F97" s="125">
        <f>6.68*1000</f>
        <v>6680</v>
      </c>
      <c r="G97" s="115">
        <f>1.92*1000</f>
        <v>1920</v>
      </c>
      <c r="H97" s="116">
        <f>1.53*1000</f>
        <v>1530</v>
      </c>
      <c r="I97" s="254">
        <f>820*1000</f>
        <v>820000</v>
      </c>
      <c r="J97" s="254">
        <f>946.51*1000</f>
        <v>946510</v>
      </c>
      <c r="K97" s="255">
        <f>(4222.96)*1000</f>
        <v>4222960</v>
      </c>
      <c r="L97" s="119">
        <f>1.44*1000</f>
        <v>1440</v>
      </c>
      <c r="M97" s="132">
        <f>A97</f>
        <v>0</v>
      </c>
      <c r="N97" s="135">
        <f>C105</f>
        <v>23820</v>
      </c>
      <c r="O97" s="269">
        <f>7.2*1000</f>
        <v>7200</v>
      </c>
      <c r="P97" s="149">
        <v>0</v>
      </c>
      <c r="Q97" s="147">
        <v>0</v>
      </c>
      <c r="R97" s="121">
        <v>0</v>
      </c>
      <c r="S97" s="121">
        <v>265</v>
      </c>
    </row>
    <row r="98" spans="1:18" ht="13.5" thickBot="1">
      <c r="A98" s="117"/>
      <c r="B98" s="118">
        <f>14.48*1000</f>
        <v>14480</v>
      </c>
      <c r="C98" s="119">
        <f>4.76*1000</f>
        <v>4760</v>
      </c>
      <c r="D98" s="126">
        <f>0.58*1000</f>
        <v>580</v>
      </c>
      <c r="E98" s="123"/>
      <c r="F98" s="126">
        <f>7.26*1000</f>
        <v>7260</v>
      </c>
      <c r="G98" s="133">
        <f>1.76*1000</f>
        <v>1760</v>
      </c>
      <c r="H98" s="119">
        <f>7.81*1000</f>
        <v>7810</v>
      </c>
      <c r="I98" s="117"/>
      <c r="J98" s="117"/>
      <c r="K98" s="117"/>
      <c r="L98" s="119">
        <f>0.76*1000</f>
        <v>760</v>
      </c>
      <c r="M98" s="126">
        <f>B116</f>
        <v>106240</v>
      </c>
      <c r="N98" s="118">
        <f>O100</f>
        <v>7200</v>
      </c>
      <c r="O98" s="119"/>
      <c r="P98" s="117"/>
      <c r="Q98" s="117"/>
      <c r="R98" s="117"/>
    </row>
    <row r="99" spans="1:18" ht="13.5" thickBot="1">
      <c r="A99" s="117"/>
      <c r="B99" s="118">
        <f>13.02*1000</f>
        <v>13020</v>
      </c>
      <c r="C99" s="119">
        <f>4.6*1000</f>
        <v>4600</v>
      </c>
      <c r="D99" s="126">
        <f>(0.13*4)*1000</f>
        <v>520</v>
      </c>
      <c r="E99" s="143"/>
      <c r="F99" s="130">
        <f>9.18*1000</f>
        <v>9180</v>
      </c>
      <c r="G99" s="250">
        <f>G97</f>
        <v>1920</v>
      </c>
      <c r="H99" s="119"/>
      <c r="I99" s="117"/>
      <c r="J99" s="117"/>
      <c r="K99" s="117"/>
      <c r="L99" s="119">
        <f>0.18*1000</f>
        <v>180</v>
      </c>
      <c r="M99" s="126">
        <f>D105</f>
        <v>11820</v>
      </c>
      <c r="N99" s="258">
        <f>M112</f>
        <v>6161890</v>
      </c>
      <c r="O99" s="120"/>
      <c r="P99" s="117"/>
      <c r="Q99" s="117"/>
      <c r="R99" s="117"/>
    </row>
    <row r="100" spans="1:18" ht="13.5" thickBot="1">
      <c r="A100" s="117"/>
      <c r="B100" s="118">
        <f>11.34*1000</f>
        <v>11340</v>
      </c>
      <c r="C100" s="119">
        <f>3.44*1000</f>
        <v>3440</v>
      </c>
      <c r="D100" s="119">
        <f>7.28*1000</f>
        <v>7280</v>
      </c>
      <c r="E100" s="120"/>
      <c r="F100" s="252">
        <f>SUM(F97:F99)</f>
        <v>23120</v>
      </c>
      <c r="G100" s="117"/>
      <c r="H100" s="120"/>
      <c r="I100" s="117"/>
      <c r="J100" s="117"/>
      <c r="K100" s="117"/>
      <c r="L100" s="270">
        <f>0.4*1000</f>
        <v>400</v>
      </c>
      <c r="M100" s="119">
        <f>E101</f>
        <v>5220</v>
      </c>
      <c r="N100" s="146">
        <f>N97+N98+N99</f>
        <v>6192910</v>
      </c>
      <c r="O100" s="144">
        <f>SUM(O97:O99)</f>
        <v>7200</v>
      </c>
      <c r="P100" s="117"/>
      <c r="Q100" s="117"/>
      <c r="R100" s="117"/>
    </row>
    <row r="101" spans="1:18" ht="13.5" thickBot="1">
      <c r="A101" s="117"/>
      <c r="B101" s="118">
        <f>6.2*1000</f>
        <v>6200</v>
      </c>
      <c r="C101" s="119">
        <f>5.06*1000</f>
        <v>5060</v>
      </c>
      <c r="D101" s="119"/>
      <c r="E101" s="252">
        <f>SUM(E97:E100)</f>
        <v>5220</v>
      </c>
      <c r="F101" s="117"/>
      <c r="G101" s="117"/>
      <c r="H101" s="253">
        <f>SUM(H97:H100)</f>
        <v>9340</v>
      </c>
      <c r="I101" s="117"/>
      <c r="J101" s="117"/>
      <c r="K101" s="117"/>
      <c r="L101" s="119">
        <f>4.24*1000</f>
        <v>4240</v>
      </c>
      <c r="M101" s="119">
        <f>E110</f>
        <v>0</v>
      </c>
      <c r="N101" s="117"/>
      <c r="O101" s="117"/>
      <c r="P101" s="117"/>
      <c r="Q101" s="117"/>
      <c r="R101" s="117"/>
    </row>
    <row r="102" spans="1:18" ht="13.5" thickBot="1">
      <c r="A102" s="117"/>
      <c r="B102" s="119">
        <f>14.2*1000</f>
        <v>14200</v>
      </c>
      <c r="C102" s="119">
        <f>2.04*1000</f>
        <v>2040</v>
      </c>
      <c r="D102" s="119"/>
      <c r="E102" s="117"/>
      <c r="F102" s="117"/>
      <c r="G102" s="117"/>
      <c r="H102" s="117"/>
      <c r="I102" s="117"/>
      <c r="J102" s="117"/>
      <c r="K102" s="117"/>
      <c r="L102" s="120">
        <f>3.44*1000</f>
        <v>3440</v>
      </c>
      <c r="M102" s="119">
        <f>F100</f>
        <v>23120</v>
      </c>
      <c r="N102" s="117"/>
      <c r="O102" s="117"/>
      <c r="P102" s="117"/>
      <c r="Q102" s="117"/>
      <c r="R102" s="117"/>
    </row>
    <row r="103" spans="1:18" ht="13.5" thickBot="1">
      <c r="A103" s="117"/>
      <c r="B103" s="119">
        <f>10.28*1000</f>
        <v>10280</v>
      </c>
      <c r="C103" s="119"/>
      <c r="D103" s="4"/>
      <c r="E103" s="259" t="s">
        <v>223</v>
      </c>
      <c r="F103" s="117"/>
      <c r="G103" s="117"/>
      <c r="H103" s="117"/>
      <c r="I103" s="117"/>
      <c r="J103" s="117"/>
      <c r="K103" s="117"/>
      <c r="L103" s="231">
        <f>4.3*1000</f>
        <v>4300</v>
      </c>
      <c r="M103" s="119">
        <f>G99</f>
        <v>1920</v>
      </c>
      <c r="N103" s="117"/>
      <c r="O103" s="117"/>
      <c r="P103" s="117"/>
      <c r="Q103" s="117"/>
      <c r="R103" s="117"/>
    </row>
    <row r="104" spans="1:18" ht="13.5" thickBot="1">
      <c r="A104" s="117"/>
      <c r="B104" s="119">
        <f>7.24*1000</f>
        <v>7240</v>
      </c>
      <c r="C104" s="117"/>
      <c r="D104" s="5"/>
      <c r="E104" s="125"/>
      <c r="F104" s="117"/>
      <c r="G104" s="117"/>
      <c r="H104" s="117"/>
      <c r="I104" s="117"/>
      <c r="J104" s="117"/>
      <c r="K104" s="117"/>
      <c r="L104" s="252">
        <f>L97+L98+L99+L100+L101+L102+L103</f>
        <v>14760</v>
      </c>
      <c r="M104" s="119">
        <f>H101</f>
        <v>9340</v>
      </c>
      <c r="N104" s="117"/>
      <c r="O104" s="117"/>
      <c r="P104" s="117"/>
      <c r="Q104" s="117"/>
      <c r="R104" s="117"/>
    </row>
    <row r="105" spans="1:18" ht="13.5" thickBot="1">
      <c r="A105" s="117"/>
      <c r="B105" s="119">
        <f>7.26*1000</f>
        <v>7260</v>
      </c>
      <c r="C105" s="250">
        <f>C97+C98+C99+C100+C101+C102+C103</f>
        <v>23820</v>
      </c>
      <c r="D105" s="252">
        <f>SUM(D97:D104)</f>
        <v>11820</v>
      </c>
      <c r="E105" s="119"/>
      <c r="F105" s="117"/>
      <c r="G105" s="117"/>
      <c r="H105" s="117"/>
      <c r="I105" s="117"/>
      <c r="J105" s="117"/>
      <c r="K105" s="117"/>
      <c r="L105" s="117"/>
      <c r="M105" s="119">
        <f>I97</f>
        <v>820000</v>
      </c>
      <c r="N105" s="117"/>
      <c r="O105" s="137"/>
      <c r="P105" s="137"/>
      <c r="Q105" s="117"/>
      <c r="R105" s="117"/>
    </row>
    <row r="106" spans="1:18" ht="12.75">
      <c r="A106" s="117"/>
      <c r="B106" s="119">
        <f>11.24*1000</f>
        <v>11240</v>
      </c>
      <c r="C106" s="117"/>
      <c r="D106" s="164">
        <f>D105/2</f>
        <v>5910</v>
      </c>
      <c r="E106" s="119"/>
      <c r="F106" s="117"/>
      <c r="G106" s="117"/>
      <c r="H106" s="117"/>
      <c r="I106" s="117"/>
      <c r="J106" s="117"/>
      <c r="K106" s="117"/>
      <c r="L106" s="117"/>
      <c r="M106" s="123">
        <f>J97</f>
        <v>946510</v>
      </c>
      <c r="N106" s="117"/>
      <c r="O106" s="137"/>
      <c r="P106" s="137"/>
      <c r="Q106" s="117"/>
      <c r="R106" s="117"/>
    </row>
    <row r="107" spans="1:18" ht="13.5" thickBot="1">
      <c r="A107" s="117"/>
      <c r="B107" s="119"/>
      <c r="C107" s="117"/>
      <c r="E107" s="124"/>
      <c r="F107" s="117"/>
      <c r="G107" s="117"/>
      <c r="H107" s="117"/>
      <c r="I107" s="117"/>
      <c r="J107" s="117"/>
      <c r="K107" s="117"/>
      <c r="L107" s="117"/>
      <c r="M107" s="123">
        <f>K97</f>
        <v>4222960</v>
      </c>
      <c r="N107" s="117"/>
      <c r="O107" s="137"/>
      <c r="P107" s="137"/>
      <c r="Q107" s="117"/>
      <c r="R107" s="117"/>
    </row>
    <row r="108" spans="1:18" ht="13.5" thickBot="1">
      <c r="A108" s="117"/>
      <c r="B108" s="119"/>
      <c r="C108" s="117"/>
      <c r="E108" s="121"/>
      <c r="F108" s="117"/>
      <c r="M108" s="119">
        <f>L104</f>
        <v>14760</v>
      </c>
      <c r="O108" s="117"/>
      <c r="P108" s="117"/>
      <c r="Q108" s="117"/>
      <c r="R108" s="117"/>
    </row>
    <row r="109" spans="1:18" ht="13.5" thickBot="1">
      <c r="A109" s="117"/>
      <c r="B109" s="119"/>
      <c r="C109" s="117"/>
      <c r="E109" s="123"/>
      <c r="F109" s="28"/>
      <c r="M109" s="119">
        <f>P97</f>
        <v>0</v>
      </c>
      <c r="O109" s="117"/>
      <c r="P109" s="117"/>
      <c r="Q109" s="117"/>
      <c r="R109" s="117"/>
    </row>
    <row r="110" spans="1:18" ht="13.5" thickBot="1">
      <c r="A110" s="117"/>
      <c r="B110" s="123"/>
      <c r="C110" s="117"/>
      <c r="E110" s="252">
        <f>SUM(E104:E109)</f>
        <v>0</v>
      </c>
      <c r="M110" s="119">
        <f>Q97</f>
        <v>0</v>
      </c>
      <c r="O110" s="117"/>
      <c r="P110" s="117"/>
      <c r="Q110" s="117"/>
      <c r="R110" s="117"/>
    </row>
    <row r="111" spans="1:13" ht="13.5" thickBot="1">
      <c r="A111" s="117"/>
      <c r="B111" s="123"/>
      <c r="C111" s="117"/>
      <c r="F111" s="92"/>
      <c r="M111" s="120">
        <f>R97</f>
        <v>0</v>
      </c>
    </row>
    <row r="112" spans="1:15" ht="13.5" thickBot="1">
      <c r="A112" s="117"/>
      <c r="B112" s="123"/>
      <c r="C112" s="117"/>
      <c r="E112" s="247"/>
      <c r="M112" s="252">
        <f>SUM(M97:M111)</f>
        <v>6161890</v>
      </c>
      <c r="N112" s="262" t="s">
        <v>177</v>
      </c>
      <c r="O112" s="263" t="s">
        <v>227</v>
      </c>
    </row>
    <row r="113" spans="1:3" ht="13.5" thickBot="1">
      <c r="A113" s="117"/>
      <c r="B113" s="123"/>
      <c r="C113" s="117"/>
    </row>
    <row r="114" spans="1:15" ht="13.5" thickBot="1">
      <c r="A114" s="117"/>
      <c r="B114" s="123"/>
      <c r="C114" s="117"/>
      <c r="M114" s="249">
        <f>N100</f>
        <v>6192910</v>
      </c>
      <c r="N114" s="256" t="s">
        <v>179</v>
      </c>
      <c r="O114" s="257" t="s">
        <v>228</v>
      </c>
    </row>
    <row r="115" spans="1:3" ht="13.5" thickBot="1">
      <c r="A115" s="117"/>
      <c r="B115" s="124"/>
      <c r="C115" s="117"/>
    </row>
    <row r="116" spans="1:14" ht="13.5" thickBot="1">
      <c r="A116" s="117"/>
      <c r="B116" s="251">
        <f>SUM(B97:B115)</f>
        <v>106240</v>
      </c>
      <c r="C116" s="117"/>
      <c r="M116" s="228">
        <f>100*(M112/M114)</f>
        <v>99.49910462125237</v>
      </c>
      <c r="N116" s="180" t="s">
        <v>193</v>
      </c>
    </row>
    <row r="117" spans="1:14" ht="12.75">
      <c r="A117" s="117"/>
      <c r="B117" s="137"/>
      <c r="C117" s="117"/>
      <c r="N117" s="264" t="s">
        <v>178</v>
      </c>
    </row>
    <row r="118" spans="1:14" ht="12.75">
      <c r="A118" s="117"/>
      <c r="B118" s="137"/>
      <c r="C118" s="117"/>
      <c r="N118" s="265" t="s">
        <v>180</v>
      </c>
    </row>
    <row r="119" spans="1:3" ht="13.5" thickBot="1">
      <c r="A119" s="117"/>
      <c r="B119" s="137"/>
      <c r="C119" s="117"/>
    </row>
    <row r="120" spans="1:14" ht="13.5" thickBot="1">
      <c r="A120" s="117"/>
      <c r="B120" s="137"/>
      <c r="C120" s="117"/>
      <c r="M120" s="228">
        <f>M114/(1000*S97)</f>
        <v>23.36947169811321</v>
      </c>
      <c r="N120" s="180" t="s">
        <v>230</v>
      </c>
    </row>
    <row r="121" spans="1:14" ht="12.75">
      <c r="A121" s="117"/>
      <c r="B121" s="137"/>
      <c r="C121" s="117"/>
      <c r="N121" s="169" t="s">
        <v>195</v>
      </c>
    </row>
    <row r="122" spans="1:3" ht="13.5" thickBot="1">
      <c r="A122" s="117"/>
      <c r="B122" s="137"/>
      <c r="C122" s="117"/>
    </row>
    <row r="123" spans="1:14" ht="13.5" thickBot="1">
      <c r="A123" s="117"/>
      <c r="B123" s="137"/>
      <c r="C123" s="117"/>
      <c r="M123" s="261">
        <f>M112</f>
        <v>6161890</v>
      </c>
      <c r="N123" s="260" t="s">
        <v>215</v>
      </c>
    </row>
    <row r="128" ht="12.75">
      <c r="A128" s="181" t="s">
        <v>185</v>
      </c>
    </row>
    <row r="129" ht="13.5" thickBot="1"/>
    <row r="130" spans="1:19" ht="13.5" thickBot="1">
      <c r="A130" s="53" t="s">
        <v>40</v>
      </c>
      <c r="B130" s="15" t="s">
        <v>0</v>
      </c>
      <c r="C130" s="16" t="s">
        <v>1</v>
      </c>
      <c r="D130" s="42" t="s">
        <v>2</v>
      </c>
      <c r="E130" s="142" t="s">
        <v>81</v>
      </c>
      <c r="F130" s="19" t="s">
        <v>4</v>
      </c>
      <c r="G130" s="20" t="s">
        <v>5</v>
      </c>
      <c r="H130" s="33" t="s">
        <v>6</v>
      </c>
      <c r="I130" s="109" t="s">
        <v>141</v>
      </c>
      <c r="J130" s="23" t="s">
        <v>8</v>
      </c>
      <c r="K130" s="24" t="s">
        <v>9</v>
      </c>
      <c r="L130" s="49" t="s">
        <v>14</v>
      </c>
      <c r="M130" s="1" t="s">
        <v>13</v>
      </c>
      <c r="N130" s="3" t="s">
        <v>11</v>
      </c>
      <c r="O130" s="50" t="s">
        <v>114</v>
      </c>
      <c r="P130" s="81" t="s">
        <v>113</v>
      </c>
      <c r="Q130" s="110" t="s">
        <v>142</v>
      </c>
      <c r="R130" s="111" t="s">
        <v>80</v>
      </c>
      <c r="S130" s="190" t="s">
        <v>196</v>
      </c>
    </row>
    <row r="131" spans="1:19" ht="13.5" thickBot="1">
      <c r="A131" s="250">
        <v>0</v>
      </c>
      <c r="B131" s="115">
        <f>10.78*1000</f>
        <v>10780</v>
      </c>
      <c r="C131" s="116">
        <f>4.32*1000</f>
        <v>4320</v>
      </c>
      <c r="D131" s="125">
        <f>3.4*1000</f>
        <v>3400</v>
      </c>
      <c r="E131" s="119"/>
      <c r="F131" s="125">
        <f>7.96*1000</f>
        <v>7960</v>
      </c>
      <c r="G131" s="115">
        <f>2.64*1000</f>
        <v>2640</v>
      </c>
      <c r="H131" s="116"/>
      <c r="I131" s="254">
        <f>649*1000</f>
        <v>649000</v>
      </c>
      <c r="J131" s="254">
        <v>962680</v>
      </c>
      <c r="K131" s="255">
        <f>(4613.98)*1000</f>
        <v>4613980</v>
      </c>
      <c r="L131" s="119">
        <f>0.3*1000</f>
        <v>300</v>
      </c>
      <c r="M131" s="132">
        <f>A131</f>
        <v>0</v>
      </c>
      <c r="N131" s="135">
        <f>C139</f>
        <v>16280</v>
      </c>
      <c r="O131" s="269">
        <v>0</v>
      </c>
      <c r="P131" s="149">
        <v>0</v>
      </c>
      <c r="Q131" s="147">
        <v>0</v>
      </c>
      <c r="R131" s="121">
        <v>0</v>
      </c>
      <c r="S131" s="121">
        <v>243.11</v>
      </c>
    </row>
    <row r="132" spans="1:18" ht="13.5" thickBot="1">
      <c r="A132" s="117"/>
      <c r="B132" s="118">
        <f>11.84*1000</f>
        <v>11840</v>
      </c>
      <c r="C132" s="119">
        <f>5.1*1000</f>
        <v>5100</v>
      </c>
      <c r="D132" s="126">
        <f>0.92*1000</f>
        <v>920</v>
      </c>
      <c r="E132" s="123"/>
      <c r="F132" s="126">
        <f>5.24*1000</f>
        <v>5240</v>
      </c>
      <c r="G132" s="133"/>
      <c r="H132" s="119"/>
      <c r="I132" s="117"/>
      <c r="J132" s="117"/>
      <c r="K132" s="117"/>
      <c r="L132" s="119">
        <f>0.14*100</f>
        <v>14.000000000000002</v>
      </c>
      <c r="M132" s="126">
        <f>B150</f>
        <v>63630</v>
      </c>
      <c r="N132" s="118"/>
      <c r="O132" s="119"/>
      <c r="P132" s="117"/>
      <c r="Q132" s="117"/>
      <c r="R132" s="117"/>
    </row>
    <row r="133" spans="1:18" ht="13.5" thickBot="1">
      <c r="A133" s="117"/>
      <c r="B133" s="118">
        <f>9.22*100</f>
        <v>922.0000000000001</v>
      </c>
      <c r="C133" s="119">
        <f>3.24*1000</f>
        <v>3240</v>
      </c>
      <c r="D133" s="126">
        <f>0.08*1000</f>
        <v>80</v>
      </c>
      <c r="E133" s="143"/>
      <c r="F133" s="130">
        <f>5.44*1000</f>
        <v>5440</v>
      </c>
      <c r="G133" s="250">
        <f>G131</f>
        <v>2640</v>
      </c>
      <c r="H133" s="119"/>
      <c r="I133" s="117"/>
      <c r="J133" s="117"/>
      <c r="K133" s="117"/>
      <c r="L133" s="119">
        <f>3.74*1000</f>
        <v>3740</v>
      </c>
      <c r="M133" s="126">
        <f>D139</f>
        <v>12770</v>
      </c>
      <c r="N133" s="258">
        <f>M146</f>
        <v>6327394</v>
      </c>
      <c r="O133" s="120"/>
      <c r="P133" s="117"/>
      <c r="Q133" s="117"/>
      <c r="R133" s="117"/>
    </row>
    <row r="134" spans="1:18" ht="13.5" thickBot="1">
      <c r="A134" s="117"/>
      <c r="B134" s="118">
        <f>13.46*100</f>
        <v>1346</v>
      </c>
      <c r="C134" s="119">
        <f>3.62*1000</f>
        <v>3620</v>
      </c>
      <c r="D134" s="119">
        <f>0.06*1000</f>
        <v>60</v>
      </c>
      <c r="E134" s="120"/>
      <c r="F134" s="252">
        <f>SUM(F131:F133)</f>
        <v>18640</v>
      </c>
      <c r="G134" s="117"/>
      <c r="H134" s="120"/>
      <c r="I134" s="117"/>
      <c r="J134" s="117"/>
      <c r="K134" s="117"/>
      <c r="L134" s="270"/>
      <c r="M134" s="119">
        <f>E135</f>
        <v>0</v>
      </c>
      <c r="N134" s="146">
        <f>N131+N132+N133</f>
        <v>6343674</v>
      </c>
      <c r="O134" s="144">
        <f>SUM(O131:O133)</f>
        <v>0</v>
      </c>
      <c r="P134" s="117"/>
      <c r="Q134" s="117"/>
      <c r="R134" s="117"/>
    </row>
    <row r="135" spans="1:18" ht="13.5" thickBot="1">
      <c r="A135" s="117"/>
      <c r="B135" s="118">
        <f>13.42*100</f>
        <v>1342</v>
      </c>
      <c r="C135" s="119"/>
      <c r="D135" s="119">
        <f>0.06*1000</f>
        <v>60</v>
      </c>
      <c r="E135" s="252">
        <f>SUM(E131:E134)</f>
        <v>0</v>
      </c>
      <c r="F135" s="117"/>
      <c r="G135" s="117"/>
      <c r="H135" s="253">
        <f>SUM(H131:H134)</f>
        <v>0</v>
      </c>
      <c r="I135" s="117"/>
      <c r="J135" s="117"/>
      <c r="K135" s="117"/>
      <c r="L135" s="119"/>
      <c r="M135" s="119">
        <f>E144</f>
        <v>0</v>
      </c>
      <c r="N135" s="117"/>
      <c r="O135" s="117"/>
      <c r="P135" s="117"/>
      <c r="Q135" s="117"/>
      <c r="R135" s="117"/>
    </row>
    <row r="136" spans="1:18" ht="13.5" thickBot="1">
      <c r="A136" s="117"/>
      <c r="B136" s="119">
        <f>14.18*1000</f>
        <v>14180</v>
      </c>
      <c r="C136" s="119"/>
      <c r="D136" s="119">
        <f>8.24*1000</f>
        <v>8240</v>
      </c>
      <c r="E136" s="117"/>
      <c r="F136" s="117"/>
      <c r="G136" s="117"/>
      <c r="H136" s="117"/>
      <c r="I136" s="117"/>
      <c r="J136" s="117"/>
      <c r="K136" s="117"/>
      <c r="L136" s="120"/>
      <c r="M136" s="119">
        <f>F134</f>
        <v>18640</v>
      </c>
      <c r="N136" s="117"/>
      <c r="O136" s="117"/>
      <c r="P136" s="117"/>
      <c r="Q136" s="117"/>
      <c r="R136" s="117"/>
    </row>
    <row r="137" spans="1:18" ht="13.5" thickBot="1">
      <c r="A137" s="117"/>
      <c r="B137" s="119">
        <f>9.2*1000</f>
        <v>9200</v>
      </c>
      <c r="C137" s="119"/>
      <c r="D137" s="119">
        <f>0.01*1000</f>
        <v>10</v>
      </c>
      <c r="E137" s="259" t="s">
        <v>223</v>
      </c>
      <c r="F137" s="117"/>
      <c r="G137" s="117"/>
      <c r="H137" s="117"/>
      <c r="I137" s="117"/>
      <c r="J137" s="117"/>
      <c r="K137" s="117"/>
      <c r="L137" s="231"/>
      <c r="M137" s="119">
        <f>G133</f>
        <v>2640</v>
      </c>
      <c r="N137" s="117"/>
      <c r="O137" s="117"/>
      <c r="P137" s="117"/>
      <c r="Q137" s="117"/>
      <c r="R137" s="117"/>
    </row>
    <row r="138" spans="1:18" ht="13.5" thickBot="1">
      <c r="A138" s="117"/>
      <c r="B138" s="119">
        <f>14.02*1000</f>
        <v>14020</v>
      </c>
      <c r="C138" s="117"/>
      <c r="D138" s="5"/>
      <c r="E138" s="125"/>
      <c r="F138" s="117"/>
      <c r="G138" s="117"/>
      <c r="H138" s="117"/>
      <c r="I138" s="117"/>
      <c r="J138" s="117"/>
      <c r="K138" s="117"/>
      <c r="L138" s="252">
        <f>L131+L132+L133+L134+L135+L136+L137</f>
        <v>4054</v>
      </c>
      <c r="M138" s="119">
        <f>H135</f>
        <v>0</v>
      </c>
      <c r="N138" s="117"/>
      <c r="O138" s="117"/>
      <c r="P138" s="117"/>
      <c r="Q138" s="117"/>
      <c r="R138" s="117"/>
    </row>
    <row r="139" spans="1:18" ht="13.5" thickBot="1">
      <c r="A139" s="117"/>
      <c r="B139" s="119"/>
      <c r="C139" s="250">
        <f>C131+C132+C133+C134+C135+C136+C137</f>
        <v>16280</v>
      </c>
      <c r="D139" s="252">
        <f>SUM(D131:D138)</f>
        <v>12770</v>
      </c>
      <c r="E139" s="119"/>
      <c r="F139" s="117"/>
      <c r="G139" s="117"/>
      <c r="H139" s="117"/>
      <c r="I139" s="117"/>
      <c r="J139" s="117"/>
      <c r="K139" s="117"/>
      <c r="L139" s="117"/>
      <c r="M139" s="119">
        <f>I131</f>
        <v>649000</v>
      </c>
      <c r="N139" s="117"/>
      <c r="O139" s="137"/>
      <c r="P139" s="137"/>
      <c r="Q139" s="117"/>
      <c r="R139" s="117"/>
    </row>
    <row r="140" spans="1:18" ht="12.75">
      <c r="A140" s="117"/>
      <c r="B140" s="119"/>
      <c r="C140" s="117"/>
      <c r="D140" s="164">
        <f>D139/2</f>
        <v>6385</v>
      </c>
      <c r="E140" s="119"/>
      <c r="F140" s="117"/>
      <c r="G140" s="117"/>
      <c r="H140" s="117"/>
      <c r="I140" s="117"/>
      <c r="J140" s="117"/>
      <c r="K140" s="117"/>
      <c r="L140" s="117"/>
      <c r="M140" s="123">
        <f>J131</f>
        <v>962680</v>
      </c>
      <c r="N140" s="117"/>
      <c r="O140" s="137"/>
      <c r="P140" s="137"/>
      <c r="Q140" s="117"/>
      <c r="R140" s="117"/>
    </row>
    <row r="141" spans="1:18" ht="13.5" thickBot="1">
      <c r="A141" s="117"/>
      <c r="B141" s="119"/>
      <c r="C141" s="117"/>
      <c r="E141" s="124"/>
      <c r="F141" s="117"/>
      <c r="G141" s="117"/>
      <c r="H141" s="117"/>
      <c r="I141" s="117"/>
      <c r="J141" s="117"/>
      <c r="K141" s="117"/>
      <c r="L141" s="117"/>
      <c r="M141" s="123">
        <f>K131</f>
        <v>4613980</v>
      </c>
      <c r="N141" s="117"/>
      <c r="O141" s="137"/>
      <c r="P141" s="137"/>
      <c r="Q141" s="117"/>
      <c r="R141" s="117"/>
    </row>
    <row r="142" spans="1:18" ht="13.5" thickBot="1">
      <c r="A142" s="117"/>
      <c r="B142" s="119"/>
      <c r="C142" s="117"/>
      <c r="E142" s="121"/>
      <c r="F142" s="117"/>
      <c r="M142" s="119">
        <f>L138</f>
        <v>4054</v>
      </c>
      <c r="O142" s="117"/>
      <c r="P142" s="117"/>
      <c r="Q142" s="117"/>
      <c r="R142" s="117"/>
    </row>
    <row r="143" spans="1:18" ht="13.5" thickBot="1">
      <c r="A143" s="117"/>
      <c r="B143" s="119"/>
      <c r="C143" s="117"/>
      <c r="E143" s="123"/>
      <c r="F143" s="28"/>
      <c r="M143" s="119">
        <f>P131</f>
        <v>0</v>
      </c>
      <c r="O143" s="117"/>
      <c r="P143" s="117"/>
      <c r="Q143" s="117"/>
      <c r="R143" s="117"/>
    </row>
    <row r="144" spans="1:18" ht="13.5" thickBot="1">
      <c r="A144" s="117"/>
      <c r="B144" s="123"/>
      <c r="C144" s="117"/>
      <c r="E144" s="252">
        <f>SUM(E138:E143)</f>
        <v>0</v>
      </c>
      <c r="M144" s="119">
        <f>Q131</f>
        <v>0</v>
      </c>
      <c r="O144" s="117"/>
      <c r="P144" s="117"/>
      <c r="Q144" s="117"/>
      <c r="R144" s="117"/>
    </row>
    <row r="145" spans="1:13" ht="13.5" thickBot="1">
      <c r="A145" s="117"/>
      <c r="B145" s="123"/>
      <c r="C145" s="117"/>
      <c r="F145" s="92"/>
      <c r="M145" s="120">
        <f>R131</f>
        <v>0</v>
      </c>
    </row>
    <row r="146" spans="1:15" ht="13.5" thickBot="1">
      <c r="A146" s="117"/>
      <c r="B146" s="123"/>
      <c r="C146" s="117"/>
      <c r="E146" s="247"/>
      <c r="M146" s="252">
        <f>SUM(M131:M145)</f>
        <v>6327394</v>
      </c>
      <c r="N146" s="262" t="s">
        <v>177</v>
      </c>
      <c r="O146" s="263" t="s">
        <v>227</v>
      </c>
    </row>
    <row r="147" spans="1:3" ht="13.5" thickBot="1">
      <c r="A147" s="117"/>
      <c r="B147" s="123"/>
      <c r="C147" s="117"/>
    </row>
    <row r="148" spans="1:15" ht="13.5" thickBot="1">
      <c r="A148" s="117"/>
      <c r="B148" s="123"/>
      <c r="C148" s="117"/>
      <c r="M148" s="249">
        <f>N134</f>
        <v>6343674</v>
      </c>
      <c r="N148" s="256" t="s">
        <v>179</v>
      </c>
      <c r="O148" s="257" t="s">
        <v>228</v>
      </c>
    </row>
    <row r="149" spans="1:3" ht="13.5" thickBot="1">
      <c r="A149" s="117"/>
      <c r="B149" s="124"/>
      <c r="C149" s="117"/>
    </row>
    <row r="150" spans="1:14" ht="13.5" thickBot="1">
      <c r="A150" s="117"/>
      <c r="B150" s="251">
        <f>SUM(B131:B149)</f>
        <v>63630</v>
      </c>
      <c r="C150" s="117"/>
      <c r="M150" s="228">
        <f>100*(M146/M148)</f>
        <v>99.7433663835815</v>
      </c>
      <c r="N150" s="180" t="s">
        <v>193</v>
      </c>
    </row>
    <row r="151" spans="1:14" ht="12.75">
      <c r="A151" s="117"/>
      <c r="B151" s="137"/>
      <c r="C151" s="117"/>
      <c r="N151" s="264" t="s">
        <v>178</v>
      </c>
    </row>
    <row r="152" spans="1:14" ht="12.75">
      <c r="A152" s="117"/>
      <c r="B152" s="137"/>
      <c r="C152" s="117"/>
      <c r="N152" s="265" t="s">
        <v>180</v>
      </c>
    </row>
    <row r="153" spans="1:3" ht="13.5" thickBot="1">
      <c r="A153" s="117"/>
      <c r="B153" s="137"/>
      <c r="C153" s="117"/>
    </row>
    <row r="154" spans="1:14" ht="13.5" thickBot="1">
      <c r="A154" s="117"/>
      <c r="B154" s="137"/>
      <c r="C154" s="117"/>
      <c r="M154" s="228">
        <f>M148/(1000*S131)</f>
        <v>26.093842293611946</v>
      </c>
      <c r="N154" s="180" t="s">
        <v>230</v>
      </c>
    </row>
    <row r="155" spans="1:14" ht="12.75">
      <c r="A155" s="117"/>
      <c r="B155" s="137"/>
      <c r="C155" s="117"/>
      <c r="N155" s="169" t="s">
        <v>195</v>
      </c>
    </row>
    <row r="156" spans="1:3" ht="13.5" thickBot="1">
      <c r="A156" s="117"/>
      <c r="B156" s="137"/>
      <c r="C156" s="117"/>
    </row>
    <row r="157" spans="1:14" ht="13.5" thickBot="1">
      <c r="A157" s="117"/>
      <c r="B157" s="137"/>
      <c r="C157" s="117"/>
      <c r="M157" s="261">
        <f>M146</f>
        <v>6327394</v>
      </c>
      <c r="N157" s="260" t="s">
        <v>215</v>
      </c>
    </row>
    <row r="161" ht="12.75">
      <c r="A161" s="181" t="s">
        <v>186</v>
      </c>
    </row>
    <row r="162" ht="13.5" thickBot="1"/>
    <row r="163" spans="1:19" ht="13.5" thickBot="1">
      <c r="A163" s="53" t="s">
        <v>40</v>
      </c>
      <c r="B163" s="15" t="s">
        <v>0</v>
      </c>
      <c r="C163" s="16" t="s">
        <v>1</v>
      </c>
      <c r="D163" s="42" t="s">
        <v>2</v>
      </c>
      <c r="E163" s="142" t="s">
        <v>81</v>
      </c>
      <c r="F163" s="19" t="s">
        <v>4</v>
      </c>
      <c r="G163" s="20" t="s">
        <v>5</v>
      </c>
      <c r="H163" s="33" t="s">
        <v>6</v>
      </c>
      <c r="I163" s="109" t="s">
        <v>141</v>
      </c>
      <c r="J163" s="23" t="s">
        <v>8</v>
      </c>
      <c r="K163" s="24" t="s">
        <v>9</v>
      </c>
      <c r="L163" s="49" t="s">
        <v>14</v>
      </c>
      <c r="M163" s="1" t="s">
        <v>13</v>
      </c>
      <c r="N163" s="3" t="s">
        <v>11</v>
      </c>
      <c r="O163" s="50" t="s">
        <v>114</v>
      </c>
      <c r="P163" s="81" t="s">
        <v>113</v>
      </c>
      <c r="Q163" s="110" t="s">
        <v>142</v>
      </c>
      <c r="R163" s="111" t="s">
        <v>80</v>
      </c>
      <c r="S163" s="190" t="s">
        <v>196</v>
      </c>
    </row>
    <row r="164" spans="1:19" ht="13.5" thickBot="1">
      <c r="A164" s="250">
        <v>0</v>
      </c>
      <c r="B164" s="115">
        <f>1.124*1000</f>
        <v>1124</v>
      </c>
      <c r="C164" s="116">
        <f>2.24*1000</f>
        <v>2240</v>
      </c>
      <c r="D164" s="125">
        <f>11.75*1000</f>
        <v>11750</v>
      </c>
      <c r="E164" s="119">
        <f>6.16*1000</f>
        <v>6160</v>
      </c>
      <c r="F164" s="125">
        <f>27.14*1000</f>
        <v>27140</v>
      </c>
      <c r="G164" s="115">
        <f>3.18*1000</f>
        <v>3180</v>
      </c>
      <c r="H164" s="116">
        <f>9.42*1000</f>
        <v>9420</v>
      </c>
      <c r="I164" s="254">
        <f>613*1000</f>
        <v>613000</v>
      </c>
      <c r="J164" s="254">
        <f>904.408*1000</f>
        <v>904408</v>
      </c>
      <c r="K164" s="255">
        <f>(4352.56)*1000</f>
        <v>4352560</v>
      </c>
      <c r="L164" s="119">
        <f>12.14*1000</f>
        <v>12140</v>
      </c>
      <c r="M164" s="132">
        <f>A164</f>
        <v>0</v>
      </c>
      <c r="N164" s="135">
        <f>C172</f>
        <v>4400</v>
      </c>
      <c r="O164" s="269">
        <v>0</v>
      </c>
      <c r="P164" s="149">
        <v>0</v>
      </c>
      <c r="Q164" s="147">
        <v>0</v>
      </c>
      <c r="R164" s="121">
        <v>0</v>
      </c>
      <c r="S164" s="121">
        <v>276.9</v>
      </c>
    </row>
    <row r="165" spans="1:18" ht="13.5" thickBot="1">
      <c r="A165" s="117"/>
      <c r="B165" s="118">
        <f>14.92*1000</f>
        <v>14920</v>
      </c>
      <c r="C165" s="119">
        <f>2.16*1000</f>
        <v>2160</v>
      </c>
      <c r="D165" s="126"/>
      <c r="E165" s="123"/>
      <c r="F165" s="126"/>
      <c r="G165" s="133"/>
      <c r="H165" s="119">
        <v>24580</v>
      </c>
      <c r="I165" s="117"/>
      <c r="J165" s="117"/>
      <c r="K165" s="117"/>
      <c r="L165" s="119"/>
      <c r="M165" s="126">
        <f>B183</f>
        <v>144204</v>
      </c>
      <c r="N165" s="118"/>
      <c r="O165" s="119"/>
      <c r="P165" s="117"/>
      <c r="Q165" s="117"/>
      <c r="R165" s="117"/>
    </row>
    <row r="166" spans="1:18" ht="13.5" thickBot="1">
      <c r="A166" s="117"/>
      <c r="B166" s="118">
        <f>9.7*1000</f>
        <v>9700</v>
      </c>
      <c r="C166" s="119"/>
      <c r="D166" s="126"/>
      <c r="E166" s="143"/>
      <c r="F166" s="130"/>
      <c r="G166" s="250">
        <f>G164</f>
        <v>3180</v>
      </c>
      <c r="H166" s="119"/>
      <c r="I166" s="117"/>
      <c r="J166" s="117"/>
      <c r="K166" s="117"/>
      <c r="L166" s="119"/>
      <c r="M166" s="126">
        <f>D172</f>
        <v>11750</v>
      </c>
      <c r="N166" s="258">
        <f>M179</f>
        <v>6110322</v>
      </c>
      <c r="O166" s="120"/>
      <c r="P166" s="117"/>
      <c r="Q166" s="117"/>
      <c r="R166" s="117"/>
    </row>
    <row r="167" spans="1:18" ht="13.5" thickBot="1">
      <c r="A167" s="117"/>
      <c r="B167" s="118">
        <f>14.56*1000</f>
        <v>14560</v>
      </c>
      <c r="C167" s="119"/>
      <c r="D167" s="119"/>
      <c r="E167" s="120"/>
      <c r="F167" s="252">
        <f>SUM(F164:F166)</f>
        <v>27140</v>
      </c>
      <c r="G167" s="117"/>
      <c r="H167" s="120"/>
      <c r="I167" s="117"/>
      <c r="J167" s="117"/>
      <c r="K167" s="117"/>
      <c r="L167" s="270"/>
      <c r="M167" s="119">
        <f>E168</f>
        <v>6160</v>
      </c>
      <c r="N167" s="146">
        <f>N164+N165+N166</f>
        <v>6114722</v>
      </c>
      <c r="O167" s="144">
        <f>SUM(O164:O166)</f>
        <v>0</v>
      </c>
      <c r="P167" s="117"/>
      <c r="Q167" s="117"/>
      <c r="R167" s="117"/>
    </row>
    <row r="168" spans="1:18" ht="13.5" thickBot="1">
      <c r="A168" s="117"/>
      <c r="B168" s="118">
        <f>13.18*1000</f>
        <v>13180</v>
      </c>
      <c r="C168" s="119"/>
      <c r="D168" s="119"/>
      <c r="E168" s="252">
        <f>SUM(E164:E167)</f>
        <v>6160</v>
      </c>
      <c r="F168" s="117"/>
      <c r="G168" s="117"/>
      <c r="H168" s="253">
        <f>SUM(H164:H167)</f>
        <v>34000</v>
      </c>
      <c r="I168" s="117"/>
      <c r="J168" s="117"/>
      <c r="K168" s="117"/>
      <c r="L168" s="119"/>
      <c r="M168" s="119">
        <f>E177</f>
        <v>1780</v>
      </c>
      <c r="N168" s="117"/>
      <c r="O168" s="117"/>
      <c r="P168" s="117"/>
      <c r="Q168" s="117"/>
      <c r="R168" s="117"/>
    </row>
    <row r="169" spans="1:18" ht="13.5" thickBot="1">
      <c r="A169" s="117"/>
      <c r="B169" s="119">
        <f>13.9*1000</f>
        <v>13900</v>
      </c>
      <c r="C169" s="119"/>
      <c r="D169" s="119"/>
      <c r="E169" s="117"/>
      <c r="F169" s="117"/>
      <c r="G169" s="117"/>
      <c r="H169" s="117"/>
      <c r="I169" s="117"/>
      <c r="J169" s="117"/>
      <c r="K169" s="117"/>
      <c r="L169" s="120"/>
      <c r="M169" s="119">
        <f>F167</f>
        <v>27140</v>
      </c>
      <c r="N169" s="117"/>
      <c r="O169" s="117"/>
      <c r="P169" s="117"/>
      <c r="Q169" s="117"/>
      <c r="R169" s="117"/>
    </row>
    <row r="170" spans="1:18" ht="13.5" thickBot="1">
      <c r="A170" s="117"/>
      <c r="B170" s="119">
        <f>12.94*1000</f>
        <v>12940</v>
      </c>
      <c r="C170" s="119"/>
      <c r="D170" s="119"/>
      <c r="E170" s="259" t="s">
        <v>223</v>
      </c>
      <c r="F170" s="117"/>
      <c r="G170" s="117"/>
      <c r="H170" s="117"/>
      <c r="I170" s="117"/>
      <c r="J170" s="117"/>
      <c r="K170" s="117"/>
      <c r="L170" s="231"/>
      <c r="M170" s="119">
        <f>G166</f>
        <v>3180</v>
      </c>
      <c r="N170" s="117"/>
      <c r="O170" s="117"/>
      <c r="P170" s="117"/>
      <c r="Q170" s="117"/>
      <c r="R170" s="117"/>
    </row>
    <row r="171" spans="1:18" ht="13.5" thickBot="1">
      <c r="A171" s="117"/>
      <c r="B171" s="119">
        <f>10.32*1000</f>
        <v>10320</v>
      </c>
      <c r="C171" s="117"/>
      <c r="D171" s="5"/>
      <c r="E171" s="125">
        <f>1.78*1000</f>
        <v>1780</v>
      </c>
      <c r="F171" s="117"/>
      <c r="G171" s="117"/>
      <c r="H171" s="117"/>
      <c r="I171" s="117"/>
      <c r="J171" s="117"/>
      <c r="K171" s="117"/>
      <c r="L171" s="252">
        <f>L164+L165+L166+L167+L168+L169+L170</f>
        <v>12140</v>
      </c>
      <c r="M171" s="119">
        <f>H168</f>
        <v>34000</v>
      </c>
      <c r="N171" s="117"/>
      <c r="O171" s="117"/>
      <c r="P171" s="117"/>
      <c r="Q171" s="117"/>
      <c r="R171" s="117"/>
    </row>
    <row r="172" spans="1:18" ht="13.5" thickBot="1">
      <c r="A172" s="117"/>
      <c r="B172" s="119">
        <f>14.46*1000</f>
        <v>14460</v>
      </c>
      <c r="C172" s="250">
        <f>C164+C165+C166+C167+C168+C169+C170</f>
        <v>4400</v>
      </c>
      <c r="D172" s="252">
        <f>SUM(D164:D171)</f>
        <v>11750</v>
      </c>
      <c r="E172" s="119"/>
      <c r="F172" s="117"/>
      <c r="G172" s="117"/>
      <c r="H172" s="117"/>
      <c r="I172" s="117"/>
      <c r="J172" s="117"/>
      <c r="K172" s="117"/>
      <c r="L172" s="117"/>
      <c r="M172" s="119">
        <f>I164</f>
        <v>613000</v>
      </c>
      <c r="N172" s="117"/>
      <c r="O172" s="137"/>
      <c r="P172" s="137"/>
      <c r="Q172" s="117"/>
      <c r="R172" s="117"/>
    </row>
    <row r="173" spans="1:18" ht="12.75">
      <c r="A173" s="117"/>
      <c r="B173" s="119">
        <f>8.12*1000</f>
        <v>8119.999999999999</v>
      </c>
      <c r="C173" s="117"/>
      <c r="D173" s="164">
        <f>D172/2</f>
        <v>5875</v>
      </c>
      <c r="E173" s="119"/>
      <c r="F173" s="117"/>
      <c r="G173" s="117"/>
      <c r="H173" s="117"/>
      <c r="I173" s="117"/>
      <c r="J173" s="117"/>
      <c r="K173" s="117"/>
      <c r="L173" s="117"/>
      <c r="M173" s="123">
        <f>J164</f>
        <v>904408</v>
      </c>
      <c r="N173" s="117"/>
      <c r="O173" s="137"/>
      <c r="P173" s="137"/>
      <c r="Q173" s="117"/>
      <c r="R173" s="117"/>
    </row>
    <row r="174" spans="1:18" ht="13.5" thickBot="1">
      <c r="A174" s="117"/>
      <c r="B174" s="119">
        <f>6.82*1000</f>
        <v>6820</v>
      </c>
      <c r="C174" s="117"/>
      <c r="E174" s="124"/>
      <c r="F174" s="117"/>
      <c r="G174" s="117"/>
      <c r="H174" s="117"/>
      <c r="I174" s="117"/>
      <c r="J174" s="117"/>
      <c r="K174" s="117"/>
      <c r="L174" s="117"/>
      <c r="M174" s="123">
        <f>K164</f>
        <v>4352560</v>
      </c>
      <c r="N174" s="117"/>
      <c r="O174" s="137"/>
      <c r="P174" s="137"/>
      <c r="Q174" s="117"/>
      <c r="R174" s="117"/>
    </row>
    <row r="175" spans="1:18" ht="13.5" thickBot="1">
      <c r="A175" s="117"/>
      <c r="B175" s="119">
        <f>12.42*1000</f>
        <v>12420</v>
      </c>
      <c r="C175" s="117"/>
      <c r="E175" s="121"/>
      <c r="F175" s="117"/>
      <c r="M175" s="119">
        <f>L171</f>
        <v>12140</v>
      </c>
      <c r="O175" s="117"/>
      <c r="P175" s="117"/>
      <c r="Q175" s="117"/>
      <c r="R175" s="117"/>
    </row>
    <row r="176" spans="1:18" ht="13.5" thickBot="1">
      <c r="A176" s="117"/>
      <c r="B176" s="119">
        <f>11.74*1000</f>
        <v>11740</v>
      </c>
      <c r="C176" s="117"/>
      <c r="E176" s="123"/>
      <c r="F176" s="28"/>
      <c r="M176" s="119">
        <f>P164</f>
        <v>0</v>
      </c>
      <c r="O176" s="117"/>
      <c r="P176" s="117"/>
      <c r="Q176" s="117"/>
      <c r="R176" s="117"/>
    </row>
    <row r="177" spans="1:18" ht="13.5" thickBot="1">
      <c r="A177" s="117"/>
      <c r="B177" s="123"/>
      <c r="C177" s="117"/>
      <c r="E177" s="252">
        <f>SUM(E171:E176)</f>
        <v>1780</v>
      </c>
      <c r="M177" s="119">
        <f>Q164</f>
        <v>0</v>
      </c>
      <c r="O177" s="117"/>
      <c r="P177" s="117"/>
      <c r="Q177" s="117"/>
      <c r="R177" s="117"/>
    </row>
    <row r="178" spans="1:13" ht="13.5" thickBot="1">
      <c r="A178" s="117"/>
      <c r="B178" s="123"/>
      <c r="C178" s="117"/>
      <c r="F178" s="92"/>
      <c r="M178" s="120">
        <f>R164</f>
        <v>0</v>
      </c>
    </row>
    <row r="179" spans="1:15" ht="13.5" thickBot="1">
      <c r="A179" s="117"/>
      <c r="B179" s="123"/>
      <c r="C179" s="117"/>
      <c r="E179" s="247"/>
      <c r="M179" s="252">
        <f>SUM(M164:M178)</f>
        <v>6110322</v>
      </c>
      <c r="N179" s="262" t="s">
        <v>177</v>
      </c>
      <c r="O179" s="263" t="s">
        <v>227</v>
      </c>
    </row>
    <row r="180" spans="1:3" ht="13.5" thickBot="1">
      <c r="A180" s="117"/>
      <c r="B180" s="123"/>
      <c r="C180" s="117"/>
    </row>
    <row r="181" spans="1:15" ht="13.5" thickBot="1">
      <c r="A181" s="117"/>
      <c r="B181" s="123"/>
      <c r="C181" s="117"/>
      <c r="M181" s="249">
        <f>N167</f>
        <v>6114722</v>
      </c>
      <c r="N181" s="256" t="s">
        <v>179</v>
      </c>
      <c r="O181" s="257" t="s">
        <v>228</v>
      </c>
    </row>
    <row r="182" spans="1:3" ht="13.5" thickBot="1">
      <c r="A182" s="117"/>
      <c r="B182" s="124"/>
      <c r="C182" s="117"/>
    </row>
    <row r="183" spans="1:14" ht="13.5" thickBot="1">
      <c r="A183" s="117"/>
      <c r="B183" s="251">
        <f>SUM(B164:B182)</f>
        <v>144204</v>
      </c>
      <c r="C183" s="117"/>
      <c r="M183" s="228">
        <f>100*(M179/M181)</f>
        <v>99.9280425177138</v>
      </c>
      <c r="N183" s="180" t="s">
        <v>193</v>
      </c>
    </row>
    <row r="184" spans="1:14" ht="12.75">
      <c r="A184" s="117"/>
      <c r="B184" s="137"/>
      <c r="C184" s="117"/>
      <c r="N184" s="264" t="s">
        <v>178</v>
      </c>
    </row>
    <row r="185" spans="1:14" ht="12.75">
      <c r="A185" s="117"/>
      <c r="B185" s="137"/>
      <c r="C185" s="117"/>
      <c r="N185" s="265" t="s">
        <v>180</v>
      </c>
    </row>
    <row r="186" spans="1:3" ht="13.5" thickBot="1">
      <c r="A186" s="117"/>
      <c r="B186" s="137"/>
      <c r="C186" s="117"/>
    </row>
    <row r="187" spans="1:14" ht="13.5" thickBot="1">
      <c r="A187" s="117"/>
      <c r="B187" s="137"/>
      <c r="C187" s="117"/>
      <c r="M187" s="228">
        <f>M181/(1000*S164)</f>
        <v>22.08278078728783</v>
      </c>
      <c r="N187" s="180" t="s">
        <v>230</v>
      </c>
    </row>
    <row r="188" spans="1:14" ht="12.75">
      <c r="A188" s="117"/>
      <c r="B188" s="137"/>
      <c r="C188" s="117"/>
      <c r="N188" s="169" t="s">
        <v>195</v>
      </c>
    </row>
    <row r="189" spans="1:3" ht="13.5" thickBot="1">
      <c r="A189" s="117"/>
      <c r="B189" s="137"/>
      <c r="C189" s="117"/>
    </row>
    <row r="190" spans="1:14" ht="13.5" thickBot="1">
      <c r="A190" s="117"/>
      <c r="B190" s="137"/>
      <c r="C190" s="117"/>
      <c r="M190" s="261">
        <f>M179</f>
        <v>6110322</v>
      </c>
      <c r="N190" s="260" t="s">
        <v>215</v>
      </c>
    </row>
    <row r="193" ht="12.75">
      <c r="A193" s="181" t="s">
        <v>187</v>
      </c>
    </row>
    <row r="194" ht="13.5" thickBot="1"/>
    <row r="195" spans="1:19" ht="13.5" thickBot="1">
      <c r="A195" s="53" t="s">
        <v>40</v>
      </c>
      <c r="B195" s="15" t="s">
        <v>0</v>
      </c>
      <c r="C195" s="16" t="s">
        <v>1</v>
      </c>
      <c r="D195" s="42" t="s">
        <v>2</v>
      </c>
      <c r="E195" s="142" t="s">
        <v>81</v>
      </c>
      <c r="F195" s="19" t="s">
        <v>4</v>
      </c>
      <c r="G195" s="20" t="s">
        <v>5</v>
      </c>
      <c r="H195" s="33" t="s">
        <v>6</v>
      </c>
      <c r="I195" s="109" t="s">
        <v>141</v>
      </c>
      <c r="J195" s="23" t="s">
        <v>8</v>
      </c>
      <c r="K195" s="24" t="s">
        <v>9</v>
      </c>
      <c r="L195" s="49" t="s">
        <v>14</v>
      </c>
      <c r="M195" s="1" t="s">
        <v>13</v>
      </c>
      <c r="N195" s="3" t="s">
        <v>11</v>
      </c>
      <c r="O195" s="50" t="s">
        <v>114</v>
      </c>
      <c r="P195" s="81" t="s">
        <v>113</v>
      </c>
      <c r="Q195" s="110" t="s">
        <v>142</v>
      </c>
      <c r="R195" s="111" t="s">
        <v>80</v>
      </c>
      <c r="S195" s="190" t="s">
        <v>196</v>
      </c>
    </row>
    <row r="196" spans="1:19" ht="13.5" thickBot="1">
      <c r="A196" s="250">
        <v>0</v>
      </c>
      <c r="B196" s="115">
        <f>11.6*1000</f>
        <v>11600</v>
      </c>
      <c r="C196" s="116">
        <v>8440</v>
      </c>
      <c r="D196" s="125">
        <f>1.98*1000</f>
        <v>1980</v>
      </c>
      <c r="E196" s="119">
        <v>2220</v>
      </c>
      <c r="F196" s="125">
        <f>6.68*1000</f>
        <v>6680</v>
      </c>
      <c r="G196" s="115">
        <f>2.14*1000</f>
        <v>2140</v>
      </c>
      <c r="H196" s="116"/>
      <c r="I196" s="254">
        <f>657*1000</f>
        <v>657000</v>
      </c>
      <c r="J196" s="254">
        <f>710*1000</f>
        <v>710000</v>
      </c>
      <c r="K196" s="255">
        <f>(4418)*1000</f>
        <v>4418000</v>
      </c>
      <c r="L196" s="119">
        <f>0.96*1000</f>
        <v>960</v>
      </c>
      <c r="M196" s="132">
        <f>A196</f>
        <v>0</v>
      </c>
      <c r="N196" s="135"/>
      <c r="O196" s="269">
        <v>0</v>
      </c>
      <c r="P196" s="149">
        <v>0</v>
      </c>
      <c r="Q196" s="147">
        <v>0</v>
      </c>
      <c r="R196" s="121">
        <v>0</v>
      </c>
      <c r="S196" s="121">
        <v>256</v>
      </c>
    </row>
    <row r="197" spans="1:18" ht="13.5" thickBot="1">
      <c r="A197" s="117"/>
      <c r="B197" s="118">
        <f>14.88*1000</f>
        <v>14880</v>
      </c>
      <c r="C197" s="119">
        <v>4740</v>
      </c>
      <c r="D197" s="126">
        <f>(0.06*4)*1000</f>
        <v>240</v>
      </c>
      <c r="E197" s="123">
        <v>3980</v>
      </c>
      <c r="F197" s="126">
        <f>9.52*1000</f>
        <v>9520</v>
      </c>
      <c r="G197" s="133">
        <f>2.52*1000</f>
        <v>2520</v>
      </c>
      <c r="H197" s="119"/>
      <c r="I197" s="117"/>
      <c r="J197" s="117"/>
      <c r="K197" s="117"/>
      <c r="L197" s="119">
        <f>0.12*1000</f>
        <v>120</v>
      </c>
      <c r="M197" s="126">
        <f>B215</f>
        <v>135360</v>
      </c>
      <c r="N197" s="118"/>
      <c r="O197" s="119"/>
      <c r="P197" s="117"/>
      <c r="Q197" s="117"/>
      <c r="R197" s="117"/>
    </row>
    <row r="198" spans="1:18" ht="13.5" thickBot="1">
      <c r="A198" s="117"/>
      <c r="B198" s="118">
        <f>17.06*1000</f>
        <v>17060</v>
      </c>
      <c r="C198" s="119"/>
      <c r="D198" s="126">
        <f>8.88*1000</f>
        <v>8880</v>
      </c>
      <c r="E198" s="143"/>
      <c r="F198" s="130">
        <f>3.86*1000</f>
        <v>3860</v>
      </c>
      <c r="G198" s="250">
        <f>G196</f>
        <v>2140</v>
      </c>
      <c r="H198" s="119"/>
      <c r="I198" s="117"/>
      <c r="J198" s="117"/>
      <c r="K198" s="117"/>
      <c r="L198" s="119">
        <f>0.12*1000</f>
        <v>120</v>
      </c>
      <c r="M198" s="126">
        <f>D204</f>
        <v>16040</v>
      </c>
      <c r="N198" s="258">
        <f>M213</f>
        <v>5985200</v>
      </c>
      <c r="O198" s="120"/>
      <c r="P198" s="117"/>
      <c r="Q198" s="117"/>
      <c r="R198" s="117"/>
    </row>
    <row r="199" spans="1:18" ht="13.5" thickBot="1">
      <c r="A199" s="117"/>
      <c r="B199" s="118">
        <f>12.72*1000</f>
        <v>12720</v>
      </c>
      <c r="C199" s="119"/>
      <c r="D199" s="119">
        <f>4.84*1000</f>
        <v>4840</v>
      </c>
      <c r="E199" s="120"/>
      <c r="F199" s="252">
        <f>SUM(F196:F198)</f>
        <v>20060</v>
      </c>
      <c r="G199" s="117"/>
      <c r="H199" s="120"/>
      <c r="I199" s="117"/>
      <c r="J199" s="117"/>
      <c r="K199" s="117"/>
      <c r="L199" s="270">
        <f>4.74*1000</f>
        <v>4740</v>
      </c>
      <c r="M199" s="119">
        <f>E200</f>
        <v>6200</v>
      </c>
      <c r="N199" s="146">
        <f>N196+N197+N198</f>
        <v>5985200</v>
      </c>
      <c r="O199" s="144">
        <f>SUM(O196:O198)</f>
        <v>0</v>
      </c>
      <c r="P199" s="117"/>
      <c r="Q199" s="117"/>
      <c r="R199" s="117"/>
    </row>
    <row r="200" spans="1:18" ht="13.5" thickBot="1">
      <c r="A200" s="117"/>
      <c r="B200" s="118">
        <f>7.4*1000</f>
        <v>7400</v>
      </c>
      <c r="C200" s="119"/>
      <c r="D200" s="119">
        <f>0.1*1000</f>
        <v>100</v>
      </c>
      <c r="E200" s="252">
        <f>SUM(E196:E199)</f>
        <v>6200</v>
      </c>
      <c r="F200" s="117"/>
      <c r="G200" s="117"/>
      <c r="H200" s="253">
        <f>SUM(H196:H199)</f>
        <v>0</v>
      </c>
      <c r="I200" s="117"/>
      <c r="J200" s="117"/>
      <c r="K200" s="117"/>
      <c r="L200" s="119">
        <f>0.2*1000</f>
        <v>200</v>
      </c>
      <c r="M200" s="119">
        <f>E209</f>
        <v>0</v>
      </c>
      <c r="N200" s="117"/>
      <c r="O200" s="117"/>
      <c r="P200" s="117"/>
      <c r="Q200" s="117"/>
      <c r="R200" s="117"/>
    </row>
    <row r="201" spans="1:18" ht="13.5" thickBot="1">
      <c r="A201" s="117"/>
      <c r="B201" s="119">
        <f>9.32*1000</f>
        <v>9320</v>
      </c>
      <c r="C201" s="119"/>
      <c r="D201" s="119"/>
      <c r="E201" s="117"/>
      <c r="F201" s="117"/>
      <c r="G201" s="117"/>
      <c r="H201" s="117"/>
      <c r="I201" s="117"/>
      <c r="J201" s="117"/>
      <c r="K201" s="117"/>
      <c r="L201" s="120">
        <f>1.08*1000</f>
        <v>1080</v>
      </c>
      <c r="M201" s="119">
        <f>F199</f>
        <v>20060</v>
      </c>
      <c r="N201" s="117"/>
      <c r="O201" s="117"/>
      <c r="P201" s="117"/>
      <c r="Q201" s="117"/>
      <c r="R201" s="117"/>
    </row>
    <row r="202" spans="1:18" ht="13.5" thickBot="1">
      <c r="A202" s="117"/>
      <c r="B202" s="119">
        <f>2.96*1000</f>
        <v>2960</v>
      </c>
      <c r="C202" s="119"/>
      <c r="D202" s="119"/>
      <c r="E202" s="259" t="s">
        <v>223</v>
      </c>
      <c r="F202" s="117"/>
      <c r="G202" s="117"/>
      <c r="H202" s="117"/>
      <c r="I202" s="117"/>
      <c r="J202" s="117"/>
      <c r="K202" s="117"/>
      <c r="L202" s="231"/>
      <c r="M202" s="119">
        <f>G198</f>
        <v>2140</v>
      </c>
      <c r="N202" s="117"/>
      <c r="O202" s="117"/>
      <c r="P202" s="117"/>
      <c r="Q202" s="117"/>
      <c r="R202" s="117"/>
    </row>
    <row r="203" spans="1:18" ht="13.5" thickBot="1">
      <c r="A203" s="117"/>
      <c r="B203" s="119">
        <f>12.32*1000</f>
        <v>12320</v>
      </c>
      <c r="C203" s="117"/>
      <c r="D203" s="5"/>
      <c r="E203" s="125"/>
      <c r="F203" s="117"/>
      <c r="G203" s="117"/>
      <c r="H203" s="117"/>
      <c r="I203" s="117"/>
      <c r="J203" s="117"/>
      <c r="K203" s="117"/>
      <c r="L203" s="252">
        <f>L196+L197+L198+L199+L200+L201+L202</f>
        <v>7220</v>
      </c>
      <c r="M203" s="119">
        <f>H200</f>
        <v>0</v>
      </c>
      <c r="N203" s="117"/>
      <c r="O203" s="117"/>
      <c r="P203" s="117"/>
      <c r="Q203" s="117"/>
      <c r="R203" s="117"/>
    </row>
    <row r="204" spans="1:18" ht="13.5" thickBot="1">
      <c r="A204" s="117"/>
      <c r="B204" s="119">
        <f>13.36*1000</f>
        <v>13360</v>
      </c>
      <c r="C204" s="250">
        <f>C196+C197+C198+C199+C200+C201+C202</f>
        <v>13180</v>
      </c>
      <c r="D204" s="252">
        <f>SUM(D196:D203)</f>
        <v>16040</v>
      </c>
      <c r="E204" s="119"/>
      <c r="F204" s="117"/>
      <c r="G204" s="117"/>
      <c r="H204" s="117"/>
      <c r="I204" s="117"/>
      <c r="J204" s="117"/>
      <c r="K204" s="117"/>
      <c r="L204" s="117"/>
      <c r="M204" s="119">
        <f>I196</f>
        <v>657000</v>
      </c>
      <c r="N204" s="117"/>
      <c r="O204" s="137"/>
      <c r="P204" s="137"/>
      <c r="Q204" s="117"/>
      <c r="R204" s="117"/>
    </row>
    <row r="205" spans="1:18" ht="12.75">
      <c r="A205" s="117"/>
      <c r="B205" s="119">
        <f>12.12*1000</f>
        <v>12120</v>
      </c>
      <c r="C205" s="117"/>
      <c r="D205" s="164">
        <f>D204/2</f>
        <v>8020</v>
      </c>
      <c r="E205" s="119"/>
      <c r="F205" s="117"/>
      <c r="G205" s="117"/>
      <c r="H205" s="117"/>
      <c r="I205" s="117"/>
      <c r="J205" s="117"/>
      <c r="K205" s="117"/>
      <c r="L205" s="117"/>
      <c r="M205" s="123">
        <f>J196</f>
        <v>710000</v>
      </c>
      <c r="N205" s="117"/>
      <c r="O205" s="137"/>
      <c r="P205" s="137"/>
      <c r="Q205" s="117"/>
      <c r="R205" s="117"/>
    </row>
    <row r="206" spans="1:18" ht="13.5" thickBot="1">
      <c r="A206" s="117"/>
      <c r="B206" s="119">
        <f>21.62*1000</f>
        <v>21620</v>
      </c>
      <c r="C206" s="117"/>
      <c r="E206" s="124"/>
      <c r="F206" s="117"/>
      <c r="G206" s="117"/>
      <c r="H206" s="117"/>
      <c r="I206" s="117"/>
      <c r="J206" s="117"/>
      <c r="K206" s="117"/>
      <c r="L206" s="117"/>
      <c r="M206" s="123">
        <f>K196</f>
        <v>4418000</v>
      </c>
      <c r="N206" s="117"/>
      <c r="O206" s="137"/>
      <c r="P206" s="137"/>
      <c r="Q206" s="117"/>
      <c r="R206" s="117"/>
    </row>
    <row r="207" spans="1:18" ht="13.5" thickBot="1">
      <c r="A207" s="117"/>
      <c r="B207" s="119"/>
      <c r="C207" s="117"/>
      <c r="E207" s="121"/>
      <c r="F207" s="117"/>
      <c r="M207" s="119">
        <f>L203</f>
        <v>7220</v>
      </c>
      <c r="O207" s="117"/>
      <c r="P207" s="117"/>
      <c r="Q207" s="117"/>
      <c r="R207" s="117"/>
    </row>
    <row r="208" spans="1:18" ht="13.5" thickBot="1">
      <c r="A208" s="117"/>
      <c r="B208" s="119"/>
      <c r="C208" s="117"/>
      <c r="E208" s="123"/>
      <c r="F208" s="28"/>
      <c r="M208" s="119">
        <f>P196</f>
        <v>0</v>
      </c>
      <c r="O208" s="117"/>
      <c r="P208" s="117"/>
      <c r="Q208" s="117"/>
      <c r="R208" s="117"/>
    </row>
    <row r="209" spans="1:18" ht="13.5" thickBot="1">
      <c r="A209" s="117"/>
      <c r="B209" s="123"/>
      <c r="C209" s="117"/>
      <c r="E209" s="252">
        <f>SUM(E203:E208)</f>
        <v>0</v>
      </c>
      <c r="M209" s="119">
        <f>Q196</f>
        <v>0</v>
      </c>
      <c r="O209" s="117"/>
      <c r="P209" s="117"/>
      <c r="Q209" s="117"/>
      <c r="R209" s="117"/>
    </row>
    <row r="210" spans="1:13" ht="12.75">
      <c r="A210" s="117"/>
      <c r="B210" s="123"/>
      <c r="C210" s="117"/>
      <c r="F210" s="92"/>
      <c r="M210" s="119">
        <f>R196</f>
        <v>0</v>
      </c>
    </row>
    <row r="211" spans="1:13" ht="13.5" thickBot="1">
      <c r="A211" s="117"/>
      <c r="B211" s="123"/>
      <c r="C211" s="117"/>
      <c r="E211" s="247"/>
      <c r="M211" s="120">
        <f>C204</f>
        <v>13180</v>
      </c>
    </row>
    <row r="212" spans="1:3" ht="13.5" thickBot="1">
      <c r="A212" s="117"/>
      <c r="B212" s="123"/>
      <c r="C212" s="117"/>
    </row>
    <row r="213" spans="1:15" ht="13.5" thickBot="1">
      <c r="A213" s="117"/>
      <c r="B213" s="123"/>
      <c r="C213" s="117"/>
      <c r="M213" s="252">
        <f>SUM(M196:M211)</f>
        <v>5985200</v>
      </c>
      <c r="N213" s="262" t="s">
        <v>177</v>
      </c>
      <c r="O213" s="263" t="s">
        <v>227</v>
      </c>
    </row>
    <row r="214" spans="1:3" ht="13.5" thickBot="1">
      <c r="A214" s="117"/>
      <c r="B214" s="124"/>
      <c r="C214" s="117"/>
    </row>
    <row r="215" spans="1:15" ht="13.5" thickBot="1">
      <c r="A215" s="117"/>
      <c r="B215" s="251">
        <f>SUM(B196:B214)</f>
        <v>135360</v>
      </c>
      <c r="C215" s="117"/>
      <c r="M215" s="249">
        <f>N199</f>
        <v>5985200</v>
      </c>
      <c r="N215" s="256" t="s">
        <v>179</v>
      </c>
      <c r="O215" s="257" t="s">
        <v>228</v>
      </c>
    </row>
    <row r="216" spans="1:3" ht="13.5" thickBot="1">
      <c r="A216" s="117"/>
      <c r="B216" s="137"/>
      <c r="C216" s="117"/>
    </row>
    <row r="217" spans="1:14" ht="13.5" thickBot="1">
      <c r="A217" s="117"/>
      <c r="B217" s="137"/>
      <c r="C217" s="117"/>
      <c r="M217" s="228">
        <f>100*(M213/M215)</f>
        <v>100</v>
      </c>
      <c r="N217" s="180" t="s">
        <v>193</v>
      </c>
    </row>
    <row r="218" spans="1:14" ht="12.75">
      <c r="A218" s="117"/>
      <c r="B218" s="137"/>
      <c r="C218" s="117"/>
      <c r="N218" s="264" t="s">
        <v>178</v>
      </c>
    </row>
    <row r="219" spans="1:14" ht="12.75">
      <c r="A219" s="117"/>
      <c r="B219" s="137"/>
      <c r="C219" s="117"/>
      <c r="N219" s="265" t="s">
        <v>180</v>
      </c>
    </row>
    <row r="220" spans="1:3" ht="13.5" thickBot="1">
      <c r="A220" s="117"/>
      <c r="B220" s="137"/>
      <c r="C220" s="117"/>
    </row>
    <row r="221" spans="1:14" ht="13.5" thickBot="1">
      <c r="A221" s="117"/>
      <c r="B221" s="137"/>
      <c r="C221" s="117"/>
      <c r="M221" s="228">
        <f>M215/(1000*S196)</f>
        <v>23.3796875</v>
      </c>
      <c r="N221" s="180" t="s">
        <v>230</v>
      </c>
    </row>
    <row r="222" spans="1:14" ht="12.75">
      <c r="A222" s="117"/>
      <c r="B222" s="137"/>
      <c r="C222" s="117"/>
      <c r="N222" s="169" t="s">
        <v>195</v>
      </c>
    </row>
    <row r="223" ht="13.5" thickBot="1"/>
    <row r="224" spans="13:14" ht="13.5" thickBot="1">
      <c r="M224" s="261">
        <f>M213</f>
        <v>5985200</v>
      </c>
      <c r="N224" s="260" t="s">
        <v>215</v>
      </c>
    </row>
    <row r="227" ht="12.75">
      <c r="A227" s="181" t="s">
        <v>169</v>
      </c>
    </row>
    <row r="228" ht="13.5" thickBot="1"/>
    <row r="229" spans="1:19" ht="13.5" thickBot="1">
      <c r="A229" s="53" t="s">
        <v>40</v>
      </c>
      <c r="B229" s="15" t="s">
        <v>0</v>
      </c>
      <c r="C229" s="16" t="s">
        <v>1</v>
      </c>
      <c r="D229" s="42" t="s">
        <v>2</v>
      </c>
      <c r="E229" s="142" t="s">
        <v>81</v>
      </c>
      <c r="F229" s="19" t="s">
        <v>4</v>
      </c>
      <c r="G229" s="20" t="s">
        <v>5</v>
      </c>
      <c r="H229" s="33" t="s">
        <v>6</v>
      </c>
      <c r="I229" s="109" t="s">
        <v>141</v>
      </c>
      <c r="J229" s="23" t="s">
        <v>8</v>
      </c>
      <c r="K229" s="24" t="s">
        <v>9</v>
      </c>
      <c r="L229" s="49" t="s">
        <v>14</v>
      </c>
      <c r="M229" s="1" t="s">
        <v>13</v>
      </c>
      <c r="N229" s="3" t="s">
        <v>11</v>
      </c>
      <c r="O229" s="50" t="s">
        <v>114</v>
      </c>
      <c r="P229" s="81" t="s">
        <v>113</v>
      </c>
      <c r="Q229" s="110" t="s">
        <v>142</v>
      </c>
      <c r="R229" s="111" t="s">
        <v>80</v>
      </c>
      <c r="S229" s="190" t="s">
        <v>196</v>
      </c>
    </row>
    <row r="230" spans="1:19" ht="13.5" thickBot="1">
      <c r="A230" s="250">
        <v>0</v>
      </c>
      <c r="B230" s="115">
        <f>22.76*1000</f>
        <v>22760</v>
      </c>
      <c r="C230" s="116">
        <f>9.08*1000</f>
        <v>9080</v>
      </c>
      <c r="D230" s="125">
        <f>0.1*1000</f>
        <v>100</v>
      </c>
      <c r="E230" s="119">
        <f>2.84*1000</f>
        <v>2840</v>
      </c>
      <c r="F230" s="125">
        <f>8.76*1000</f>
        <v>8760</v>
      </c>
      <c r="G230" s="115">
        <f>2.9*1000</f>
        <v>2900</v>
      </c>
      <c r="H230" s="116"/>
      <c r="I230" s="254">
        <f>469*1000</f>
        <v>469000</v>
      </c>
      <c r="J230" s="254">
        <f>711*1000</f>
        <v>711000</v>
      </c>
      <c r="K230" s="255">
        <f>(3667)*1000</f>
        <v>3667000</v>
      </c>
      <c r="L230" s="119">
        <f>0.32*1000</f>
        <v>320</v>
      </c>
      <c r="M230" s="132">
        <f>A230</f>
        <v>0</v>
      </c>
      <c r="N230" s="135"/>
      <c r="O230" s="269">
        <v>0</v>
      </c>
      <c r="P230" s="149">
        <v>0</v>
      </c>
      <c r="Q230" s="147">
        <v>0</v>
      </c>
      <c r="R230" s="121">
        <v>0</v>
      </c>
      <c r="S230" s="121">
        <v>214</v>
      </c>
    </row>
    <row r="231" spans="1:18" ht="13.5" thickBot="1">
      <c r="A231" s="117"/>
      <c r="B231" s="118">
        <f>13.62*1000</f>
        <v>13620</v>
      </c>
      <c r="C231" s="119">
        <f>5.5*1000</f>
        <v>5500</v>
      </c>
      <c r="D231" s="126">
        <f>9.7*1000</f>
        <v>9700</v>
      </c>
      <c r="E231" s="123"/>
      <c r="F231" s="126">
        <f>5.72*1000</f>
        <v>5720</v>
      </c>
      <c r="G231" s="133"/>
      <c r="H231" s="119"/>
      <c r="I231" s="117"/>
      <c r="J231" s="117"/>
      <c r="K231" s="117"/>
      <c r="L231" s="119">
        <f>0.32*1000</f>
        <v>320</v>
      </c>
      <c r="M231" s="126">
        <f>B249</f>
        <v>103460</v>
      </c>
      <c r="N231" s="118"/>
      <c r="O231" s="119"/>
      <c r="P231" s="117"/>
      <c r="Q231" s="117"/>
      <c r="R231" s="117"/>
    </row>
    <row r="232" spans="1:18" ht="13.5" thickBot="1">
      <c r="A232" s="117"/>
      <c r="B232" s="118">
        <f>15.84*1000</f>
        <v>15840</v>
      </c>
      <c r="C232" s="119">
        <f>8.44*1000</f>
        <v>8440</v>
      </c>
      <c r="D232" s="126">
        <v>100</v>
      </c>
      <c r="E232" s="143"/>
      <c r="F232" s="130">
        <f>(7.08+4.66+9.16)*1000</f>
        <v>20900</v>
      </c>
      <c r="G232" s="250">
        <f>SUM(F232)</f>
        <v>20900</v>
      </c>
      <c r="H232" s="119"/>
      <c r="I232" s="117"/>
      <c r="J232" s="117"/>
      <c r="K232" s="117"/>
      <c r="L232" s="119">
        <f>5.02*1000</f>
        <v>5020</v>
      </c>
      <c r="M232" s="126">
        <f>D238</f>
        <v>13960</v>
      </c>
      <c r="N232" s="258">
        <f>M247</f>
        <v>5059720</v>
      </c>
      <c r="O232" s="120"/>
      <c r="P232" s="117"/>
      <c r="Q232" s="117"/>
      <c r="R232" s="117"/>
    </row>
    <row r="233" spans="1:18" ht="13.5" thickBot="1">
      <c r="A233" s="117"/>
      <c r="B233" s="118">
        <f>15.18*1000</f>
        <v>15180</v>
      </c>
      <c r="C233" s="119">
        <f>6.36*1000</f>
        <v>6360</v>
      </c>
      <c r="D233" s="119">
        <f>0.04*1000</f>
        <v>40</v>
      </c>
      <c r="E233" s="120"/>
      <c r="F233" s="252">
        <f>SUM(F230:F232)</f>
        <v>35380</v>
      </c>
      <c r="G233" s="117"/>
      <c r="H233" s="120"/>
      <c r="I233" s="117"/>
      <c r="J233" s="117"/>
      <c r="K233" s="117"/>
      <c r="L233" s="270"/>
      <c r="M233" s="119">
        <f>E234</f>
        <v>3980</v>
      </c>
      <c r="N233" s="146">
        <f>N230+N231+N232</f>
        <v>5059720</v>
      </c>
      <c r="O233" s="144">
        <f>SUM(O230:O232)</f>
        <v>0</v>
      </c>
      <c r="P233" s="117"/>
      <c r="Q233" s="117"/>
      <c r="R233" s="117"/>
    </row>
    <row r="234" spans="1:18" ht="13.5" thickBot="1">
      <c r="A234" s="117"/>
      <c r="B234" s="118">
        <f>16.64*1000</f>
        <v>16640</v>
      </c>
      <c r="C234" s="119"/>
      <c r="D234" s="119">
        <f>3.98*1000</f>
        <v>3980</v>
      </c>
      <c r="E234" s="252">
        <f>SUM(D234)</f>
        <v>3980</v>
      </c>
      <c r="F234" s="117"/>
      <c r="G234" s="117"/>
      <c r="H234" s="253">
        <f>SUM(H230:H233)</f>
        <v>0</v>
      </c>
      <c r="I234" s="117"/>
      <c r="J234" s="117"/>
      <c r="K234" s="117"/>
      <c r="L234" s="119"/>
      <c r="M234" s="119">
        <f>E243</f>
        <v>0</v>
      </c>
      <c r="N234" s="117"/>
      <c r="O234" s="117"/>
      <c r="P234" s="117"/>
      <c r="Q234" s="117"/>
      <c r="R234" s="117"/>
    </row>
    <row r="235" spans="1:18" ht="13.5" thickBot="1">
      <c r="A235" s="117"/>
      <c r="B235" s="119">
        <f>19.42*1000</f>
        <v>19420</v>
      </c>
      <c r="C235" s="119"/>
      <c r="D235" s="119">
        <f>0.04*1000</f>
        <v>40</v>
      </c>
      <c r="E235" s="117"/>
      <c r="F235" s="117"/>
      <c r="G235" s="117"/>
      <c r="H235" s="117"/>
      <c r="I235" s="117"/>
      <c r="J235" s="117"/>
      <c r="K235" s="117"/>
      <c r="L235" s="120"/>
      <c r="M235" s="119">
        <f>F233</f>
        <v>35380</v>
      </c>
      <c r="N235" s="117"/>
      <c r="O235" s="117"/>
      <c r="P235" s="117"/>
      <c r="Q235" s="117"/>
      <c r="R235" s="117"/>
    </row>
    <row r="236" spans="1:18" ht="13.5" thickBot="1">
      <c r="A236" s="117"/>
      <c r="B236" s="119"/>
      <c r="C236" s="119"/>
      <c r="D236" s="119"/>
      <c r="E236" s="259" t="s">
        <v>223</v>
      </c>
      <c r="F236" s="117"/>
      <c r="G236" s="117"/>
      <c r="H236" s="117"/>
      <c r="I236" s="117"/>
      <c r="J236" s="117"/>
      <c r="K236" s="117"/>
      <c r="L236" s="231"/>
      <c r="M236" s="119">
        <f>G232</f>
        <v>20900</v>
      </c>
      <c r="N236" s="117"/>
      <c r="O236" s="117"/>
      <c r="P236" s="117"/>
      <c r="Q236" s="117"/>
      <c r="R236" s="117"/>
    </row>
    <row r="237" spans="1:18" ht="13.5" thickBot="1">
      <c r="A237" s="117"/>
      <c r="B237" s="119"/>
      <c r="C237" s="117"/>
      <c r="D237" s="5"/>
      <c r="E237" s="125"/>
      <c r="F237" s="117"/>
      <c r="G237" s="117"/>
      <c r="H237" s="117"/>
      <c r="I237" s="117"/>
      <c r="J237" s="117"/>
      <c r="K237" s="117"/>
      <c r="L237" s="252">
        <f>L230+L231+L232+L233+L234+L235+L236</f>
        <v>5660</v>
      </c>
      <c r="M237" s="119">
        <f>H234</f>
        <v>0</v>
      </c>
      <c r="N237" s="117"/>
      <c r="O237" s="117"/>
      <c r="P237" s="117"/>
      <c r="Q237" s="117"/>
      <c r="R237" s="117"/>
    </row>
    <row r="238" spans="1:18" ht="13.5" thickBot="1">
      <c r="A238" s="117"/>
      <c r="B238" s="119"/>
      <c r="C238" s="250">
        <f>SUM(C230:C237)</f>
        <v>29380</v>
      </c>
      <c r="D238" s="252">
        <f>SUM(D230:D237)</f>
        <v>13960</v>
      </c>
      <c r="E238" s="119"/>
      <c r="F238" s="117"/>
      <c r="G238" s="117"/>
      <c r="H238" s="117"/>
      <c r="I238" s="117"/>
      <c r="J238" s="117"/>
      <c r="K238" s="117"/>
      <c r="L238" s="117"/>
      <c r="M238" s="119">
        <f>I230</f>
        <v>469000</v>
      </c>
      <c r="N238" s="117"/>
      <c r="O238" s="137"/>
      <c r="P238" s="137"/>
      <c r="Q238" s="117"/>
      <c r="R238" s="117"/>
    </row>
    <row r="239" spans="1:18" ht="12.75">
      <c r="A239" s="117"/>
      <c r="B239" s="119"/>
      <c r="C239" s="117"/>
      <c r="D239" s="164">
        <f>D238/2</f>
        <v>6980</v>
      </c>
      <c r="E239" s="119"/>
      <c r="F239" s="117"/>
      <c r="G239" s="117"/>
      <c r="H239" s="117"/>
      <c r="I239" s="117"/>
      <c r="J239" s="117"/>
      <c r="K239" s="117"/>
      <c r="L239" s="117"/>
      <c r="M239" s="123">
        <f>J230</f>
        <v>711000</v>
      </c>
      <c r="N239" s="117"/>
      <c r="O239" s="137"/>
      <c r="P239" s="137"/>
      <c r="Q239" s="117"/>
      <c r="R239" s="117"/>
    </row>
    <row r="240" spans="1:18" ht="13.5" thickBot="1">
      <c r="A240" s="117"/>
      <c r="B240" s="119"/>
      <c r="C240" s="117"/>
      <c r="E240" s="124"/>
      <c r="F240" s="117"/>
      <c r="G240" s="117"/>
      <c r="H240" s="117"/>
      <c r="I240" s="117"/>
      <c r="J240" s="117"/>
      <c r="K240" s="117"/>
      <c r="L240" s="117"/>
      <c r="M240" s="123">
        <f>K230</f>
        <v>3667000</v>
      </c>
      <c r="N240" s="117"/>
      <c r="O240" s="137"/>
      <c r="P240" s="137"/>
      <c r="Q240" s="117"/>
      <c r="R240" s="117"/>
    </row>
    <row r="241" spans="1:18" ht="13.5" thickBot="1">
      <c r="A241" s="117"/>
      <c r="B241" s="119"/>
      <c r="C241" s="117"/>
      <c r="E241" s="121"/>
      <c r="F241" s="117"/>
      <c r="M241" s="119">
        <f>L237</f>
        <v>5660</v>
      </c>
      <c r="O241" s="117"/>
      <c r="P241" s="117"/>
      <c r="Q241" s="117"/>
      <c r="R241" s="117"/>
    </row>
    <row r="242" spans="1:18" ht="13.5" thickBot="1">
      <c r="A242" s="117"/>
      <c r="B242" s="119"/>
      <c r="C242" s="117"/>
      <c r="E242" s="123"/>
      <c r="F242" s="28"/>
      <c r="M242" s="119">
        <f>P230</f>
        <v>0</v>
      </c>
      <c r="O242" s="117"/>
      <c r="P242" s="117"/>
      <c r="Q242" s="117"/>
      <c r="R242" s="117"/>
    </row>
    <row r="243" spans="1:18" ht="13.5" thickBot="1">
      <c r="A243" s="117"/>
      <c r="B243" s="123"/>
      <c r="C243" s="117"/>
      <c r="E243" s="252">
        <f>SUM(E237:E242)</f>
        <v>0</v>
      </c>
      <c r="M243" s="119">
        <f>Q230</f>
        <v>0</v>
      </c>
      <c r="O243" s="117"/>
      <c r="P243" s="117"/>
      <c r="Q243" s="117"/>
      <c r="R243" s="117"/>
    </row>
    <row r="244" spans="1:13" ht="12.75">
      <c r="A244" s="117"/>
      <c r="B244" s="123"/>
      <c r="C244" s="117"/>
      <c r="F244" s="92"/>
      <c r="M244" s="119">
        <f>R230</f>
        <v>0</v>
      </c>
    </row>
    <row r="245" spans="1:13" ht="13.5" thickBot="1">
      <c r="A245" s="117"/>
      <c r="B245" s="123"/>
      <c r="C245" s="117"/>
      <c r="E245" s="247"/>
      <c r="M245" s="120">
        <f>C238</f>
        <v>29380</v>
      </c>
    </row>
    <row r="246" spans="1:3" ht="13.5" thickBot="1">
      <c r="A246" s="117"/>
      <c r="B246" s="123"/>
      <c r="C246" s="117"/>
    </row>
    <row r="247" spans="1:15" ht="13.5" thickBot="1">
      <c r="A247" s="117"/>
      <c r="B247" s="123"/>
      <c r="C247" s="117"/>
      <c r="M247" s="252">
        <f>SUM(M230:M245)</f>
        <v>5059720</v>
      </c>
      <c r="N247" s="262" t="s">
        <v>177</v>
      </c>
      <c r="O247" s="263" t="s">
        <v>227</v>
      </c>
    </row>
    <row r="248" spans="1:3" ht="13.5" thickBot="1">
      <c r="A248" s="117"/>
      <c r="B248" s="124"/>
      <c r="C248" s="117"/>
    </row>
    <row r="249" spans="1:15" ht="13.5" thickBot="1">
      <c r="A249" s="117"/>
      <c r="B249" s="251">
        <f>SUM(B230:B248)</f>
        <v>103460</v>
      </c>
      <c r="C249" s="117"/>
      <c r="M249" s="249">
        <f>N233</f>
        <v>5059720</v>
      </c>
      <c r="N249" s="256" t="s">
        <v>179</v>
      </c>
      <c r="O249" s="257" t="s">
        <v>228</v>
      </c>
    </row>
    <row r="250" spans="1:3" ht="13.5" thickBot="1">
      <c r="A250" s="117"/>
      <c r="B250" s="137"/>
      <c r="C250" s="117"/>
    </row>
    <row r="251" spans="1:14" ht="13.5" thickBot="1">
      <c r="A251" s="117"/>
      <c r="B251" s="137"/>
      <c r="C251" s="117"/>
      <c r="M251" s="228">
        <f>100*(M247/M249)</f>
        <v>100</v>
      </c>
      <c r="N251" s="180" t="s">
        <v>193</v>
      </c>
    </row>
    <row r="252" spans="1:14" ht="12.75">
      <c r="A252" s="117"/>
      <c r="B252" s="137"/>
      <c r="C252" s="117"/>
      <c r="N252" s="264" t="s">
        <v>178</v>
      </c>
    </row>
    <row r="253" spans="1:14" ht="12.75">
      <c r="A253" s="117"/>
      <c r="B253" s="137"/>
      <c r="C253" s="117"/>
      <c r="N253" s="265" t="s">
        <v>180</v>
      </c>
    </row>
    <row r="254" spans="1:3" ht="13.5" thickBot="1">
      <c r="A254" s="117"/>
      <c r="B254" s="137"/>
      <c r="C254" s="117"/>
    </row>
    <row r="255" spans="1:14" ht="13.5" thickBot="1">
      <c r="A255" s="117"/>
      <c r="B255" s="137"/>
      <c r="C255" s="117"/>
      <c r="M255" s="228">
        <f>M249/(1000*S230)</f>
        <v>23.64355140186916</v>
      </c>
      <c r="N255" s="180" t="s">
        <v>230</v>
      </c>
    </row>
    <row r="256" spans="1:14" ht="12.75">
      <c r="A256" s="117"/>
      <c r="B256" s="137"/>
      <c r="C256" s="117"/>
      <c r="N256" s="169" t="s">
        <v>195</v>
      </c>
    </row>
    <row r="257" ht="13.5" thickBot="1"/>
    <row r="258" spans="13:14" ht="13.5" thickBot="1">
      <c r="M258" s="261">
        <f>M247</f>
        <v>5059720</v>
      </c>
      <c r="N258" s="260" t="s">
        <v>215</v>
      </c>
    </row>
    <row r="262" spans="1:11" ht="12.75">
      <c r="A262" s="181" t="s">
        <v>231</v>
      </c>
      <c r="J262" s="306" t="s">
        <v>234</v>
      </c>
      <c r="K262" s="306"/>
    </row>
    <row r="263" ht="13.5" thickBot="1"/>
    <row r="264" spans="1:19" ht="13.5" thickBot="1">
      <c r="A264" s="53" t="s">
        <v>40</v>
      </c>
      <c r="B264" s="15" t="s">
        <v>0</v>
      </c>
      <c r="C264" s="16" t="s">
        <v>1</v>
      </c>
      <c r="D264" s="42" t="s">
        <v>2</v>
      </c>
      <c r="E264" s="142" t="s">
        <v>81</v>
      </c>
      <c r="F264" s="19" t="s">
        <v>4</v>
      </c>
      <c r="G264" s="20" t="s">
        <v>5</v>
      </c>
      <c r="H264" s="33" t="s">
        <v>6</v>
      </c>
      <c r="I264" s="109" t="s">
        <v>141</v>
      </c>
      <c r="J264" s="23" t="s">
        <v>8</v>
      </c>
      <c r="K264" s="24" t="s">
        <v>9</v>
      </c>
      <c r="L264" s="49" t="s">
        <v>14</v>
      </c>
      <c r="M264" s="1" t="s">
        <v>13</v>
      </c>
      <c r="N264" s="3" t="s">
        <v>11</v>
      </c>
      <c r="O264" s="50" t="s">
        <v>114</v>
      </c>
      <c r="P264" s="81" t="s">
        <v>113</v>
      </c>
      <c r="Q264" s="110" t="s">
        <v>142</v>
      </c>
      <c r="R264" s="111" t="s">
        <v>80</v>
      </c>
      <c r="S264" s="190" t="s">
        <v>196</v>
      </c>
    </row>
    <row r="265" spans="1:19" ht="13.5" thickBot="1">
      <c r="A265" s="250"/>
      <c r="B265" s="278">
        <f>'[1]Disposal Diary'!$K$435</f>
        <v>15.52</v>
      </c>
      <c r="C265" s="282">
        <f>'[1]Disposal Diary'!$K$443</f>
        <v>7.24</v>
      </c>
      <c r="D265" s="276">
        <f>'[1]Disposal Diary'!$K$432</f>
        <v>10.9</v>
      </c>
      <c r="E265" s="119"/>
      <c r="F265" s="125">
        <v>8.12</v>
      </c>
      <c r="G265" s="278">
        <f>'[1]Disposal Diary'!$K$442</f>
        <v>2.14</v>
      </c>
      <c r="H265" s="116">
        <v>7.19</v>
      </c>
      <c r="I265" s="254">
        <f>292*1000</f>
        <v>292000</v>
      </c>
      <c r="J265" s="254">
        <f>473*1000</f>
        <v>473000</v>
      </c>
      <c r="K265" s="255">
        <f>((2973)*1000)+I277</f>
        <v>3010000</v>
      </c>
      <c r="L265" s="119">
        <v>0.2</v>
      </c>
      <c r="M265" s="132">
        <f>A265</f>
        <v>0</v>
      </c>
      <c r="N265" s="135"/>
      <c r="O265" s="269">
        <v>0</v>
      </c>
      <c r="P265" s="280">
        <f>3.14*1000</f>
        <v>3140</v>
      </c>
      <c r="Q265" s="147">
        <v>0</v>
      </c>
      <c r="R265" s="121">
        <v>0</v>
      </c>
      <c r="S265" s="121">
        <v>180</v>
      </c>
    </row>
    <row r="266" spans="1:18" ht="13.5" thickBot="1">
      <c r="A266" s="117"/>
      <c r="B266" s="279">
        <f>'[1]Disposal Diary'!$K$437</f>
        <v>7.66</v>
      </c>
      <c r="C266" s="119"/>
      <c r="D266" s="277">
        <f>'[1]Disposal Diary'!$K$433</f>
        <v>0.042</v>
      </c>
      <c r="E266" s="123"/>
      <c r="F266" s="126">
        <v>8.9</v>
      </c>
      <c r="G266" s="133"/>
      <c r="H266" s="119"/>
      <c r="I266" s="117"/>
      <c r="J266" s="117"/>
      <c r="K266" s="117"/>
      <c r="L266" s="119">
        <v>0.76</v>
      </c>
      <c r="M266" s="126">
        <f>B285</f>
        <v>134840</v>
      </c>
      <c r="N266" s="118"/>
      <c r="O266" s="119"/>
      <c r="P266" s="117"/>
      <c r="Q266" s="117"/>
      <c r="R266" s="117"/>
    </row>
    <row r="267" spans="1:18" ht="13.5" thickBot="1">
      <c r="A267" s="117"/>
      <c r="B267" s="279">
        <f>'[1]Disposal Diary'!$K$438</f>
        <v>5.88</v>
      </c>
      <c r="C267" s="119"/>
      <c r="D267" s="277">
        <f>'[1]Disposal Diary'!$K$439</f>
        <v>0.042</v>
      </c>
      <c r="E267" s="143"/>
      <c r="F267" s="130">
        <f>9.64+4.92</f>
        <v>14.56</v>
      </c>
      <c r="G267" s="283">
        <f>(G265)*1000</f>
        <v>2140</v>
      </c>
      <c r="H267" s="119"/>
      <c r="I267" s="117"/>
      <c r="J267" s="117"/>
      <c r="K267" s="117"/>
      <c r="L267" s="119">
        <v>5.14</v>
      </c>
      <c r="M267" s="126">
        <f>D273</f>
        <v>22964</v>
      </c>
      <c r="N267" s="258">
        <f>M283</f>
        <v>3991374</v>
      </c>
      <c r="O267" s="120"/>
      <c r="P267" s="117"/>
      <c r="Q267" s="117"/>
      <c r="R267" s="117"/>
    </row>
    <row r="268" spans="1:18" ht="13.5" thickBot="1">
      <c r="A268" s="117"/>
      <c r="B268" s="279">
        <f>'[1]Disposal Diary'!$K$445</f>
        <v>16.7</v>
      </c>
      <c r="C268" s="119"/>
      <c r="D268" s="281">
        <f>'[1]Disposal Diary'!$K$441</f>
        <v>2.64</v>
      </c>
      <c r="E268" s="120"/>
      <c r="F268" s="252">
        <f>(SUM(F265:F267))*1000</f>
        <v>31580</v>
      </c>
      <c r="G268" s="117"/>
      <c r="H268" s="120"/>
      <c r="I268" s="117"/>
      <c r="J268" s="117"/>
      <c r="K268" s="117"/>
      <c r="L268" s="270">
        <v>0.3</v>
      </c>
      <c r="M268" s="119">
        <f>E269</f>
        <v>0</v>
      </c>
      <c r="N268" s="146">
        <f>N265+N266+N267</f>
        <v>3991374</v>
      </c>
      <c r="O268" s="144">
        <f>SUM(O265:O267)</f>
        <v>0</v>
      </c>
      <c r="P268" s="117"/>
      <c r="Q268" s="117"/>
      <c r="R268" s="117"/>
    </row>
    <row r="269" spans="1:18" ht="13.5" thickBot="1">
      <c r="A269" s="117"/>
      <c r="B269" s="279">
        <f>'[1]Disposal Diary'!$K$448</f>
        <v>11.56</v>
      </c>
      <c r="C269" s="119"/>
      <c r="D269" s="119">
        <v>0.04</v>
      </c>
      <c r="E269" s="252">
        <f>(E265)*1000</f>
        <v>0</v>
      </c>
      <c r="F269" s="117"/>
      <c r="G269" s="117"/>
      <c r="H269" s="253">
        <f>(SUM(H265:H268))*1000</f>
        <v>7190</v>
      </c>
      <c r="I269" s="117"/>
      <c r="J269" s="117"/>
      <c r="K269" s="117"/>
      <c r="L269" s="119">
        <v>0.28</v>
      </c>
      <c r="M269" s="119">
        <f>E278</f>
        <v>0</v>
      </c>
      <c r="N269" s="117"/>
      <c r="O269" s="117"/>
      <c r="P269" s="117"/>
      <c r="Q269" s="117"/>
      <c r="R269" s="117"/>
    </row>
    <row r="270" spans="1:18" ht="13.5" thickBot="1">
      <c r="A270" s="117"/>
      <c r="B270" s="119">
        <v>14.88</v>
      </c>
      <c r="C270" s="119"/>
      <c r="D270" s="119">
        <v>0.04</v>
      </c>
      <c r="E270" s="117"/>
      <c r="F270" s="117"/>
      <c r="G270" s="117"/>
      <c r="H270" s="285"/>
      <c r="I270" s="293" t="s">
        <v>233</v>
      </c>
      <c r="J270" s="286" t="s">
        <v>235</v>
      </c>
      <c r="K270" s="117"/>
      <c r="L270" s="120">
        <v>0.6</v>
      </c>
      <c r="M270" s="119">
        <f>F268</f>
        <v>31580</v>
      </c>
      <c r="N270" s="117"/>
      <c r="O270" s="117"/>
      <c r="P270" s="117"/>
      <c r="Q270" s="117"/>
      <c r="R270" s="117"/>
    </row>
    <row r="271" spans="1:18" ht="13.5" thickBot="1">
      <c r="A271" s="117"/>
      <c r="B271" s="119">
        <v>12.76</v>
      </c>
      <c r="C271" s="119"/>
      <c r="D271" s="119">
        <v>6.48</v>
      </c>
      <c r="E271" s="259" t="s">
        <v>223</v>
      </c>
      <c r="F271" s="117"/>
      <c r="G271" s="117"/>
      <c r="H271" s="287">
        <v>43001</v>
      </c>
      <c r="I271" s="288">
        <v>5000</v>
      </c>
      <c r="J271" s="286">
        <f>1831.25</f>
        <v>1831.25</v>
      </c>
      <c r="K271" s="117"/>
      <c r="L271" s="231"/>
      <c r="M271" s="119">
        <f>G267</f>
        <v>2140</v>
      </c>
      <c r="N271" s="117"/>
      <c r="O271" s="117"/>
      <c r="P271" s="117"/>
      <c r="Q271" s="117"/>
      <c r="R271" s="117"/>
    </row>
    <row r="272" spans="1:18" ht="13.5" thickBot="1">
      <c r="A272" s="117"/>
      <c r="B272" s="119">
        <v>10.12</v>
      </c>
      <c r="C272" s="117"/>
      <c r="D272" s="120">
        <v>2.78</v>
      </c>
      <c r="E272" s="125"/>
      <c r="F272" s="117"/>
      <c r="G272" s="117"/>
      <c r="H272" s="287">
        <v>43003</v>
      </c>
      <c r="I272" s="288">
        <v>5000</v>
      </c>
      <c r="J272" s="286">
        <v>1516.25</v>
      </c>
      <c r="K272" s="117"/>
      <c r="L272" s="252">
        <f>(L265+L266+L267+L268+L269+L270+L271)*1000</f>
        <v>7279.999999999999</v>
      </c>
      <c r="M272" s="119">
        <f>H269</f>
        <v>7190</v>
      </c>
      <c r="N272" s="117"/>
      <c r="O272" s="117"/>
      <c r="P272" s="117"/>
      <c r="Q272" s="117"/>
      <c r="R272" s="117"/>
    </row>
    <row r="273" spans="1:18" ht="13.5" thickBot="1">
      <c r="A273" s="117"/>
      <c r="B273" s="119">
        <v>17.74</v>
      </c>
      <c r="C273" s="250">
        <f>(SUM(C265:C272))*1000</f>
        <v>7240</v>
      </c>
      <c r="D273" s="252">
        <f>(SUM(D265:D272))*1000</f>
        <v>22964</v>
      </c>
      <c r="E273" s="119"/>
      <c r="F273" s="117"/>
      <c r="G273" s="117"/>
      <c r="H273" s="287">
        <v>43004</v>
      </c>
      <c r="I273" s="288">
        <v>6000</v>
      </c>
      <c r="J273" s="286">
        <v>2116.5</v>
      </c>
      <c r="K273" s="117"/>
      <c r="L273" s="117"/>
      <c r="M273" s="119">
        <f>I265</f>
        <v>292000</v>
      </c>
      <c r="N273" s="117"/>
      <c r="O273" s="137"/>
      <c r="P273" s="137"/>
      <c r="Q273" s="117"/>
      <c r="R273" s="117"/>
    </row>
    <row r="274" spans="1:18" ht="12.75">
      <c r="A274" s="117"/>
      <c r="B274" s="119">
        <v>5.56</v>
      </c>
      <c r="C274" s="117"/>
      <c r="D274" s="164">
        <f>D273/2</f>
        <v>11482</v>
      </c>
      <c r="E274" s="119"/>
      <c r="F274" s="117"/>
      <c r="G274" s="117"/>
      <c r="H274" s="287">
        <v>43005</v>
      </c>
      <c r="I274" s="288">
        <v>5000</v>
      </c>
      <c r="J274" s="286">
        <v>2093.75</v>
      </c>
      <c r="K274" s="117"/>
      <c r="L274" s="117"/>
      <c r="M274" s="123">
        <f>J265</f>
        <v>473000</v>
      </c>
      <c r="N274" s="117"/>
      <c r="O274" s="137"/>
      <c r="P274" s="137"/>
      <c r="Q274" s="117"/>
      <c r="R274" s="117"/>
    </row>
    <row r="275" spans="1:18" ht="13.5" thickBot="1">
      <c r="A275" s="117"/>
      <c r="B275" s="119">
        <v>16.46</v>
      </c>
      <c r="C275" s="117"/>
      <c r="E275" s="124"/>
      <c r="F275" s="117"/>
      <c r="G275" s="117"/>
      <c r="H275" s="287">
        <v>43006</v>
      </c>
      <c r="I275" s="288">
        <v>8000</v>
      </c>
      <c r="J275" s="286">
        <v>3069.5</v>
      </c>
      <c r="K275" s="117"/>
      <c r="L275" s="117"/>
      <c r="M275" s="123">
        <f>K265</f>
        <v>3010000</v>
      </c>
      <c r="N275" s="117"/>
      <c r="O275" s="137"/>
      <c r="P275" s="137"/>
      <c r="Q275" s="117"/>
      <c r="R275" s="117"/>
    </row>
    <row r="276" spans="1:18" ht="13.5" thickBot="1">
      <c r="A276" s="117"/>
      <c r="B276" s="119"/>
      <c r="C276" s="117"/>
      <c r="E276" s="121"/>
      <c r="F276" s="117"/>
      <c r="H276" s="289">
        <v>43007</v>
      </c>
      <c r="I276" s="288">
        <v>8000</v>
      </c>
      <c r="J276" s="286">
        <v>2822</v>
      </c>
      <c r="M276" s="119">
        <f>L272</f>
        <v>7279.999999999999</v>
      </c>
      <c r="O276" s="117"/>
      <c r="P276" s="117"/>
      <c r="Q276" s="117"/>
      <c r="R276" s="117"/>
    </row>
    <row r="277" spans="1:18" ht="13.5" thickBot="1">
      <c r="A277" s="117"/>
      <c r="B277" s="119"/>
      <c r="C277" s="117"/>
      <c r="E277" s="123"/>
      <c r="F277" s="28"/>
      <c r="H277" s="290"/>
      <c r="I277" s="291">
        <f>SUM(I271:I276)</f>
        <v>37000</v>
      </c>
      <c r="J277" s="292">
        <f>SUM(J271:J276)</f>
        <v>13449.25</v>
      </c>
      <c r="M277" s="119">
        <f>P265</f>
        <v>3140</v>
      </c>
      <c r="O277" s="117"/>
      <c r="P277" s="117"/>
      <c r="Q277" s="117"/>
      <c r="R277" s="117"/>
    </row>
    <row r="278" spans="1:18" ht="13.5" thickBot="1">
      <c r="A278" s="117"/>
      <c r="B278" s="123"/>
      <c r="C278" s="117"/>
      <c r="E278" s="252">
        <f>SUM(E272:E277)</f>
        <v>0</v>
      </c>
      <c r="H278" s="290"/>
      <c r="I278" s="290"/>
      <c r="J278" s="290"/>
      <c r="M278" s="119">
        <f>Q265</f>
        <v>0</v>
      </c>
      <c r="O278" s="117"/>
      <c r="P278" s="117"/>
      <c r="Q278" s="117"/>
      <c r="R278" s="117"/>
    </row>
    <row r="279" spans="1:13" ht="12.75">
      <c r="A279" s="117"/>
      <c r="B279" s="123"/>
      <c r="C279" s="117"/>
      <c r="F279" s="92"/>
      <c r="M279" s="119">
        <f>R265</f>
        <v>0</v>
      </c>
    </row>
    <row r="280" spans="1:13" ht="12.75">
      <c r="A280" s="117"/>
      <c r="B280" s="123"/>
      <c r="C280" s="117"/>
      <c r="E280" s="247"/>
      <c r="M280" s="119">
        <f>C273</f>
        <v>7240</v>
      </c>
    </row>
    <row r="281" spans="1:13" ht="13.5" thickBot="1">
      <c r="A281" s="117"/>
      <c r="B281" s="123"/>
      <c r="C281" s="117"/>
      <c r="E281" s="247"/>
      <c r="M281" s="120"/>
    </row>
    <row r="282" spans="1:3" ht="13.5" thickBot="1">
      <c r="A282" s="117"/>
      <c r="B282" s="123"/>
      <c r="C282" s="117"/>
    </row>
    <row r="283" spans="1:15" ht="13.5" thickBot="1">
      <c r="A283" s="117"/>
      <c r="B283" s="123"/>
      <c r="C283" s="117"/>
      <c r="M283" s="252">
        <f>SUM(M265:M281)</f>
        <v>3991374</v>
      </c>
      <c r="N283" s="262" t="s">
        <v>177</v>
      </c>
      <c r="O283" s="263" t="s">
        <v>227</v>
      </c>
    </row>
    <row r="284" spans="1:3" ht="13.5" thickBot="1">
      <c r="A284" s="117"/>
      <c r="B284" s="124"/>
      <c r="C284" s="117"/>
    </row>
    <row r="285" spans="1:15" ht="13.5" thickBot="1">
      <c r="A285" s="117"/>
      <c r="B285" s="251">
        <f>(SUM(B265:B284))*1000</f>
        <v>134840</v>
      </c>
      <c r="C285" s="117"/>
      <c r="M285" s="249">
        <f>N268</f>
        <v>3991374</v>
      </c>
      <c r="N285" s="256" t="s">
        <v>179</v>
      </c>
      <c r="O285" s="257" t="s">
        <v>228</v>
      </c>
    </row>
    <row r="286" spans="1:3" ht="13.5" thickBot="1">
      <c r="A286" s="117"/>
      <c r="B286" s="137"/>
      <c r="C286" s="117"/>
    </row>
    <row r="287" spans="1:14" ht="13.5" thickBot="1">
      <c r="A287" s="117"/>
      <c r="B287" s="137"/>
      <c r="C287" s="117"/>
      <c r="M287" s="228">
        <f>100*(M283/M285)</f>
        <v>100</v>
      </c>
      <c r="N287" s="180" t="s">
        <v>193</v>
      </c>
    </row>
    <row r="288" spans="1:14" ht="12.75">
      <c r="A288" s="117"/>
      <c r="B288" s="137"/>
      <c r="C288" s="117"/>
      <c r="N288" s="264" t="s">
        <v>178</v>
      </c>
    </row>
    <row r="289" spans="1:14" ht="12.75">
      <c r="A289" s="117"/>
      <c r="B289" s="137"/>
      <c r="C289" s="117"/>
      <c r="N289" s="265" t="s">
        <v>180</v>
      </c>
    </row>
    <row r="290" spans="1:3" ht="13.5" thickBot="1">
      <c r="A290" s="117"/>
      <c r="B290" s="137"/>
      <c r="C290" s="117"/>
    </row>
    <row r="291" spans="1:14" ht="13.5" thickBot="1">
      <c r="A291" s="117"/>
      <c r="B291" s="137"/>
      <c r="C291" s="117"/>
      <c r="M291" s="228">
        <f>M285/(1000*S265)</f>
        <v>22.1743</v>
      </c>
      <c r="N291" s="180" t="s">
        <v>230</v>
      </c>
    </row>
    <row r="292" spans="1:14" ht="12.75">
      <c r="A292" s="117"/>
      <c r="B292" s="137"/>
      <c r="C292" s="117"/>
      <c r="N292" s="169" t="s">
        <v>195</v>
      </c>
    </row>
    <row r="293" ht="13.5" thickBot="1"/>
    <row r="294" spans="1:14" ht="13.5" thickBot="1">
      <c r="A294" s="219" t="s">
        <v>232</v>
      </c>
      <c r="M294" s="261">
        <f>M283</f>
        <v>3991374</v>
      </c>
      <c r="N294" s="260" t="s">
        <v>215</v>
      </c>
    </row>
    <row r="298" spans="1:11" ht="12.75">
      <c r="A298" s="181" t="s">
        <v>171</v>
      </c>
      <c r="J298" s="306" t="s">
        <v>234</v>
      </c>
      <c r="K298" s="306"/>
    </row>
    <row r="299" ht="13.5" thickBot="1"/>
    <row r="300" spans="1:19" ht="13.5" thickBot="1">
      <c r="A300" s="53" t="s">
        <v>40</v>
      </c>
      <c r="B300" s="15" t="s">
        <v>0</v>
      </c>
      <c r="C300" s="16" t="s">
        <v>1</v>
      </c>
      <c r="D300" s="42" t="s">
        <v>2</v>
      </c>
      <c r="E300" s="142" t="s">
        <v>81</v>
      </c>
      <c r="F300" s="19" t="s">
        <v>4</v>
      </c>
      <c r="G300" s="20" t="s">
        <v>5</v>
      </c>
      <c r="H300" s="33" t="s">
        <v>6</v>
      </c>
      <c r="I300" s="109" t="s">
        <v>141</v>
      </c>
      <c r="J300" s="23" t="s">
        <v>8</v>
      </c>
      <c r="K300" s="24" t="s">
        <v>9</v>
      </c>
      <c r="L300" s="49" t="s">
        <v>14</v>
      </c>
      <c r="M300" s="1" t="s">
        <v>13</v>
      </c>
      <c r="N300" s="3" t="s">
        <v>11</v>
      </c>
      <c r="O300" s="50" t="s">
        <v>114</v>
      </c>
      <c r="P300" s="81" t="s">
        <v>113</v>
      </c>
      <c r="Q300" s="110" t="s">
        <v>142</v>
      </c>
      <c r="R300" s="111" t="s">
        <v>80</v>
      </c>
      <c r="S300" s="190" t="s">
        <v>196</v>
      </c>
    </row>
    <row r="301" spans="1:19" ht="13.5" thickBot="1">
      <c r="A301" s="250"/>
      <c r="B301" s="278">
        <v>15.1</v>
      </c>
      <c r="C301" s="282">
        <v>2.14</v>
      </c>
      <c r="D301" s="276">
        <v>0.07</v>
      </c>
      <c r="E301" s="119">
        <v>2.06</v>
      </c>
      <c r="F301" s="125">
        <v>8.74</v>
      </c>
      <c r="G301" s="278">
        <v>3.08</v>
      </c>
      <c r="H301" s="116">
        <v>0.28</v>
      </c>
      <c r="I301" s="254">
        <f>511.64*1000</f>
        <v>511640</v>
      </c>
      <c r="J301" s="254">
        <f>662.45*1000</f>
        <v>662450</v>
      </c>
      <c r="K301" s="255">
        <f>3536.47*1000</f>
        <v>3536470</v>
      </c>
      <c r="L301" s="119">
        <v>4.42</v>
      </c>
      <c r="M301" s="132">
        <f>A301</f>
        <v>0</v>
      </c>
      <c r="N301" s="135">
        <f>M319</f>
        <v>4861810</v>
      </c>
      <c r="O301" s="269">
        <v>0</v>
      </c>
      <c r="P301" s="280"/>
      <c r="Q301" s="147">
        <v>0</v>
      </c>
      <c r="R301" s="121">
        <v>0</v>
      </c>
      <c r="S301" s="121">
        <v>219</v>
      </c>
    </row>
    <row r="302" spans="1:18" ht="13.5" thickBot="1">
      <c r="A302" s="117"/>
      <c r="B302" s="279">
        <v>14.42</v>
      </c>
      <c r="C302" s="119">
        <v>1</v>
      </c>
      <c r="D302" s="277">
        <v>1.52</v>
      </c>
      <c r="E302" s="123">
        <v>4.02</v>
      </c>
      <c r="F302" s="126">
        <v>9.86</v>
      </c>
      <c r="G302" s="133"/>
      <c r="H302" s="119">
        <v>1.54</v>
      </c>
      <c r="I302" s="117"/>
      <c r="J302" s="117"/>
      <c r="K302" s="117"/>
      <c r="L302" s="119">
        <v>2.72</v>
      </c>
      <c r="M302" s="126">
        <f>B321</f>
        <v>86960</v>
      </c>
      <c r="N302" s="118"/>
      <c r="O302" s="119"/>
      <c r="P302" s="117"/>
      <c r="Q302" s="117"/>
      <c r="R302" s="117"/>
    </row>
    <row r="303" spans="1:18" ht="13.5" thickBot="1">
      <c r="A303" s="117"/>
      <c r="B303" s="279">
        <v>11.12</v>
      </c>
      <c r="C303" s="119"/>
      <c r="D303" s="277">
        <v>0.1</v>
      </c>
      <c r="E303" s="143">
        <v>3.5</v>
      </c>
      <c r="F303" s="119">
        <v>6.9</v>
      </c>
      <c r="G303" s="296">
        <f>(G301)*1000</f>
        <v>3080</v>
      </c>
      <c r="H303" s="119"/>
      <c r="I303" s="117"/>
      <c r="J303" s="117"/>
      <c r="K303" s="117"/>
      <c r="L303" s="119">
        <v>0.32</v>
      </c>
      <c r="M303" s="126">
        <f>D309</f>
        <v>15310</v>
      </c>
      <c r="N303" s="258"/>
      <c r="O303" s="120"/>
      <c r="P303" s="117"/>
      <c r="Q303" s="117"/>
      <c r="R303" s="117"/>
    </row>
    <row r="304" spans="1:18" ht="13.5" thickBot="1">
      <c r="A304" s="117"/>
      <c r="B304" s="279">
        <v>15.52</v>
      </c>
      <c r="C304" s="119"/>
      <c r="D304" s="281">
        <v>0.16</v>
      </c>
      <c r="E304" s="120"/>
      <c r="F304" s="119">
        <v>5.6</v>
      </c>
      <c r="G304" s="117"/>
      <c r="H304" s="120"/>
      <c r="I304" s="117"/>
      <c r="J304" s="117"/>
      <c r="K304" s="117"/>
      <c r="L304" s="270">
        <v>0.32</v>
      </c>
      <c r="M304" s="119">
        <f>E305</f>
        <v>2060</v>
      </c>
      <c r="N304" s="146">
        <f>N301+N302+N303</f>
        <v>4861810</v>
      </c>
      <c r="O304" s="144">
        <f>SUM(O301:O303)</f>
        <v>0</v>
      </c>
      <c r="P304" s="117"/>
      <c r="Q304" s="117"/>
      <c r="R304" s="117"/>
    </row>
    <row r="305" spans="1:18" ht="13.5" thickBot="1">
      <c r="A305" s="117"/>
      <c r="B305" s="279">
        <v>15.94</v>
      </c>
      <c r="C305" s="119"/>
      <c r="D305" s="119">
        <v>2.42</v>
      </c>
      <c r="E305" s="250">
        <f>(E301)*1000</f>
        <v>2060</v>
      </c>
      <c r="F305" s="119"/>
      <c r="G305" s="117"/>
      <c r="H305" s="253">
        <f>(SUM(H301:H304))*1000</f>
        <v>1820</v>
      </c>
      <c r="I305" s="117"/>
      <c r="J305" s="117"/>
      <c r="K305" s="117"/>
      <c r="L305" s="119"/>
      <c r="M305" s="119">
        <f>E314</f>
        <v>0</v>
      </c>
      <c r="N305" s="117"/>
      <c r="O305" s="117"/>
      <c r="P305" s="117"/>
      <c r="Q305" s="117"/>
      <c r="R305" s="117"/>
    </row>
    <row r="306" spans="1:18" ht="13.5" thickBot="1">
      <c r="A306" s="117"/>
      <c r="B306" s="119">
        <v>14.86</v>
      </c>
      <c r="C306" s="119"/>
      <c r="D306" s="119">
        <v>1.6</v>
      </c>
      <c r="E306" s="117"/>
      <c r="F306" s="120"/>
      <c r="G306" s="117"/>
      <c r="H306" s="285"/>
      <c r="I306" s="293" t="s">
        <v>233</v>
      </c>
      <c r="J306" s="286" t="s">
        <v>235</v>
      </c>
      <c r="K306" s="117"/>
      <c r="L306" s="120"/>
      <c r="M306" s="119">
        <f>F307</f>
        <v>31100</v>
      </c>
      <c r="N306" s="117"/>
      <c r="O306" s="117"/>
      <c r="P306" s="117"/>
      <c r="Q306" s="117"/>
      <c r="R306" s="117"/>
    </row>
    <row r="307" spans="1:18" ht="13.5" thickBot="1">
      <c r="A307" s="117"/>
      <c r="B307" s="119"/>
      <c r="C307" s="119"/>
      <c r="D307" s="119">
        <v>9.38</v>
      </c>
      <c r="E307" s="259" t="s">
        <v>223</v>
      </c>
      <c r="F307" s="252">
        <f>(SUM(F301:F306))*1000</f>
        <v>31100</v>
      </c>
      <c r="G307" s="117"/>
      <c r="H307" s="287">
        <v>43001</v>
      </c>
      <c r="I307" s="288"/>
      <c r="J307" s="286">
        <f>1831.25</f>
        <v>1831.25</v>
      </c>
      <c r="K307" s="117"/>
      <c r="L307" s="231"/>
      <c r="M307" s="119">
        <f>G303</f>
        <v>3080</v>
      </c>
      <c r="N307" s="117"/>
      <c r="O307" s="117"/>
      <c r="P307" s="117"/>
      <c r="Q307" s="117"/>
      <c r="R307" s="117"/>
    </row>
    <row r="308" spans="1:18" ht="13.5" thickBot="1">
      <c r="A308" s="117"/>
      <c r="B308" s="119"/>
      <c r="C308" s="117"/>
      <c r="D308" s="120">
        <v>0.06</v>
      </c>
      <c r="E308" s="125"/>
      <c r="F308" s="117"/>
      <c r="G308" s="117"/>
      <c r="H308" s="287">
        <v>43003</v>
      </c>
      <c r="I308" s="288"/>
      <c r="J308" s="286">
        <v>1516.25</v>
      </c>
      <c r="K308" s="117"/>
      <c r="L308" s="252">
        <f>(L301+L302+L303+L304+L305+L306+L307)*1000</f>
        <v>7780.000000000001</v>
      </c>
      <c r="M308" s="119">
        <f>H305</f>
        <v>1820</v>
      </c>
      <c r="N308" s="117"/>
      <c r="O308" s="117"/>
      <c r="P308" s="117"/>
      <c r="Q308" s="117"/>
      <c r="R308" s="117"/>
    </row>
    <row r="309" spans="1:18" ht="13.5" thickBot="1">
      <c r="A309" s="117"/>
      <c r="B309" s="119"/>
      <c r="C309" s="250">
        <f>(SUM(C301:C308))*1000</f>
        <v>3140</v>
      </c>
      <c r="D309" s="252">
        <f>(SUM(D301:D308))*1000</f>
        <v>15310</v>
      </c>
      <c r="E309" s="119"/>
      <c r="F309" s="117"/>
      <c r="G309" s="117"/>
      <c r="H309" s="287">
        <v>43004</v>
      </c>
      <c r="I309" s="288"/>
      <c r="J309" s="286">
        <v>2116.5</v>
      </c>
      <c r="K309" s="117"/>
      <c r="L309" s="117"/>
      <c r="M309" s="119">
        <f>I301</f>
        <v>511640</v>
      </c>
      <c r="N309" s="117"/>
      <c r="O309" s="137"/>
      <c r="P309" s="137"/>
      <c r="Q309" s="117"/>
      <c r="R309" s="117"/>
    </row>
    <row r="310" spans="1:18" ht="12.75">
      <c r="A310" s="117"/>
      <c r="B310" s="119"/>
      <c r="C310" s="117"/>
      <c r="D310" s="164">
        <f>D309/2</f>
        <v>7655</v>
      </c>
      <c r="E310" s="119"/>
      <c r="F310" s="117"/>
      <c r="G310" s="117"/>
      <c r="H310" s="287">
        <v>43005</v>
      </c>
      <c r="I310" s="288"/>
      <c r="J310" s="286">
        <v>2093.75</v>
      </c>
      <c r="K310" s="117"/>
      <c r="L310" s="117"/>
      <c r="M310" s="123">
        <f>J301</f>
        <v>662450</v>
      </c>
      <c r="N310" s="117"/>
      <c r="O310" s="137"/>
      <c r="P310" s="137"/>
      <c r="Q310" s="117"/>
      <c r="R310" s="117"/>
    </row>
    <row r="311" spans="1:18" ht="13.5" thickBot="1">
      <c r="A311" s="117"/>
      <c r="B311" s="119"/>
      <c r="C311" s="117"/>
      <c r="E311" s="124"/>
      <c r="F311" s="117"/>
      <c r="G311" s="117"/>
      <c r="H311" s="287">
        <v>43006</v>
      </c>
      <c r="I311" s="288"/>
      <c r="J311" s="286">
        <v>3069.5</v>
      </c>
      <c r="K311" s="117"/>
      <c r="L311" s="117"/>
      <c r="M311" s="123">
        <f>K301</f>
        <v>3536470</v>
      </c>
      <c r="N311" s="117"/>
      <c r="O311" s="137"/>
      <c r="P311" s="137"/>
      <c r="Q311" s="117"/>
      <c r="R311" s="117"/>
    </row>
    <row r="312" spans="1:18" ht="13.5" thickBot="1">
      <c r="A312" s="117"/>
      <c r="B312" s="119"/>
      <c r="C312" s="117"/>
      <c r="E312" s="121"/>
      <c r="F312" s="117"/>
      <c r="H312" s="289">
        <v>43007</v>
      </c>
      <c r="I312" s="288"/>
      <c r="J312" s="286">
        <v>2822</v>
      </c>
      <c r="M312" s="119">
        <f>L308</f>
        <v>7780.000000000001</v>
      </c>
      <c r="O312" s="117"/>
      <c r="P312" s="117"/>
      <c r="Q312" s="117"/>
      <c r="R312" s="117"/>
    </row>
    <row r="313" spans="1:18" ht="13.5" thickBot="1">
      <c r="A313" s="117"/>
      <c r="B313" s="119"/>
      <c r="C313" s="117"/>
      <c r="E313" s="123"/>
      <c r="F313" s="28"/>
      <c r="H313" s="290"/>
      <c r="I313" s="291">
        <f>SUM(I307:I312)</f>
        <v>0</v>
      </c>
      <c r="J313" s="292">
        <f>SUM(J307:J312)</f>
        <v>13449.25</v>
      </c>
      <c r="M313" s="119">
        <f>P301</f>
        <v>0</v>
      </c>
      <c r="O313" s="117"/>
      <c r="P313" s="117"/>
      <c r="Q313" s="117"/>
      <c r="R313" s="117"/>
    </row>
    <row r="314" spans="1:18" ht="13.5" thickBot="1">
      <c r="A314" s="117"/>
      <c r="B314" s="123"/>
      <c r="C314" s="117"/>
      <c r="E314" s="252">
        <f>SUM(E308:E313)</f>
        <v>0</v>
      </c>
      <c r="H314" s="290"/>
      <c r="I314" s="290"/>
      <c r="J314" s="290"/>
      <c r="M314" s="119">
        <f>Q301</f>
        <v>0</v>
      </c>
      <c r="O314" s="117"/>
      <c r="P314" s="117"/>
      <c r="Q314" s="117"/>
      <c r="R314" s="117"/>
    </row>
    <row r="315" spans="1:13" ht="12.75">
      <c r="A315" s="117"/>
      <c r="B315" s="123"/>
      <c r="C315" s="117"/>
      <c r="F315" s="92"/>
      <c r="M315" s="119">
        <f>R301</f>
        <v>0</v>
      </c>
    </row>
    <row r="316" spans="1:13" ht="12.75">
      <c r="A316" s="117"/>
      <c r="B316" s="123"/>
      <c r="C316" s="117"/>
      <c r="E316" s="247"/>
      <c r="M316" s="119">
        <f>C309</f>
        <v>3140</v>
      </c>
    </row>
    <row r="317" spans="1:13" ht="13.5" thickBot="1">
      <c r="A317" s="117"/>
      <c r="B317" s="123"/>
      <c r="C317" s="117"/>
      <c r="E317" s="247"/>
      <c r="M317" s="120"/>
    </row>
    <row r="318" spans="1:3" ht="13.5" thickBot="1">
      <c r="A318" s="117"/>
      <c r="B318" s="123"/>
      <c r="C318" s="117"/>
    </row>
    <row r="319" spans="1:15" ht="13.5" thickBot="1">
      <c r="A319" s="117"/>
      <c r="B319" s="123"/>
      <c r="C319" s="117"/>
      <c r="M319" s="252">
        <f>SUM(M301:M317)</f>
        <v>4861810</v>
      </c>
      <c r="N319" s="262" t="s">
        <v>177</v>
      </c>
      <c r="O319" s="263" t="s">
        <v>227</v>
      </c>
    </row>
    <row r="320" spans="1:3" ht="13.5" thickBot="1">
      <c r="A320" s="117"/>
      <c r="B320" s="124"/>
      <c r="C320" s="117"/>
    </row>
    <row r="321" spans="1:15" ht="13.5" thickBot="1">
      <c r="A321" s="117"/>
      <c r="B321" s="251">
        <f>(SUM(B301:B320))*1000</f>
        <v>86960</v>
      </c>
      <c r="C321" s="117"/>
      <c r="M321" s="249">
        <f>N304</f>
        <v>4861810</v>
      </c>
      <c r="N321" s="256" t="s">
        <v>179</v>
      </c>
      <c r="O321" s="257" t="s">
        <v>228</v>
      </c>
    </row>
    <row r="322" spans="1:3" ht="13.5" thickBot="1">
      <c r="A322" s="117"/>
      <c r="B322" s="137"/>
      <c r="C322" s="117"/>
    </row>
    <row r="323" spans="1:14" ht="13.5" thickBot="1">
      <c r="A323" s="117"/>
      <c r="B323" s="137"/>
      <c r="C323" s="117"/>
      <c r="M323" s="228">
        <f>100*(M319/M321)</f>
        <v>100</v>
      </c>
      <c r="N323" s="180" t="s">
        <v>193</v>
      </c>
    </row>
    <row r="324" spans="1:14" ht="12.75">
      <c r="A324" s="117"/>
      <c r="B324" s="137"/>
      <c r="C324" s="117"/>
      <c r="N324" s="264" t="s">
        <v>178</v>
      </c>
    </row>
    <row r="325" spans="1:14" ht="12.75">
      <c r="A325" s="117"/>
      <c r="B325" s="137"/>
      <c r="C325" s="117"/>
      <c r="N325" s="265" t="s">
        <v>180</v>
      </c>
    </row>
    <row r="326" spans="1:3" ht="13.5" thickBot="1">
      <c r="A326" s="117"/>
      <c r="B326" s="137"/>
      <c r="C326" s="117"/>
    </row>
    <row r="327" spans="1:14" ht="13.5" thickBot="1">
      <c r="A327" s="117"/>
      <c r="B327" s="137"/>
      <c r="C327" s="117"/>
      <c r="M327" s="228">
        <f>M321/(1000*S301)</f>
        <v>22.200045662100457</v>
      </c>
      <c r="N327" s="180" t="s">
        <v>230</v>
      </c>
    </row>
    <row r="328" spans="1:14" ht="12.75">
      <c r="A328" s="117"/>
      <c r="B328" s="137"/>
      <c r="C328" s="117"/>
      <c r="N328" s="169" t="s">
        <v>195</v>
      </c>
    </row>
    <row r="329" ht="13.5" thickBot="1"/>
    <row r="330" spans="1:14" ht="13.5" thickBot="1">
      <c r="A330" s="219" t="s">
        <v>232</v>
      </c>
      <c r="M330" s="261">
        <f>M319</f>
        <v>4861810</v>
      </c>
      <c r="N330" s="260" t="s">
        <v>215</v>
      </c>
    </row>
    <row r="335" spans="1:11" ht="12.75">
      <c r="A335" s="181" t="s">
        <v>172</v>
      </c>
      <c r="J335" s="306" t="s">
        <v>234</v>
      </c>
      <c r="K335" s="306"/>
    </row>
    <row r="336" ht="13.5" thickBot="1"/>
    <row r="337" spans="1:19" ht="13.5" thickBot="1">
      <c r="A337" s="53" t="s">
        <v>40</v>
      </c>
      <c r="B337" s="15" t="s">
        <v>0</v>
      </c>
      <c r="C337" s="16" t="s">
        <v>1</v>
      </c>
      <c r="D337" s="42" t="s">
        <v>2</v>
      </c>
      <c r="E337" s="142" t="s">
        <v>81</v>
      </c>
      <c r="F337" s="19" t="s">
        <v>4</v>
      </c>
      <c r="G337" s="20" t="s">
        <v>5</v>
      </c>
      <c r="H337" s="33" t="s">
        <v>6</v>
      </c>
      <c r="I337" s="109" t="s">
        <v>141</v>
      </c>
      <c r="J337" s="23" t="s">
        <v>8</v>
      </c>
      <c r="K337" s="24" t="s">
        <v>9</v>
      </c>
      <c r="L337" s="49" t="s">
        <v>14</v>
      </c>
      <c r="M337" s="1" t="s">
        <v>13</v>
      </c>
      <c r="N337" s="3" t="s">
        <v>11</v>
      </c>
      <c r="O337" s="50" t="s">
        <v>114</v>
      </c>
      <c r="P337" s="81" t="s">
        <v>113</v>
      </c>
      <c r="Q337" s="110" t="s">
        <v>142</v>
      </c>
      <c r="R337" s="111" t="s">
        <v>80</v>
      </c>
      <c r="S337" s="190" t="s">
        <v>196</v>
      </c>
    </row>
    <row r="338" spans="1:19" ht="13.5" thickBot="1">
      <c r="A338" s="250"/>
      <c r="B338" s="278">
        <v>12.2</v>
      </c>
      <c r="C338" s="282"/>
      <c r="D338" s="276">
        <v>0.06</v>
      </c>
      <c r="E338" s="119">
        <v>1.7</v>
      </c>
      <c r="F338" s="125">
        <v>10.16</v>
      </c>
      <c r="G338" s="278">
        <v>2.5</v>
      </c>
      <c r="H338" s="116">
        <v>6.11</v>
      </c>
      <c r="I338" s="254">
        <f>469*1000</f>
        <v>469000</v>
      </c>
      <c r="J338" s="254">
        <f>599*1000</f>
        <v>599000</v>
      </c>
      <c r="K338" s="255">
        <f>3266*1000</f>
        <v>3266000</v>
      </c>
      <c r="L338" s="119">
        <v>0.36</v>
      </c>
      <c r="M338" s="132">
        <f>A338</f>
        <v>0</v>
      </c>
      <c r="N338" s="135">
        <f>M356</f>
        <v>4528880</v>
      </c>
      <c r="O338" s="269">
        <v>2000</v>
      </c>
      <c r="P338" s="280"/>
      <c r="Q338" s="147">
        <v>0</v>
      </c>
      <c r="R338" s="121">
        <v>0</v>
      </c>
      <c r="S338" s="121">
        <v>272</v>
      </c>
    </row>
    <row r="339" spans="1:18" ht="13.5" thickBot="1">
      <c r="A339" s="117"/>
      <c r="B339" s="279">
        <v>17.94</v>
      </c>
      <c r="C339" s="119"/>
      <c r="D339" s="277">
        <v>0.06</v>
      </c>
      <c r="E339" s="123">
        <v>1.1</v>
      </c>
      <c r="F339" s="126">
        <v>8.92</v>
      </c>
      <c r="G339" s="133">
        <v>2.5</v>
      </c>
      <c r="H339" s="119"/>
      <c r="I339" s="117"/>
      <c r="J339" s="117"/>
      <c r="K339" s="117"/>
      <c r="L339" s="119"/>
      <c r="M339" s="126">
        <f>B358</f>
        <v>119320</v>
      </c>
      <c r="N339" s="118">
        <f>O338</f>
        <v>2000</v>
      </c>
      <c r="O339" s="119"/>
      <c r="P339" s="117"/>
      <c r="Q339" s="117"/>
      <c r="R339" s="117"/>
    </row>
    <row r="340" spans="1:18" ht="13.5" thickBot="1">
      <c r="A340" s="117"/>
      <c r="B340" s="279">
        <v>17.8</v>
      </c>
      <c r="C340" s="119"/>
      <c r="D340" s="277">
        <v>2.02</v>
      </c>
      <c r="E340" s="143">
        <v>3.16</v>
      </c>
      <c r="F340" s="119">
        <v>9.74</v>
      </c>
      <c r="G340" s="296">
        <f>(G338+G339)*1000</f>
        <v>5000</v>
      </c>
      <c r="H340" s="119"/>
      <c r="I340" s="117"/>
      <c r="J340" s="117"/>
      <c r="K340" s="117"/>
      <c r="L340" s="119"/>
      <c r="M340" s="126">
        <f>D346</f>
        <v>21670</v>
      </c>
      <c r="N340" s="258"/>
      <c r="O340" s="120"/>
      <c r="P340" s="117"/>
      <c r="Q340" s="117"/>
      <c r="R340" s="117"/>
    </row>
    <row r="341" spans="1:18" ht="13.5" thickBot="1">
      <c r="A341" s="117"/>
      <c r="B341" s="279">
        <v>13.12</v>
      </c>
      <c r="C341" s="119"/>
      <c r="D341" s="281">
        <v>0.04</v>
      </c>
      <c r="E341" s="120">
        <v>3.5</v>
      </c>
      <c r="F341" s="119"/>
      <c r="G341" s="117"/>
      <c r="H341" s="120"/>
      <c r="I341" s="117"/>
      <c r="J341" s="117"/>
      <c r="K341" s="117"/>
      <c r="L341" s="270"/>
      <c r="M341" s="119">
        <f>E342</f>
        <v>9460</v>
      </c>
      <c r="N341" s="146">
        <f>N338+N339+N340</f>
        <v>4530880</v>
      </c>
      <c r="O341" s="144">
        <f>SUM(O338:O340)</f>
        <v>2000</v>
      </c>
      <c r="P341" s="117"/>
      <c r="Q341" s="117"/>
      <c r="R341" s="117"/>
    </row>
    <row r="342" spans="1:18" ht="13.5" thickBot="1">
      <c r="A342" s="117"/>
      <c r="B342" s="279">
        <v>15.74</v>
      </c>
      <c r="C342" s="119"/>
      <c r="D342" s="119">
        <v>2.1</v>
      </c>
      <c r="E342" s="250">
        <f>(E338+E339+E340+E341)*1000</f>
        <v>9460</v>
      </c>
      <c r="F342" s="119"/>
      <c r="G342" s="117"/>
      <c r="H342" s="253">
        <f>(SUM(H338:H341))*1000</f>
        <v>6110</v>
      </c>
      <c r="I342" s="117"/>
      <c r="J342" s="117"/>
      <c r="K342" s="117"/>
      <c r="L342" s="119"/>
      <c r="M342" s="119">
        <f>E351</f>
        <v>0</v>
      </c>
      <c r="N342" s="117"/>
      <c r="O342" s="117"/>
      <c r="P342" s="117"/>
      <c r="Q342" s="117"/>
      <c r="R342" s="117"/>
    </row>
    <row r="343" spans="1:18" ht="13.5" thickBot="1">
      <c r="A343" s="117"/>
      <c r="B343" s="119">
        <v>12.48</v>
      </c>
      <c r="C343" s="119"/>
      <c r="D343" s="119">
        <v>0.04</v>
      </c>
      <c r="E343" s="117"/>
      <c r="F343" s="120"/>
      <c r="G343" s="117"/>
      <c r="H343" s="285"/>
      <c r="I343" s="293" t="s">
        <v>233</v>
      </c>
      <c r="J343" s="286" t="s">
        <v>235</v>
      </c>
      <c r="K343" s="117"/>
      <c r="L343" s="120"/>
      <c r="M343" s="119">
        <f>F344</f>
        <v>28820</v>
      </c>
      <c r="N343" s="117"/>
      <c r="O343" s="117"/>
      <c r="P343" s="117"/>
      <c r="Q343" s="117"/>
      <c r="R343" s="117"/>
    </row>
    <row r="344" spans="1:18" ht="13.5" thickBot="1">
      <c r="A344" s="117"/>
      <c r="B344" s="119">
        <v>15.86</v>
      </c>
      <c r="C344" s="119"/>
      <c r="D344" s="119">
        <v>10.44</v>
      </c>
      <c r="E344" s="259" t="s">
        <v>223</v>
      </c>
      <c r="F344" s="252">
        <f>(SUM(F338:F343))*1000</f>
        <v>28820</v>
      </c>
      <c r="G344" s="117"/>
      <c r="H344" s="287">
        <v>43047</v>
      </c>
      <c r="I344" s="288">
        <v>4140</v>
      </c>
      <c r="J344" s="286"/>
      <c r="K344" s="117"/>
      <c r="L344" s="231"/>
      <c r="M344" s="119">
        <f>G340</f>
        <v>5000</v>
      </c>
      <c r="N344" s="117"/>
      <c r="O344" s="117"/>
      <c r="P344" s="117"/>
      <c r="Q344" s="117"/>
      <c r="R344" s="117"/>
    </row>
    <row r="345" spans="1:18" ht="13.5" thickBot="1">
      <c r="A345" s="117"/>
      <c r="B345" s="119">
        <v>14.18</v>
      </c>
      <c r="C345" s="117"/>
      <c r="D345" s="120">
        <f>3.22+0.04+1.64+0.03+1.98</f>
        <v>6.91</v>
      </c>
      <c r="E345" s="125"/>
      <c r="F345" s="117"/>
      <c r="G345" s="117"/>
      <c r="H345" s="287"/>
      <c r="I345" s="288"/>
      <c r="J345" s="286"/>
      <c r="K345" s="117"/>
      <c r="L345" s="252">
        <f>(L338+L339+L340+L341+L342+L343+L344)*1000</f>
        <v>360</v>
      </c>
      <c r="M345" s="119">
        <f>H342</f>
        <v>6110</v>
      </c>
      <c r="N345" s="117"/>
      <c r="O345" s="117"/>
      <c r="P345" s="117"/>
      <c r="Q345" s="117"/>
      <c r="R345" s="117"/>
    </row>
    <row r="346" spans="1:18" ht="13.5" thickBot="1">
      <c r="A346" s="117"/>
      <c r="B346" s="119"/>
      <c r="C346" s="250">
        <f>(SUM(C338:C345))*1000</f>
        <v>0</v>
      </c>
      <c r="D346" s="252">
        <f>(SUM(D338:D345))*1000</f>
        <v>21670</v>
      </c>
      <c r="E346" s="119"/>
      <c r="F346" s="117"/>
      <c r="G346" s="117"/>
      <c r="H346" s="287"/>
      <c r="I346" s="288"/>
      <c r="J346" s="286"/>
      <c r="K346" s="117"/>
      <c r="L346" s="117"/>
      <c r="M346" s="119">
        <f>I338</f>
        <v>469000</v>
      </c>
      <c r="N346" s="117"/>
      <c r="O346" s="137"/>
      <c r="P346" s="137"/>
      <c r="Q346" s="117"/>
      <c r="R346" s="117"/>
    </row>
    <row r="347" spans="1:18" ht="12.75">
      <c r="A347" s="117"/>
      <c r="B347" s="119"/>
      <c r="C347" s="117"/>
      <c r="D347" s="164">
        <f>D346/2</f>
        <v>10835</v>
      </c>
      <c r="E347" s="119"/>
      <c r="F347" s="117"/>
      <c r="G347" s="117"/>
      <c r="H347" s="287"/>
      <c r="I347" s="288"/>
      <c r="J347" s="286"/>
      <c r="K347" s="117"/>
      <c r="L347" s="117"/>
      <c r="M347" s="123">
        <f>J338</f>
        <v>599000</v>
      </c>
      <c r="N347" s="117"/>
      <c r="O347" s="137"/>
      <c r="P347" s="137"/>
      <c r="Q347" s="117"/>
      <c r="R347" s="117"/>
    </row>
    <row r="348" spans="1:18" ht="13.5" thickBot="1">
      <c r="A348" s="117"/>
      <c r="B348" s="119"/>
      <c r="C348" s="117"/>
      <c r="E348" s="124"/>
      <c r="F348" s="117"/>
      <c r="G348" s="117"/>
      <c r="H348" s="287"/>
      <c r="I348" s="288"/>
      <c r="J348" s="286"/>
      <c r="K348" s="117"/>
      <c r="L348" s="117"/>
      <c r="M348" s="123">
        <f>K338</f>
        <v>3266000</v>
      </c>
      <c r="N348" s="117"/>
      <c r="O348" s="137"/>
      <c r="P348" s="137"/>
      <c r="Q348" s="117"/>
      <c r="R348" s="117"/>
    </row>
    <row r="349" spans="1:18" ht="13.5" thickBot="1">
      <c r="A349" s="117"/>
      <c r="B349" s="119"/>
      <c r="C349" s="117"/>
      <c r="E349" s="121"/>
      <c r="F349" s="117"/>
      <c r="H349" s="289"/>
      <c r="I349" s="288"/>
      <c r="J349" s="286"/>
      <c r="M349" s="119">
        <f>L345</f>
        <v>360</v>
      </c>
      <c r="O349" s="117"/>
      <c r="P349" s="117"/>
      <c r="Q349" s="117"/>
      <c r="R349" s="117"/>
    </row>
    <row r="350" spans="1:18" ht="13.5" thickBot="1">
      <c r="A350" s="117"/>
      <c r="B350" s="119"/>
      <c r="C350" s="117"/>
      <c r="E350" s="123"/>
      <c r="F350" s="28"/>
      <c r="H350" s="290"/>
      <c r="I350" s="291">
        <f>SUM(I344:I349)</f>
        <v>4140</v>
      </c>
      <c r="J350" s="292"/>
      <c r="M350" s="119">
        <f>P338</f>
        <v>0</v>
      </c>
      <c r="O350" s="117"/>
      <c r="P350" s="117"/>
      <c r="Q350" s="117"/>
      <c r="R350" s="117"/>
    </row>
    <row r="351" spans="1:18" ht="13.5" thickBot="1">
      <c r="A351" s="117"/>
      <c r="B351" s="123"/>
      <c r="C351" s="117"/>
      <c r="E351" s="252">
        <f>SUM(E345:E350)</f>
        <v>0</v>
      </c>
      <c r="H351" s="290"/>
      <c r="I351" s="290"/>
      <c r="J351" s="290"/>
      <c r="M351" s="119">
        <f>Q338</f>
        <v>0</v>
      </c>
      <c r="O351" s="117"/>
      <c r="P351" s="117"/>
      <c r="Q351" s="117"/>
      <c r="R351" s="117"/>
    </row>
    <row r="352" spans="1:13" ht="12.75">
      <c r="A352" s="117"/>
      <c r="B352" s="123"/>
      <c r="C352" s="117"/>
      <c r="F352" s="92"/>
      <c r="M352" s="119">
        <f>R338</f>
        <v>0</v>
      </c>
    </row>
    <row r="353" spans="1:13" ht="12.75">
      <c r="A353" s="117"/>
      <c r="B353" s="123"/>
      <c r="C353" s="117"/>
      <c r="E353" s="247"/>
      <c r="M353" s="119">
        <f>C346</f>
        <v>0</v>
      </c>
    </row>
    <row r="354" spans="1:13" ht="13.5" thickBot="1">
      <c r="A354" s="117"/>
      <c r="B354" s="123"/>
      <c r="C354" s="117"/>
      <c r="E354" s="247"/>
      <c r="M354" s="120">
        <f>I344</f>
        <v>4140</v>
      </c>
    </row>
    <row r="355" spans="1:3" ht="13.5" thickBot="1">
      <c r="A355" s="117"/>
      <c r="B355" s="123"/>
      <c r="C355" s="117"/>
    </row>
    <row r="356" spans="1:15" ht="13.5" thickBot="1">
      <c r="A356" s="117"/>
      <c r="B356" s="123"/>
      <c r="C356" s="117"/>
      <c r="M356" s="252">
        <f>SUM(M338:M354)</f>
        <v>4528880</v>
      </c>
      <c r="N356" s="262" t="s">
        <v>177</v>
      </c>
      <c r="O356" s="263" t="s">
        <v>227</v>
      </c>
    </row>
    <row r="357" spans="1:3" ht="13.5" thickBot="1">
      <c r="A357" s="117"/>
      <c r="B357" s="124"/>
      <c r="C357" s="117"/>
    </row>
    <row r="358" spans="1:15" ht="13.5" thickBot="1">
      <c r="A358" s="117"/>
      <c r="B358" s="251">
        <f>(SUM(B338:B357))*1000</f>
        <v>119320</v>
      </c>
      <c r="C358" s="117"/>
      <c r="M358" s="249">
        <f>N341</f>
        <v>4530880</v>
      </c>
      <c r="N358" s="256" t="s">
        <v>179</v>
      </c>
      <c r="O358" s="257" t="s">
        <v>228</v>
      </c>
    </row>
    <row r="359" spans="1:3" ht="13.5" thickBot="1">
      <c r="A359" s="117"/>
      <c r="B359" s="137"/>
      <c r="C359" s="117"/>
    </row>
    <row r="360" spans="1:14" ht="13.5" thickBot="1">
      <c r="A360" s="117"/>
      <c r="B360" s="137"/>
      <c r="C360" s="117"/>
      <c r="M360" s="228">
        <f>100*(M356/M358)</f>
        <v>99.95585846458083</v>
      </c>
      <c r="N360" s="180" t="s">
        <v>193</v>
      </c>
    </row>
    <row r="361" spans="1:14" ht="12.75">
      <c r="A361" s="117"/>
      <c r="B361" s="137"/>
      <c r="C361" s="117"/>
      <c r="N361" s="264" t="s">
        <v>178</v>
      </c>
    </row>
    <row r="362" spans="1:14" ht="12.75">
      <c r="A362" s="117"/>
      <c r="B362" s="137"/>
      <c r="C362" s="117"/>
      <c r="N362" s="265" t="s">
        <v>180</v>
      </c>
    </row>
    <row r="363" spans="1:3" ht="13.5" thickBot="1">
      <c r="A363" s="117"/>
      <c r="B363" s="137"/>
      <c r="C363" s="117"/>
    </row>
    <row r="364" spans="1:14" ht="13.5" thickBot="1">
      <c r="A364" s="117"/>
      <c r="B364" s="137"/>
      <c r="C364" s="117"/>
      <c r="M364" s="228">
        <f>M358/(1000*S338)</f>
        <v>16.657647058823528</v>
      </c>
      <c r="N364" s="180" t="s">
        <v>230</v>
      </c>
    </row>
    <row r="365" spans="1:14" ht="12.75">
      <c r="A365" s="117"/>
      <c r="B365" s="137"/>
      <c r="C365" s="117"/>
      <c r="N365" s="169" t="s">
        <v>195</v>
      </c>
    </row>
    <row r="366" ht="13.5" thickBot="1"/>
    <row r="367" spans="1:14" ht="13.5" thickBot="1">
      <c r="A367" s="219" t="s">
        <v>232</v>
      </c>
      <c r="M367" s="261">
        <f>M356</f>
        <v>4528880</v>
      </c>
      <c r="N367" s="260" t="s">
        <v>215</v>
      </c>
    </row>
    <row r="371" spans="1:11" ht="12.75">
      <c r="A371" s="181" t="s">
        <v>173</v>
      </c>
      <c r="J371" s="306" t="s">
        <v>234</v>
      </c>
      <c r="K371" s="306"/>
    </row>
    <row r="372" ht="13.5" thickBot="1"/>
    <row r="373" spans="1:19" ht="13.5" thickBot="1">
      <c r="A373" s="53" t="s">
        <v>40</v>
      </c>
      <c r="B373" s="15" t="s">
        <v>0</v>
      </c>
      <c r="C373" s="16" t="s">
        <v>1</v>
      </c>
      <c r="D373" s="42" t="s">
        <v>2</v>
      </c>
      <c r="E373" s="142" t="s">
        <v>81</v>
      </c>
      <c r="F373" s="19" t="s">
        <v>4</v>
      </c>
      <c r="G373" s="20" t="s">
        <v>5</v>
      </c>
      <c r="H373" s="33" t="s">
        <v>6</v>
      </c>
      <c r="I373" s="109" t="s">
        <v>141</v>
      </c>
      <c r="J373" s="23" t="s">
        <v>8</v>
      </c>
      <c r="K373" s="24" t="s">
        <v>9</v>
      </c>
      <c r="L373" s="49" t="s">
        <v>14</v>
      </c>
      <c r="M373" s="1" t="s">
        <v>13</v>
      </c>
      <c r="N373" s="3" t="s">
        <v>11</v>
      </c>
      <c r="O373" s="50" t="s">
        <v>114</v>
      </c>
      <c r="P373" s="81" t="s">
        <v>113</v>
      </c>
      <c r="Q373" s="110" t="s">
        <v>142</v>
      </c>
      <c r="R373" s="111" t="s">
        <v>80</v>
      </c>
      <c r="S373" s="190" t="s">
        <v>196</v>
      </c>
    </row>
    <row r="374" spans="1:19" ht="13.5" thickBot="1">
      <c r="A374" s="250"/>
      <c r="B374" s="278">
        <v>15.54</v>
      </c>
      <c r="C374" s="282">
        <v>7.04</v>
      </c>
      <c r="D374" s="276">
        <v>1.42</v>
      </c>
      <c r="E374" s="119"/>
      <c r="F374" s="125">
        <v>9.66</v>
      </c>
      <c r="G374" s="278">
        <v>1.94</v>
      </c>
      <c r="H374" s="116">
        <v>7.01</v>
      </c>
      <c r="I374" s="254">
        <f>533.62*1000</f>
        <v>533620</v>
      </c>
      <c r="J374" s="254">
        <f>581.44*1000</f>
        <v>581440</v>
      </c>
      <c r="K374" s="255">
        <f>2728.77*1000</f>
        <v>2728770</v>
      </c>
      <c r="L374" s="119">
        <v>0.6</v>
      </c>
      <c r="M374" s="132">
        <f>A374</f>
        <v>0</v>
      </c>
      <c r="N374" s="135">
        <f>M392+O374</f>
        <v>4005340</v>
      </c>
      <c r="O374" s="269">
        <v>14160</v>
      </c>
      <c r="P374" s="280"/>
      <c r="Q374" s="147">
        <v>0</v>
      </c>
      <c r="R374" s="121">
        <v>0</v>
      </c>
      <c r="S374" s="121">
        <v>183.1</v>
      </c>
    </row>
    <row r="375" spans="1:18" ht="13.5" thickBot="1">
      <c r="A375" s="117"/>
      <c r="B375" s="279">
        <v>12.72</v>
      </c>
      <c r="C375" s="119"/>
      <c r="D375" s="277">
        <v>9.34</v>
      </c>
      <c r="E375" s="123"/>
      <c r="F375" s="126">
        <v>8.1</v>
      </c>
      <c r="G375" s="133"/>
      <c r="H375" s="119"/>
      <c r="I375" s="117"/>
      <c r="J375" s="117"/>
      <c r="K375" s="117"/>
      <c r="L375" s="119">
        <v>0.84</v>
      </c>
      <c r="M375" s="126">
        <f>B394</f>
        <v>68840</v>
      </c>
      <c r="N375" s="118">
        <f>O377</f>
        <v>14160</v>
      </c>
      <c r="O375" s="119"/>
      <c r="P375" s="117"/>
      <c r="Q375" s="117"/>
      <c r="R375" s="117"/>
    </row>
    <row r="376" spans="1:18" ht="13.5" thickBot="1">
      <c r="A376" s="117"/>
      <c r="B376" s="279">
        <v>18.5</v>
      </c>
      <c r="C376" s="119"/>
      <c r="D376" s="277">
        <v>3.26</v>
      </c>
      <c r="E376" s="143"/>
      <c r="F376" s="119">
        <v>10.52</v>
      </c>
      <c r="G376" s="296">
        <f>(G374+G375)*1000</f>
        <v>1940</v>
      </c>
      <c r="H376" s="119"/>
      <c r="I376" s="117"/>
      <c r="J376" s="117"/>
      <c r="K376" s="117"/>
      <c r="L376" s="119">
        <v>0.8</v>
      </c>
      <c r="M376" s="126">
        <f>D382</f>
        <v>20340</v>
      </c>
      <c r="N376" s="258"/>
      <c r="O376" s="120"/>
      <c r="P376" s="117"/>
      <c r="Q376" s="117"/>
      <c r="R376" s="117"/>
    </row>
    <row r="377" spans="1:18" ht="13.5" thickBot="1">
      <c r="A377" s="117"/>
      <c r="B377" s="279">
        <v>9.76</v>
      </c>
      <c r="C377" s="119"/>
      <c r="D377" s="281">
        <v>3.84</v>
      </c>
      <c r="E377" s="120"/>
      <c r="F377" s="119">
        <v>9.66</v>
      </c>
      <c r="G377" s="117"/>
      <c r="H377" s="120"/>
      <c r="I377" s="117"/>
      <c r="J377" s="117"/>
      <c r="K377" s="117"/>
      <c r="L377" s="270"/>
      <c r="M377" s="119">
        <f>E378</f>
        <v>0</v>
      </c>
      <c r="N377" s="146">
        <f>N374+N375+N376</f>
        <v>4019500</v>
      </c>
      <c r="O377" s="144">
        <f>SUM(O374:O376)</f>
        <v>14160</v>
      </c>
      <c r="P377" s="117"/>
      <c r="Q377" s="117"/>
      <c r="R377" s="117"/>
    </row>
    <row r="378" spans="1:18" ht="13.5" thickBot="1">
      <c r="A378" s="117"/>
      <c r="B378" s="279">
        <v>12.32</v>
      </c>
      <c r="C378" s="119"/>
      <c r="D378" s="119">
        <v>0.92</v>
      </c>
      <c r="E378" s="250">
        <f>(E374+E375+E376+E377)*1000</f>
        <v>0</v>
      </c>
      <c r="F378" s="119"/>
      <c r="G378" s="117"/>
      <c r="H378" s="253">
        <f>(SUM(H374:H377))*1000</f>
        <v>7010</v>
      </c>
      <c r="I378" s="117"/>
      <c r="J378" s="117"/>
      <c r="K378" s="117"/>
      <c r="L378" s="119"/>
      <c r="M378" s="119">
        <f>E387</f>
        <v>0</v>
      </c>
      <c r="N378" s="117"/>
      <c r="O378" s="117"/>
      <c r="P378" s="117"/>
      <c r="Q378" s="117"/>
      <c r="R378" s="117"/>
    </row>
    <row r="379" spans="1:18" ht="13.5" thickBot="1">
      <c r="A379" s="117"/>
      <c r="B379" s="119"/>
      <c r="C379" s="119"/>
      <c r="D379" s="119">
        <v>1.56</v>
      </c>
      <c r="E379" s="117"/>
      <c r="F379" s="120"/>
      <c r="G379" s="117"/>
      <c r="H379" s="285"/>
      <c r="I379" s="293" t="s">
        <v>233</v>
      </c>
      <c r="J379" s="286" t="s">
        <v>235</v>
      </c>
      <c r="K379" s="117"/>
      <c r="L379" s="120"/>
      <c r="M379" s="119">
        <f>F380</f>
        <v>37940</v>
      </c>
      <c r="N379" s="117"/>
      <c r="O379" s="117"/>
      <c r="P379" s="117"/>
      <c r="Q379" s="117"/>
      <c r="R379" s="117"/>
    </row>
    <row r="380" spans="1:18" ht="13.5" thickBot="1">
      <c r="A380" s="117"/>
      <c r="B380" s="119"/>
      <c r="C380" s="119"/>
      <c r="D380" s="119"/>
      <c r="E380" s="259" t="s">
        <v>223</v>
      </c>
      <c r="F380" s="252">
        <f>(SUM(F374:F379))*1000</f>
        <v>37940</v>
      </c>
      <c r="G380" s="117"/>
      <c r="H380" s="287">
        <v>43093</v>
      </c>
      <c r="I380" s="288">
        <v>2000</v>
      </c>
      <c r="J380" s="286"/>
      <c r="K380" s="117"/>
      <c r="L380" s="231"/>
      <c r="M380" s="119">
        <f>G376</f>
        <v>1940</v>
      </c>
      <c r="N380" s="117"/>
      <c r="O380" s="117"/>
      <c r="P380" s="117"/>
      <c r="Q380" s="117"/>
      <c r="R380" s="117"/>
    </row>
    <row r="381" spans="1:18" ht="13.5" thickBot="1">
      <c r="A381" s="117"/>
      <c r="B381" s="119"/>
      <c r="C381" s="117"/>
      <c r="D381" s="120"/>
      <c r="E381" s="125"/>
      <c r="F381" s="117"/>
      <c r="G381" s="117"/>
      <c r="H381" s="287"/>
      <c r="I381" s="288"/>
      <c r="J381" s="286"/>
      <c r="K381" s="117"/>
      <c r="L381" s="252">
        <f>(L374+L375+L376+L377+L378+L379+L380)*1000</f>
        <v>2240</v>
      </c>
      <c r="M381" s="119">
        <f>H378</f>
        <v>7010</v>
      </c>
      <c r="N381" s="117"/>
      <c r="O381" s="117"/>
      <c r="P381" s="117"/>
      <c r="Q381" s="117"/>
      <c r="R381" s="117"/>
    </row>
    <row r="382" spans="1:18" ht="13.5" thickBot="1">
      <c r="A382" s="117"/>
      <c r="B382" s="119"/>
      <c r="C382" s="250">
        <f>(SUM(C374:C381))*1000</f>
        <v>7040</v>
      </c>
      <c r="D382" s="252">
        <f>(SUM(D374:D381))*1000</f>
        <v>20340</v>
      </c>
      <c r="E382" s="119"/>
      <c r="F382" s="117"/>
      <c r="G382" s="117"/>
      <c r="H382" s="287"/>
      <c r="I382" s="288"/>
      <c r="J382" s="286"/>
      <c r="K382" s="117"/>
      <c r="L382" s="117"/>
      <c r="M382" s="119">
        <f>I374</f>
        <v>533620</v>
      </c>
      <c r="N382" s="117"/>
      <c r="O382" s="137"/>
      <c r="P382" s="137"/>
      <c r="Q382" s="117"/>
      <c r="R382" s="117"/>
    </row>
    <row r="383" spans="1:18" ht="12.75">
      <c r="A383" s="117"/>
      <c r="B383" s="119"/>
      <c r="C383" s="117"/>
      <c r="D383" s="164">
        <f>D382/2</f>
        <v>10170</v>
      </c>
      <c r="E383" s="119"/>
      <c r="F383" s="117"/>
      <c r="G383" s="117"/>
      <c r="H383" s="287"/>
      <c r="I383" s="288"/>
      <c r="J383" s="286"/>
      <c r="K383" s="117"/>
      <c r="L383" s="117"/>
      <c r="M383" s="123">
        <f>J374</f>
        <v>581440</v>
      </c>
      <c r="N383" s="117"/>
      <c r="O383" s="137"/>
      <c r="P383" s="137"/>
      <c r="Q383" s="117"/>
      <c r="R383" s="117"/>
    </row>
    <row r="384" spans="1:18" ht="13.5" thickBot="1">
      <c r="A384" s="117"/>
      <c r="B384" s="119"/>
      <c r="C384" s="117"/>
      <c r="E384" s="124"/>
      <c r="F384" s="117"/>
      <c r="G384" s="117"/>
      <c r="H384" s="287"/>
      <c r="I384" s="288"/>
      <c r="J384" s="286"/>
      <c r="K384" s="117"/>
      <c r="L384" s="117"/>
      <c r="M384" s="123">
        <f>K374</f>
        <v>2728770</v>
      </c>
      <c r="N384" s="117"/>
      <c r="O384" s="137"/>
      <c r="P384" s="137"/>
      <c r="Q384" s="117"/>
      <c r="R384" s="117"/>
    </row>
    <row r="385" spans="1:18" ht="13.5" thickBot="1">
      <c r="A385" s="117"/>
      <c r="B385" s="119"/>
      <c r="C385" s="117"/>
      <c r="E385" s="121"/>
      <c r="F385" s="117"/>
      <c r="H385" s="289"/>
      <c r="I385" s="288"/>
      <c r="J385" s="286"/>
      <c r="M385" s="119">
        <f>L381</f>
        <v>2240</v>
      </c>
      <c r="O385" s="117"/>
      <c r="P385" s="117"/>
      <c r="Q385" s="117"/>
      <c r="R385" s="117"/>
    </row>
    <row r="386" spans="1:18" ht="13.5" thickBot="1">
      <c r="A386" s="117"/>
      <c r="B386" s="119"/>
      <c r="C386" s="117"/>
      <c r="E386" s="123"/>
      <c r="F386" s="28"/>
      <c r="H386" s="290"/>
      <c r="I386" s="291">
        <f>SUM(I380:I385)</f>
        <v>2000</v>
      </c>
      <c r="J386" s="292"/>
      <c r="M386" s="119">
        <f>P374</f>
        <v>0</v>
      </c>
      <c r="O386" s="117"/>
      <c r="P386" s="117"/>
      <c r="Q386" s="117"/>
      <c r="R386" s="117"/>
    </row>
    <row r="387" spans="1:18" ht="13.5" thickBot="1">
      <c r="A387" s="117"/>
      <c r="B387" s="123"/>
      <c r="C387" s="117"/>
      <c r="E387" s="252">
        <f>SUM(E381:E386)</f>
        <v>0</v>
      </c>
      <c r="H387" s="290"/>
      <c r="I387" s="290"/>
      <c r="J387" s="290"/>
      <c r="M387" s="119">
        <f>Q374</f>
        <v>0</v>
      </c>
      <c r="O387" s="117"/>
      <c r="P387" s="117"/>
      <c r="Q387" s="117"/>
      <c r="R387" s="117"/>
    </row>
    <row r="388" spans="1:13" ht="12.75">
      <c r="A388" s="117"/>
      <c r="B388" s="123"/>
      <c r="C388" s="117"/>
      <c r="F388" s="92"/>
      <c r="M388" s="119">
        <f>R374</f>
        <v>0</v>
      </c>
    </row>
    <row r="389" spans="1:13" ht="12.75">
      <c r="A389" s="117"/>
      <c r="B389" s="123"/>
      <c r="C389" s="117"/>
      <c r="E389" s="247"/>
      <c r="M389" s="119">
        <f>C382</f>
        <v>7040</v>
      </c>
    </row>
    <row r="390" spans="1:13" ht="13.5" thickBot="1">
      <c r="A390" s="117"/>
      <c r="B390" s="123"/>
      <c r="C390" s="117"/>
      <c r="E390" s="247"/>
      <c r="M390" s="120">
        <f>I386</f>
        <v>2000</v>
      </c>
    </row>
    <row r="391" spans="1:3" ht="13.5" thickBot="1">
      <c r="A391" s="117"/>
      <c r="B391" s="123"/>
      <c r="C391" s="117"/>
    </row>
    <row r="392" spans="1:15" ht="13.5" thickBot="1">
      <c r="A392" s="117"/>
      <c r="B392" s="123"/>
      <c r="C392" s="117"/>
      <c r="M392" s="252">
        <f>SUM(M374:M390)</f>
        <v>3991180</v>
      </c>
      <c r="N392" s="262" t="s">
        <v>177</v>
      </c>
      <c r="O392" s="263" t="s">
        <v>227</v>
      </c>
    </row>
    <row r="393" spans="1:3" ht="13.5" thickBot="1">
      <c r="A393" s="117"/>
      <c r="B393" s="124"/>
      <c r="C393" s="117"/>
    </row>
    <row r="394" spans="1:15" ht="13.5" thickBot="1">
      <c r="A394" s="117"/>
      <c r="B394" s="251">
        <f>(SUM(B374:B393))*1000</f>
        <v>68840</v>
      </c>
      <c r="C394" s="117"/>
      <c r="M394" s="249">
        <f>N377</f>
        <v>4019500</v>
      </c>
      <c r="N394" s="256" t="s">
        <v>179</v>
      </c>
      <c r="O394" s="257" t="s">
        <v>228</v>
      </c>
    </row>
    <row r="395" spans="1:3" ht="13.5" thickBot="1">
      <c r="A395" s="117"/>
      <c r="B395" s="137"/>
      <c r="C395" s="117"/>
    </row>
    <row r="396" spans="1:14" ht="13.5" thickBot="1">
      <c r="A396" s="117"/>
      <c r="B396" s="137"/>
      <c r="C396" s="117"/>
      <c r="M396" s="228">
        <f>100*(M392/M394)</f>
        <v>99.29543475556662</v>
      </c>
      <c r="N396" s="180" t="s">
        <v>193</v>
      </c>
    </row>
    <row r="397" spans="1:14" ht="12.75">
      <c r="A397" s="117"/>
      <c r="B397" s="137"/>
      <c r="C397" s="117"/>
      <c r="N397" s="264" t="s">
        <v>178</v>
      </c>
    </row>
    <row r="398" spans="1:14" ht="12.75">
      <c r="A398" s="117"/>
      <c r="B398" s="137"/>
      <c r="C398" s="117"/>
      <c r="N398" s="265" t="s">
        <v>180</v>
      </c>
    </row>
    <row r="399" spans="1:3" ht="13.5" thickBot="1">
      <c r="A399" s="117"/>
      <c r="B399" s="137"/>
      <c r="C399" s="117"/>
    </row>
    <row r="400" spans="1:14" ht="13.5" thickBot="1">
      <c r="A400" s="117"/>
      <c r="B400" s="137"/>
      <c r="C400" s="117"/>
      <c r="M400" s="228">
        <f>M394/(1000*S374)</f>
        <v>21.952484980884762</v>
      </c>
      <c r="N400" s="180" t="s">
        <v>230</v>
      </c>
    </row>
    <row r="401" spans="1:14" ht="12.75">
      <c r="A401" s="117"/>
      <c r="B401" s="137"/>
      <c r="C401" s="117"/>
      <c r="N401" s="169" t="s">
        <v>195</v>
      </c>
    </row>
    <row r="402" ht="13.5" thickBot="1"/>
    <row r="403" spans="1:14" ht="13.5" thickBot="1">
      <c r="A403" s="219" t="s">
        <v>232</v>
      </c>
      <c r="M403" s="261">
        <f>M392</f>
        <v>3991180</v>
      </c>
      <c r="N403" s="260" t="s">
        <v>215</v>
      </c>
    </row>
    <row r="413" s="173" customFormat="1" ht="12.75">
      <c r="A413" s="172"/>
    </row>
    <row r="414" spans="1:25" ht="69" customHeight="1">
      <c r="A414" s="192" t="s">
        <v>161</v>
      </c>
      <c r="B414" s="193" t="s">
        <v>40</v>
      </c>
      <c r="C414" s="194" t="s">
        <v>0</v>
      </c>
      <c r="D414" s="195" t="s">
        <v>1</v>
      </c>
      <c r="E414" s="196" t="s">
        <v>174</v>
      </c>
      <c r="F414" s="197" t="s">
        <v>81</v>
      </c>
      <c r="G414" s="198" t="s">
        <v>56</v>
      </c>
      <c r="H414" s="199" t="s">
        <v>4</v>
      </c>
      <c r="I414" s="200" t="s">
        <v>5</v>
      </c>
      <c r="J414" s="201" t="s">
        <v>6</v>
      </c>
      <c r="K414" s="202" t="s">
        <v>236</v>
      </c>
      <c r="L414" s="203" t="s">
        <v>8</v>
      </c>
      <c r="M414" s="204" t="s">
        <v>9</v>
      </c>
      <c r="N414" s="205" t="s">
        <v>14</v>
      </c>
      <c r="O414" s="212" t="s">
        <v>216</v>
      </c>
      <c r="P414" s="220" t="s">
        <v>217</v>
      </c>
      <c r="Q414" s="206" t="s">
        <v>114</v>
      </c>
      <c r="R414" s="207" t="s">
        <v>113</v>
      </c>
      <c r="S414" s="208" t="s">
        <v>142</v>
      </c>
      <c r="T414" s="209" t="s">
        <v>80</v>
      </c>
      <c r="U414" s="210" t="s">
        <v>220</v>
      </c>
      <c r="V414" s="211" t="s">
        <v>196</v>
      </c>
      <c r="W414" s="192" t="s">
        <v>221</v>
      </c>
      <c r="X414" s="192" t="s">
        <v>222</v>
      </c>
      <c r="Y414" s="226" t="s">
        <v>218</v>
      </c>
    </row>
    <row r="415" spans="1:25" ht="12.75">
      <c r="A415" s="172" t="s">
        <v>162</v>
      </c>
      <c r="B415" s="171">
        <f>A4</f>
        <v>2200</v>
      </c>
      <c r="C415" s="171">
        <f>B15</f>
        <v>96000</v>
      </c>
      <c r="D415" s="171">
        <f>C9</f>
        <v>7700</v>
      </c>
      <c r="E415" s="171">
        <f>D9</f>
        <v>10600</v>
      </c>
      <c r="F415" s="171">
        <f>E8</f>
        <v>0</v>
      </c>
      <c r="G415" s="171">
        <f>E15</f>
        <v>1540</v>
      </c>
      <c r="H415" s="171">
        <f>F9</f>
        <v>22860</v>
      </c>
      <c r="I415" s="171">
        <f>G6</f>
        <v>0</v>
      </c>
      <c r="J415" s="171">
        <f>H8</f>
        <v>1660</v>
      </c>
      <c r="K415" s="171">
        <f>I4</f>
        <v>529000</v>
      </c>
      <c r="L415" s="171">
        <f>J4</f>
        <v>720000</v>
      </c>
      <c r="M415" s="171">
        <f>K4</f>
        <v>2666000</v>
      </c>
      <c r="N415" s="171">
        <f>L10</f>
        <v>10500</v>
      </c>
      <c r="O415" s="171">
        <f>M16</f>
        <v>3526060</v>
      </c>
      <c r="P415" s="221">
        <f>N7</f>
        <v>3541160</v>
      </c>
      <c r="Q415" s="171">
        <f>O7</f>
        <v>2100</v>
      </c>
      <c r="R415" s="171">
        <f>P4</f>
        <v>0</v>
      </c>
      <c r="S415" s="171">
        <f>Q4</f>
        <v>0</v>
      </c>
      <c r="T415" s="171">
        <f>R4</f>
        <v>0</v>
      </c>
      <c r="U415" s="302">
        <f aca="true" t="shared" si="0" ref="U415:U424">100*(O415/P415)</f>
        <v>99.57358605654643</v>
      </c>
      <c r="V415" s="171">
        <f>S4</f>
        <v>180</v>
      </c>
      <c r="W415" s="294">
        <f>M24</f>
        <v>19.673111111111112</v>
      </c>
      <c r="X415" s="171">
        <v>22</v>
      </c>
      <c r="Y415" s="76"/>
    </row>
    <row r="416" spans="1:25" ht="12.75">
      <c r="A416" s="172" t="s">
        <v>163</v>
      </c>
      <c r="B416" s="171">
        <f>A31</f>
        <v>0</v>
      </c>
      <c r="C416" s="171">
        <f>B50</f>
        <v>125740</v>
      </c>
      <c r="D416" s="171">
        <f>C36</f>
        <v>6680</v>
      </c>
      <c r="E416" s="171">
        <f>D39</f>
        <v>36370</v>
      </c>
      <c r="F416" s="171">
        <f>E35</f>
        <v>6660</v>
      </c>
      <c r="G416" s="171">
        <f>E44</f>
        <v>25300</v>
      </c>
      <c r="H416" s="171">
        <f>F34</f>
        <v>21620</v>
      </c>
      <c r="I416" s="171">
        <f>G33</f>
        <v>3120</v>
      </c>
      <c r="J416" s="171">
        <f>H35</f>
        <v>7100</v>
      </c>
      <c r="K416" s="171">
        <f>I31</f>
        <v>499000</v>
      </c>
      <c r="L416" s="171">
        <f>J31</f>
        <v>476000</v>
      </c>
      <c r="M416" s="171">
        <f>K31</f>
        <v>3290000</v>
      </c>
      <c r="N416" s="171">
        <f>L37</f>
        <v>10620</v>
      </c>
      <c r="O416" s="171">
        <f>M46</f>
        <v>4502410</v>
      </c>
      <c r="P416" s="221">
        <f>M48</f>
        <v>4509150</v>
      </c>
      <c r="Q416" s="171">
        <f>O34</f>
        <v>60</v>
      </c>
      <c r="R416" s="171">
        <f>P31</f>
        <v>880</v>
      </c>
      <c r="S416" s="171">
        <f>Q31</f>
        <v>0</v>
      </c>
      <c r="T416" s="171">
        <f>R31</f>
        <v>0</v>
      </c>
      <c r="U416" s="303">
        <f t="shared" si="0"/>
        <v>99.85052615237905</v>
      </c>
      <c r="V416" s="171">
        <f>S31</f>
        <v>202.09</v>
      </c>
      <c r="W416" s="294">
        <f>M54</f>
        <v>22.31258350239992</v>
      </c>
      <c r="X416" s="171">
        <v>22</v>
      </c>
      <c r="Y416" s="76"/>
    </row>
    <row r="417" spans="1:25" ht="12.75">
      <c r="A417" s="172" t="s">
        <v>164</v>
      </c>
      <c r="B417" s="171">
        <f>A64</f>
        <v>0</v>
      </c>
      <c r="C417" s="171">
        <f>B83</f>
        <v>167740</v>
      </c>
      <c r="D417" s="171">
        <f>C69</f>
        <v>17120</v>
      </c>
      <c r="E417" s="171">
        <f>D72</f>
        <v>18300</v>
      </c>
      <c r="F417" s="171">
        <f>E68</f>
        <v>7220</v>
      </c>
      <c r="G417" s="171">
        <f>E77</f>
        <v>0</v>
      </c>
      <c r="H417" s="171">
        <f>F67</f>
        <v>43100</v>
      </c>
      <c r="I417" s="171">
        <f>G66</f>
        <v>2960</v>
      </c>
      <c r="J417" s="171">
        <f>H68</f>
        <v>500</v>
      </c>
      <c r="K417" s="171">
        <f>I64</f>
        <v>494000</v>
      </c>
      <c r="L417" s="171">
        <f>J64</f>
        <v>865820</v>
      </c>
      <c r="M417" s="171">
        <f>K64</f>
        <v>4276640</v>
      </c>
      <c r="N417" s="171">
        <f>L70</f>
        <v>8080</v>
      </c>
      <c r="O417" s="171">
        <f>M79</f>
        <v>5886420</v>
      </c>
      <c r="P417" s="221">
        <f>N67</f>
        <v>5903540</v>
      </c>
      <c r="Q417" s="171">
        <f>O67</f>
        <v>0</v>
      </c>
      <c r="R417" s="171">
        <f>P64</f>
        <v>2060</v>
      </c>
      <c r="S417" s="171">
        <v>0</v>
      </c>
      <c r="T417" s="171">
        <v>0</v>
      </c>
      <c r="U417" s="303">
        <f t="shared" si="0"/>
        <v>99.71000450577111</v>
      </c>
      <c r="V417" s="171">
        <f>S64</f>
        <v>259</v>
      </c>
      <c r="W417" s="295">
        <f>M87</f>
        <v>22.793590733590733</v>
      </c>
      <c r="X417" s="171">
        <v>22</v>
      </c>
      <c r="Y417" s="76"/>
    </row>
    <row r="418" spans="1:25" ht="12.75">
      <c r="A418" s="172" t="s">
        <v>165</v>
      </c>
      <c r="B418" s="171">
        <f>A97</f>
        <v>0</v>
      </c>
      <c r="C418" s="171">
        <f>B116</f>
        <v>106240</v>
      </c>
      <c r="D418" s="171">
        <f>C105</f>
        <v>23820</v>
      </c>
      <c r="E418" s="171">
        <f>D105</f>
        <v>11820</v>
      </c>
      <c r="F418" s="171">
        <f>E101</f>
        <v>5220</v>
      </c>
      <c r="G418" s="171">
        <f>E110</f>
        <v>0</v>
      </c>
      <c r="H418" s="171">
        <f>F100</f>
        <v>23120</v>
      </c>
      <c r="I418" s="171">
        <f>G99</f>
        <v>1920</v>
      </c>
      <c r="J418" s="171">
        <f>H101</f>
        <v>9340</v>
      </c>
      <c r="K418" s="171">
        <f>I97</f>
        <v>820000</v>
      </c>
      <c r="L418" s="171">
        <f>J97</f>
        <v>946510</v>
      </c>
      <c r="M418" s="171">
        <f>K97</f>
        <v>4222960</v>
      </c>
      <c r="N418" s="171">
        <f>L104</f>
        <v>14760</v>
      </c>
      <c r="O418" s="171">
        <f>M112</f>
        <v>6161890</v>
      </c>
      <c r="P418" s="221">
        <f>N100</f>
        <v>6192910</v>
      </c>
      <c r="Q418" s="171">
        <f>O100</f>
        <v>7200</v>
      </c>
      <c r="R418" s="171">
        <f>P97</f>
        <v>0</v>
      </c>
      <c r="S418" s="171">
        <v>0</v>
      </c>
      <c r="T418" s="171">
        <v>0</v>
      </c>
      <c r="U418" s="302">
        <f t="shared" si="0"/>
        <v>99.49910462125237</v>
      </c>
      <c r="V418" s="171">
        <f>S97</f>
        <v>265</v>
      </c>
      <c r="W418" s="294">
        <f>M120</f>
        <v>23.36947169811321</v>
      </c>
      <c r="X418" s="171">
        <v>22</v>
      </c>
      <c r="Y418" s="76"/>
    </row>
    <row r="419" spans="1:25" ht="12.75">
      <c r="A419" s="172" t="s">
        <v>166</v>
      </c>
      <c r="B419" s="171">
        <f>A131</f>
        <v>0</v>
      </c>
      <c r="C419" s="171">
        <f>B150</f>
        <v>63630</v>
      </c>
      <c r="D419" s="171">
        <f>C139</f>
        <v>16280</v>
      </c>
      <c r="E419" s="171">
        <f>D139</f>
        <v>12770</v>
      </c>
      <c r="F419" s="171">
        <f>E135</f>
        <v>0</v>
      </c>
      <c r="G419" s="171">
        <f>E144</f>
        <v>0</v>
      </c>
      <c r="H419" s="171">
        <f>F134</f>
        <v>18640</v>
      </c>
      <c r="I419" s="171">
        <f>G133</f>
        <v>2640</v>
      </c>
      <c r="J419" s="171">
        <f>H135</f>
        <v>0</v>
      </c>
      <c r="K419" s="171">
        <f>I131</f>
        <v>649000</v>
      </c>
      <c r="L419" s="171">
        <f>J131</f>
        <v>962680</v>
      </c>
      <c r="M419" s="171">
        <f>K131</f>
        <v>4613980</v>
      </c>
      <c r="N419" s="171">
        <f>L138</f>
        <v>4054</v>
      </c>
      <c r="O419" s="171">
        <f>M146</f>
        <v>6327394</v>
      </c>
      <c r="P419" s="221">
        <f>M148</f>
        <v>6343674</v>
      </c>
      <c r="Q419" s="171">
        <f>O134</f>
        <v>0</v>
      </c>
      <c r="R419" s="171">
        <v>0</v>
      </c>
      <c r="S419" s="171">
        <v>0</v>
      </c>
      <c r="T419" s="171">
        <v>0</v>
      </c>
      <c r="U419" s="303">
        <f t="shared" si="0"/>
        <v>99.7433663835815</v>
      </c>
      <c r="V419" s="171">
        <f>S131</f>
        <v>243.11</v>
      </c>
      <c r="W419" s="294">
        <f>M154</f>
        <v>26.093842293611946</v>
      </c>
      <c r="X419" s="171">
        <v>22</v>
      </c>
      <c r="Y419" s="76"/>
    </row>
    <row r="420" spans="1:25" ht="12.75">
      <c r="A420" s="172" t="s">
        <v>167</v>
      </c>
      <c r="B420" s="171">
        <f>A164</f>
        <v>0</v>
      </c>
      <c r="C420" s="171">
        <f>B183</f>
        <v>144204</v>
      </c>
      <c r="D420" s="171">
        <f>C172</f>
        <v>4400</v>
      </c>
      <c r="E420" s="171">
        <f>D172</f>
        <v>11750</v>
      </c>
      <c r="F420" s="171">
        <f>E168</f>
        <v>6160</v>
      </c>
      <c r="G420" s="171">
        <f>E177</f>
        <v>1780</v>
      </c>
      <c r="H420" s="171">
        <f>F167</f>
        <v>27140</v>
      </c>
      <c r="I420" s="171">
        <f>G166</f>
        <v>3180</v>
      </c>
      <c r="J420" s="171">
        <f>H168</f>
        <v>34000</v>
      </c>
      <c r="K420" s="171">
        <f>I164</f>
        <v>613000</v>
      </c>
      <c r="L420" s="171">
        <f>J164</f>
        <v>904408</v>
      </c>
      <c r="M420" s="171">
        <f>K164</f>
        <v>4352560</v>
      </c>
      <c r="N420" s="171">
        <f>L171</f>
        <v>12140</v>
      </c>
      <c r="O420" s="171">
        <f>M179</f>
        <v>6110322</v>
      </c>
      <c r="P420" s="221">
        <f>M181</f>
        <v>6114722</v>
      </c>
      <c r="Q420" s="171">
        <v>0</v>
      </c>
      <c r="R420" s="171">
        <v>0</v>
      </c>
      <c r="S420" s="171">
        <v>0</v>
      </c>
      <c r="T420" s="171">
        <v>0</v>
      </c>
      <c r="U420" s="302">
        <f t="shared" si="0"/>
        <v>99.9280425177138</v>
      </c>
      <c r="V420" s="171">
        <f>S164</f>
        <v>276.9</v>
      </c>
      <c r="W420" s="294">
        <f>M187</f>
        <v>22.08278078728783</v>
      </c>
      <c r="X420" s="171">
        <v>22</v>
      </c>
      <c r="Y420" s="76"/>
    </row>
    <row r="421" spans="1:25" ht="12.75">
      <c r="A421" s="172" t="s">
        <v>168</v>
      </c>
      <c r="B421" s="171">
        <f>A196</f>
        <v>0</v>
      </c>
      <c r="C421" s="171">
        <f>B215</f>
        <v>135360</v>
      </c>
      <c r="D421" s="171">
        <f>C204</f>
        <v>13180</v>
      </c>
      <c r="E421" s="171">
        <f>D204</f>
        <v>16040</v>
      </c>
      <c r="F421" s="171">
        <f>E200</f>
        <v>6200</v>
      </c>
      <c r="G421" s="171">
        <f>E209</f>
        <v>0</v>
      </c>
      <c r="H421" s="171">
        <f>F199</f>
        <v>20060</v>
      </c>
      <c r="I421" s="171">
        <f>G198</f>
        <v>2140</v>
      </c>
      <c r="J421" s="171">
        <f>H200</f>
        <v>0</v>
      </c>
      <c r="K421" s="171">
        <f>I196</f>
        <v>657000</v>
      </c>
      <c r="L421" s="171">
        <f>J196</f>
        <v>710000</v>
      </c>
      <c r="M421" s="171">
        <f>K196</f>
        <v>4418000</v>
      </c>
      <c r="N421" s="171">
        <f>L203</f>
        <v>7220</v>
      </c>
      <c r="O421" s="171">
        <f>M213</f>
        <v>5985200</v>
      </c>
      <c r="P421" s="221">
        <f>M215</f>
        <v>5985200</v>
      </c>
      <c r="Q421" s="176">
        <f>O199</f>
        <v>0</v>
      </c>
      <c r="R421" s="171">
        <f>P196</f>
        <v>0</v>
      </c>
      <c r="S421" s="171">
        <f>Q196</f>
        <v>0</v>
      </c>
      <c r="T421" s="171">
        <f>R196</f>
        <v>0</v>
      </c>
      <c r="U421" s="303">
        <f t="shared" si="0"/>
        <v>100</v>
      </c>
      <c r="V421" s="171">
        <f>S196</f>
        <v>256</v>
      </c>
      <c r="W421" s="295">
        <f>M221</f>
        <v>23.3796875</v>
      </c>
      <c r="X421" s="171">
        <v>22</v>
      </c>
      <c r="Y421" s="76"/>
    </row>
    <row r="422" spans="1:25" ht="12.75">
      <c r="A422" s="172" t="s">
        <v>169</v>
      </c>
      <c r="B422" s="171">
        <v>0</v>
      </c>
      <c r="C422" s="171">
        <f>B249</f>
        <v>103460</v>
      </c>
      <c r="D422" s="171">
        <f>C238</f>
        <v>29380</v>
      </c>
      <c r="E422" s="171">
        <f>D238</f>
        <v>13960</v>
      </c>
      <c r="F422" s="171">
        <f>E234</f>
        <v>3980</v>
      </c>
      <c r="G422" s="171">
        <v>0</v>
      </c>
      <c r="H422" s="171">
        <f>F233</f>
        <v>35380</v>
      </c>
      <c r="I422" s="171">
        <f>G232</f>
        <v>20900</v>
      </c>
      <c r="J422" s="171">
        <v>0</v>
      </c>
      <c r="K422" s="171">
        <f>I230</f>
        <v>469000</v>
      </c>
      <c r="L422" s="171">
        <f>J230</f>
        <v>711000</v>
      </c>
      <c r="M422" s="171">
        <f>K230</f>
        <v>3667000</v>
      </c>
      <c r="N422" s="171">
        <f>L237</f>
        <v>5660</v>
      </c>
      <c r="O422" s="171">
        <f>M247</f>
        <v>5059720</v>
      </c>
      <c r="P422" s="221">
        <f>N233</f>
        <v>5059720</v>
      </c>
      <c r="Q422" s="171">
        <v>0</v>
      </c>
      <c r="R422" s="171">
        <v>0</v>
      </c>
      <c r="S422" s="171">
        <v>0</v>
      </c>
      <c r="T422" s="171">
        <v>0</v>
      </c>
      <c r="U422" s="303">
        <f t="shared" si="0"/>
        <v>100</v>
      </c>
      <c r="V422" s="171">
        <f>S230</f>
        <v>214</v>
      </c>
      <c r="W422" s="295">
        <f>M255</f>
        <v>23.64355140186916</v>
      </c>
      <c r="X422" s="171">
        <v>22</v>
      </c>
      <c r="Y422" s="76"/>
    </row>
    <row r="423" spans="1:25" ht="12.75">
      <c r="A423" s="172" t="s">
        <v>170</v>
      </c>
      <c r="B423" s="171">
        <f>A265</f>
        <v>0</v>
      </c>
      <c r="C423" s="171">
        <f>B285</f>
        <v>134840</v>
      </c>
      <c r="D423" s="171">
        <f>C273</f>
        <v>7240</v>
      </c>
      <c r="E423" s="171">
        <f>D273</f>
        <v>22964</v>
      </c>
      <c r="F423" s="171">
        <f>E269</f>
        <v>0</v>
      </c>
      <c r="G423" s="171">
        <f>E278</f>
        <v>0</v>
      </c>
      <c r="H423" s="171">
        <f>F268</f>
        <v>31580</v>
      </c>
      <c r="I423" s="191">
        <f>G267</f>
        <v>2140</v>
      </c>
      <c r="J423" s="171">
        <f>H269</f>
        <v>7190</v>
      </c>
      <c r="K423" s="171">
        <f>I265</f>
        <v>292000</v>
      </c>
      <c r="L423" s="171">
        <f>J265</f>
        <v>473000</v>
      </c>
      <c r="M423" s="171">
        <f>K265</f>
        <v>3010000</v>
      </c>
      <c r="N423" s="171">
        <f>L272</f>
        <v>7279.999999999999</v>
      </c>
      <c r="O423" s="176">
        <f>M283</f>
        <v>3991374</v>
      </c>
      <c r="P423" s="284">
        <f>M285</f>
        <v>3991374</v>
      </c>
      <c r="Q423" s="171">
        <f>O268</f>
        <v>0</v>
      </c>
      <c r="R423" s="191">
        <f>P265</f>
        <v>3140</v>
      </c>
      <c r="S423" s="171">
        <v>0</v>
      </c>
      <c r="T423" s="171">
        <v>0</v>
      </c>
      <c r="U423" s="303">
        <f t="shared" si="0"/>
        <v>100</v>
      </c>
      <c r="V423" s="171">
        <f>S265</f>
        <v>180</v>
      </c>
      <c r="W423" s="294">
        <f>M291</f>
        <v>22.1743</v>
      </c>
      <c r="X423" s="171">
        <v>22</v>
      </c>
      <c r="Y423" s="76"/>
    </row>
    <row r="424" spans="1:25" ht="12.75">
      <c r="A424" s="172" t="s">
        <v>171</v>
      </c>
      <c r="B424" s="171">
        <f>A301</f>
        <v>0</v>
      </c>
      <c r="C424" s="171">
        <f>B321</f>
        <v>86960</v>
      </c>
      <c r="D424" s="171">
        <f>C309</f>
        <v>3140</v>
      </c>
      <c r="E424" s="171">
        <f>D309</f>
        <v>15310</v>
      </c>
      <c r="F424" s="171">
        <f>E305</f>
        <v>2060</v>
      </c>
      <c r="G424" s="171">
        <f>E314</f>
        <v>0</v>
      </c>
      <c r="H424" s="171">
        <f>F307</f>
        <v>31100</v>
      </c>
      <c r="I424" s="191">
        <f>G303</f>
        <v>3080</v>
      </c>
      <c r="J424" s="171">
        <f>H305</f>
        <v>1820</v>
      </c>
      <c r="K424" s="171">
        <f>I301</f>
        <v>511640</v>
      </c>
      <c r="L424" s="171">
        <f>J301</f>
        <v>662450</v>
      </c>
      <c r="M424" s="171">
        <f>K301</f>
        <v>3536470</v>
      </c>
      <c r="N424" s="171">
        <f>L308</f>
        <v>7780.000000000001</v>
      </c>
      <c r="O424" s="300">
        <f>M319</f>
        <v>4861810</v>
      </c>
      <c r="P424" s="301">
        <f>M321</f>
        <v>4861810</v>
      </c>
      <c r="Q424" s="171">
        <f>O304</f>
        <v>0</v>
      </c>
      <c r="R424" s="191">
        <f>P301</f>
        <v>0</v>
      </c>
      <c r="S424" s="171">
        <f>Q301</f>
        <v>0</v>
      </c>
      <c r="T424" s="171">
        <f>R301</f>
        <v>0</v>
      </c>
      <c r="U424" s="303">
        <f t="shared" si="0"/>
        <v>100</v>
      </c>
      <c r="V424" s="171">
        <f>S301</f>
        <v>219</v>
      </c>
      <c r="W424" s="271">
        <f>M327</f>
        <v>22.200045662100457</v>
      </c>
      <c r="X424" s="171">
        <v>22</v>
      </c>
      <c r="Y424" s="76"/>
    </row>
    <row r="425" spans="1:25" ht="12.75">
      <c r="A425" s="172" t="s">
        <v>172</v>
      </c>
      <c r="B425" s="171">
        <f>A338</f>
        <v>0</v>
      </c>
      <c r="C425" s="171">
        <f>B358</f>
        <v>119320</v>
      </c>
      <c r="D425" s="171">
        <f>C346</f>
        <v>0</v>
      </c>
      <c r="E425" s="171">
        <f>D346</f>
        <v>21670</v>
      </c>
      <c r="F425" s="171">
        <f>E342</f>
        <v>9460</v>
      </c>
      <c r="G425" s="171">
        <f>E351</f>
        <v>0</v>
      </c>
      <c r="H425" s="171">
        <f>F344</f>
        <v>28820</v>
      </c>
      <c r="I425" s="191">
        <f>G340</f>
        <v>5000</v>
      </c>
      <c r="J425" s="171">
        <f>H342</f>
        <v>6110</v>
      </c>
      <c r="K425" s="171">
        <f>I338+I350</f>
        <v>473140</v>
      </c>
      <c r="L425" s="171">
        <f>J338</f>
        <v>599000</v>
      </c>
      <c r="M425" s="171">
        <f>K338</f>
        <v>3266000</v>
      </c>
      <c r="N425" s="171">
        <f>L345</f>
        <v>360</v>
      </c>
      <c r="O425" s="300">
        <f>M356</f>
        <v>4528880</v>
      </c>
      <c r="P425" s="301">
        <f>M358</f>
        <v>4530880</v>
      </c>
      <c r="Q425" s="171">
        <f>O341</f>
        <v>2000</v>
      </c>
      <c r="R425" s="191">
        <f>P338</f>
        <v>0</v>
      </c>
      <c r="S425" s="171">
        <v>0</v>
      </c>
      <c r="T425" s="171">
        <v>0</v>
      </c>
      <c r="U425" s="303">
        <f>M360</f>
        <v>99.95585846458083</v>
      </c>
      <c r="V425" s="171">
        <f>S338</f>
        <v>272</v>
      </c>
      <c r="W425" s="271">
        <f>M364</f>
        <v>16.657647058823528</v>
      </c>
      <c r="X425" s="171">
        <v>22</v>
      </c>
      <c r="Y425" s="76"/>
    </row>
    <row r="426" spans="1:25" ht="12.75">
      <c r="A426" s="172" t="s">
        <v>173</v>
      </c>
      <c r="B426" s="171">
        <v>0</v>
      </c>
      <c r="C426" s="171">
        <f>B394</f>
        <v>68840</v>
      </c>
      <c r="D426" s="171">
        <f>C382</f>
        <v>7040</v>
      </c>
      <c r="E426" s="171">
        <f>D382</f>
        <v>20340</v>
      </c>
      <c r="F426" s="171">
        <f>E378</f>
        <v>0</v>
      </c>
      <c r="G426" s="171">
        <f>E387</f>
        <v>0</v>
      </c>
      <c r="H426" s="171">
        <f>F380</f>
        <v>37940</v>
      </c>
      <c r="I426" s="191">
        <f>G376</f>
        <v>1940</v>
      </c>
      <c r="J426" s="171">
        <f>H378</f>
        <v>7010</v>
      </c>
      <c r="K426" s="171">
        <f>I374+I386</f>
        <v>535620</v>
      </c>
      <c r="L426" s="171">
        <f>J374</f>
        <v>581440</v>
      </c>
      <c r="M426" s="171">
        <f>K374</f>
        <v>2728770</v>
      </c>
      <c r="N426" s="171">
        <f>L381</f>
        <v>2240</v>
      </c>
      <c r="O426" s="300">
        <f>M392</f>
        <v>3991180</v>
      </c>
      <c r="P426" s="301">
        <f>M394</f>
        <v>4019500</v>
      </c>
      <c r="Q426" s="171">
        <f>O377</f>
        <v>14160</v>
      </c>
      <c r="R426" s="191">
        <f>P374</f>
        <v>0</v>
      </c>
      <c r="S426" s="171">
        <f>Q374</f>
        <v>0</v>
      </c>
      <c r="T426" s="171">
        <v>0</v>
      </c>
      <c r="U426" s="303">
        <f>M396</f>
        <v>99.29543475556662</v>
      </c>
      <c r="V426" s="171">
        <f>S374</f>
        <v>183.1</v>
      </c>
      <c r="W426" s="295">
        <f>M400</f>
        <v>21.952484980884762</v>
      </c>
      <c r="X426" s="171">
        <v>22</v>
      </c>
      <c r="Y426" s="76"/>
    </row>
    <row r="427" spans="1:2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275"/>
      <c r="P427" s="274"/>
      <c r="Q427" s="76"/>
      <c r="R427" s="76"/>
      <c r="S427" s="76"/>
      <c r="T427" s="76"/>
      <c r="U427" s="302"/>
      <c r="V427" s="171"/>
      <c r="W427" s="271"/>
      <c r="X427" s="171"/>
      <c r="Y427" s="76"/>
    </row>
    <row r="428" spans="1:25" s="175" customFormat="1" ht="12.75">
      <c r="A428" s="174" t="s">
        <v>175</v>
      </c>
      <c r="B428" s="174">
        <f>B415+B416+B417+B418+B419+B420+B421+B422+B423+B424+B425+B426</f>
        <v>2200</v>
      </c>
      <c r="C428" s="174">
        <f aca="true" t="shared" si="1" ref="C428:T428">C415+C416+C417+C418+C419+C420+C421+C422+C423+C424+C425+C426</f>
        <v>1352334</v>
      </c>
      <c r="D428" s="174">
        <f t="shared" si="1"/>
        <v>135980</v>
      </c>
      <c r="E428" s="174">
        <f t="shared" si="1"/>
        <v>211894</v>
      </c>
      <c r="F428" s="174">
        <f t="shared" si="1"/>
        <v>46960</v>
      </c>
      <c r="G428" s="174">
        <f t="shared" si="1"/>
        <v>28620</v>
      </c>
      <c r="H428" s="174">
        <f t="shared" si="1"/>
        <v>341360</v>
      </c>
      <c r="I428" s="174">
        <f t="shared" si="1"/>
        <v>49020</v>
      </c>
      <c r="J428" s="174">
        <f t="shared" si="1"/>
        <v>74730</v>
      </c>
      <c r="K428" s="174">
        <f t="shared" si="1"/>
        <v>6542400</v>
      </c>
      <c r="L428" s="174">
        <f t="shared" si="1"/>
        <v>8612308</v>
      </c>
      <c r="M428" s="174">
        <f t="shared" si="1"/>
        <v>44048380</v>
      </c>
      <c r="N428" s="174">
        <f t="shared" si="1"/>
        <v>90694</v>
      </c>
      <c r="O428" s="297">
        <f>SUM(O415:O427)</f>
        <v>60932660</v>
      </c>
      <c r="P428" s="298">
        <f>SUM(P415:P427)</f>
        <v>61053640</v>
      </c>
      <c r="Q428" s="174">
        <f t="shared" si="1"/>
        <v>25520</v>
      </c>
      <c r="R428" s="174">
        <f t="shared" si="1"/>
        <v>6080</v>
      </c>
      <c r="S428" s="174">
        <f t="shared" si="1"/>
        <v>0</v>
      </c>
      <c r="T428" s="174">
        <f t="shared" si="1"/>
        <v>0</v>
      </c>
      <c r="U428" s="273">
        <f>100*(O428/P428)</f>
        <v>99.80184637639951</v>
      </c>
      <c r="V428" s="174"/>
      <c r="W428" s="272"/>
      <c r="X428" s="174"/>
      <c r="Y428" s="174"/>
    </row>
    <row r="429" spans="1:25" s="177" customFormat="1" ht="25.5">
      <c r="A429" s="178" t="s">
        <v>176</v>
      </c>
      <c r="B429" s="179">
        <f>B428/1000</f>
        <v>2.2</v>
      </c>
      <c r="C429" s="179">
        <f aca="true" t="shared" si="2" ref="C429:T429">C428/1000</f>
        <v>1352.334</v>
      </c>
      <c r="D429" s="179">
        <f t="shared" si="2"/>
        <v>135.98</v>
      </c>
      <c r="E429" s="179">
        <f t="shared" si="2"/>
        <v>211.894</v>
      </c>
      <c r="F429" s="179">
        <f t="shared" si="2"/>
        <v>46.96</v>
      </c>
      <c r="G429" s="179">
        <f t="shared" si="2"/>
        <v>28.62</v>
      </c>
      <c r="H429" s="179">
        <f t="shared" si="2"/>
        <v>341.36</v>
      </c>
      <c r="I429" s="179">
        <f t="shared" si="2"/>
        <v>49.02</v>
      </c>
      <c r="J429" s="179">
        <f t="shared" si="2"/>
        <v>74.73</v>
      </c>
      <c r="K429" s="179">
        <f t="shared" si="2"/>
        <v>6542.4</v>
      </c>
      <c r="L429" s="179">
        <f t="shared" si="2"/>
        <v>8612.308</v>
      </c>
      <c r="M429" s="179">
        <f t="shared" si="2"/>
        <v>44048.38</v>
      </c>
      <c r="N429" s="179">
        <f t="shared" si="2"/>
        <v>90.694</v>
      </c>
      <c r="O429" s="246">
        <f t="shared" si="2"/>
        <v>60932.66</v>
      </c>
      <c r="P429" s="299">
        <f t="shared" si="2"/>
        <v>61053.64</v>
      </c>
      <c r="Q429" s="179">
        <f t="shared" si="2"/>
        <v>25.52</v>
      </c>
      <c r="R429" s="179">
        <f t="shared" si="2"/>
        <v>6.08</v>
      </c>
      <c r="S429" s="179">
        <f t="shared" si="2"/>
        <v>0</v>
      </c>
      <c r="T429" s="179">
        <f t="shared" si="2"/>
        <v>0</v>
      </c>
      <c r="U429" s="268">
        <f>100*(O429/P429)</f>
        <v>99.80184637639951</v>
      </c>
      <c r="V429" s="179">
        <f>V415+V416+V417+V418+V419+V420+V421+V422+V423+V424+V425+V426+V427+V428</f>
        <v>2750.2</v>
      </c>
      <c r="W429" s="246">
        <f>P428/(1000*V429)</f>
        <v>22.19970911206458</v>
      </c>
      <c r="X429" s="179">
        <v>22</v>
      </c>
      <c r="Y429" s="227"/>
    </row>
    <row r="430" ht="12.75">
      <c r="P430" s="225" t="s">
        <v>219</v>
      </c>
    </row>
    <row r="431" ht="12.75">
      <c r="A431" s="180" t="s">
        <v>178</v>
      </c>
    </row>
    <row r="432" ht="12.75">
      <c r="A432" s="180" t="s">
        <v>180</v>
      </c>
    </row>
    <row r="434" ht="12.75">
      <c r="A434" s="180" t="s">
        <v>197</v>
      </c>
    </row>
  </sheetData>
  <sheetProtection/>
  <mergeCells count="4">
    <mergeCell ref="J262:K262"/>
    <mergeCell ref="J298:K298"/>
    <mergeCell ref="J335:K335"/>
    <mergeCell ref="J371:K371"/>
  </mergeCells>
  <printOptions/>
  <pageMargins left="0.7" right="0.7" top="0.75" bottom="0.75" header="0.3" footer="0.3"/>
  <pageSetup fitToHeight="0" fitToWidth="1" horizontalDpi="600" verticalDpi="600" orientation="landscape" paperSize="9" scale="3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434"/>
  <sheetViews>
    <sheetView zoomScalePageLayoutView="0" workbookViewId="0" topLeftCell="A348">
      <selection activeCell="M148" sqref="M148"/>
    </sheetView>
  </sheetViews>
  <sheetFormatPr defaultColWidth="9.140625" defaultRowHeight="12.75"/>
  <cols>
    <col min="1" max="1" width="10.7109375" style="0" customWidth="1"/>
    <col min="4" max="4" width="12.57421875" style="0" customWidth="1"/>
    <col min="5" max="5" width="11.28125" style="0" customWidth="1"/>
    <col min="6" max="6" width="12.140625" style="0" customWidth="1"/>
    <col min="11" max="11" width="11.421875" style="0" customWidth="1"/>
    <col min="13" max="13" width="11.00390625" style="0" customWidth="1"/>
    <col min="14" max="14" width="9.28125" style="0" customWidth="1"/>
    <col min="15" max="15" width="15.8515625" style="0" customWidth="1"/>
    <col min="16" max="16" width="19.57421875" style="0" customWidth="1"/>
    <col min="19" max="19" width="34.00390625" style="0" customWidth="1"/>
    <col min="20" max="20" width="9.7109375" style="0" customWidth="1"/>
    <col min="21" max="21" width="23.140625" style="0" customWidth="1"/>
    <col min="22" max="22" width="32.28125" style="0" customWidth="1"/>
    <col min="23" max="23" width="21.28125" style="0" customWidth="1"/>
    <col min="24" max="24" width="14.7109375" style="0" customWidth="1"/>
  </cols>
  <sheetData>
    <row r="1" ht="12.75">
      <c r="A1" s="181" t="s">
        <v>181</v>
      </c>
    </row>
    <row r="2" ht="13.5" thickBot="1"/>
    <row r="3" spans="1:19" ht="13.5" thickBot="1">
      <c r="A3" s="53" t="s">
        <v>40</v>
      </c>
      <c r="B3" s="15" t="s">
        <v>0</v>
      </c>
      <c r="C3" s="16" t="s">
        <v>1</v>
      </c>
      <c r="D3" s="42" t="s">
        <v>2</v>
      </c>
      <c r="E3" s="142" t="s">
        <v>81</v>
      </c>
      <c r="F3" s="19" t="s">
        <v>4</v>
      </c>
      <c r="G3" s="20" t="s">
        <v>5</v>
      </c>
      <c r="H3" s="33" t="s">
        <v>6</v>
      </c>
      <c r="I3" s="109" t="s">
        <v>141</v>
      </c>
      <c r="J3" s="23" t="s">
        <v>8</v>
      </c>
      <c r="K3" s="24" t="s">
        <v>9</v>
      </c>
      <c r="L3" s="49" t="s">
        <v>14</v>
      </c>
      <c r="M3" s="1" t="s">
        <v>13</v>
      </c>
      <c r="N3" s="3" t="s">
        <v>11</v>
      </c>
      <c r="O3" s="50" t="s">
        <v>114</v>
      </c>
      <c r="P3" s="81" t="s">
        <v>113</v>
      </c>
      <c r="Q3" s="110" t="s">
        <v>142</v>
      </c>
      <c r="R3" s="189" t="s">
        <v>80</v>
      </c>
      <c r="S3" s="190" t="s">
        <v>196</v>
      </c>
    </row>
    <row r="4" spans="1:19" ht="13.5" thickBot="1">
      <c r="A4" s="114"/>
      <c r="B4" s="115">
        <v>18.12</v>
      </c>
      <c r="C4" s="115"/>
      <c r="D4" s="116">
        <v>1.56</v>
      </c>
      <c r="E4" s="119">
        <v>0</v>
      </c>
      <c r="F4" s="125">
        <v>7.34</v>
      </c>
      <c r="G4" s="115"/>
      <c r="H4" s="116"/>
      <c r="I4" s="147">
        <f>336.95*1000</f>
        <v>336950</v>
      </c>
      <c r="J4" s="147">
        <f>519.76*1000</f>
        <v>519760</v>
      </c>
      <c r="K4" s="148">
        <f>2308.54*1000</f>
        <v>2308540</v>
      </c>
      <c r="L4" s="119">
        <v>4.14</v>
      </c>
      <c r="M4" s="132">
        <f>B15</f>
        <v>110620</v>
      </c>
      <c r="N4" s="135"/>
      <c r="O4" s="116">
        <v>0</v>
      </c>
      <c r="P4" s="149">
        <v>0</v>
      </c>
      <c r="Q4" s="147">
        <v>0</v>
      </c>
      <c r="R4" s="114">
        <v>0</v>
      </c>
      <c r="S4" s="121">
        <v>144</v>
      </c>
    </row>
    <row r="5" spans="1:18" ht="13.5" thickBot="1">
      <c r="A5" s="117"/>
      <c r="B5" s="118">
        <v>12.12</v>
      </c>
      <c r="C5" s="118"/>
      <c r="D5" s="119">
        <v>10.26</v>
      </c>
      <c r="E5" s="123"/>
      <c r="F5" s="126">
        <v>8.14</v>
      </c>
      <c r="G5" s="133"/>
      <c r="H5" s="119"/>
      <c r="I5" s="117"/>
      <c r="J5" s="117"/>
      <c r="K5" s="117"/>
      <c r="L5" s="119">
        <v>0.4</v>
      </c>
      <c r="M5" s="126">
        <v>0</v>
      </c>
      <c r="N5" s="118">
        <f>M16</f>
        <v>3332970</v>
      </c>
      <c r="O5" s="119"/>
      <c r="P5" s="117"/>
      <c r="Q5" s="117"/>
      <c r="R5" s="117"/>
    </row>
    <row r="6" spans="1:18" ht="13.5" thickBot="1">
      <c r="A6" s="117"/>
      <c r="B6" s="118">
        <v>17.66</v>
      </c>
      <c r="C6" s="118"/>
      <c r="D6" s="119">
        <v>2.78</v>
      </c>
      <c r="E6" s="143"/>
      <c r="F6" s="119">
        <v>8</v>
      </c>
      <c r="G6" s="163">
        <f>G4</f>
        <v>0</v>
      </c>
      <c r="H6" s="119"/>
      <c r="I6" s="117"/>
      <c r="J6" s="117"/>
      <c r="K6" s="117"/>
      <c r="L6" s="119">
        <v>0.42</v>
      </c>
      <c r="M6" s="126">
        <f>D14</f>
        <v>28240.000000000004</v>
      </c>
      <c r="N6" s="133"/>
      <c r="O6" s="120"/>
      <c r="P6" s="117"/>
      <c r="Q6" s="117"/>
      <c r="R6" s="117"/>
    </row>
    <row r="7" spans="1:18" ht="13.5" thickBot="1">
      <c r="A7" s="117"/>
      <c r="B7" s="118">
        <v>16.78</v>
      </c>
      <c r="C7" s="118"/>
      <c r="D7" s="119">
        <v>2</v>
      </c>
      <c r="E7" s="120"/>
      <c r="F7" s="123"/>
      <c r="G7" s="117"/>
      <c r="H7" s="120"/>
      <c r="I7" s="117"/>
      <c r="J7" s="117"/>
      <c r="K7" s="117"/>
      <c r="L7" s="119">
        <v>0.42</v>
      </c>
      <c r="M7" s="119">
        <f>E8+E15</f>
        <v>0</v>
      </c>
      <c r="N7" s="146">
        <f>N4+N5+N6</f>
        <v>3332970</v>
      </c>
      <c r="O7" s="144">
        <f>SUM(O4:O6)</f>
        <v>0</v>
      </c>
      <c r="P7" s="117"/>
      <c r="Q7" s="117"/>
      <c r="R7" s="117"/>
    </row>
    <row r="8" spans="1:18" ht="13.5" thickBot="1">
      <c r="A8" s="117"/>
      <c r="B8" s="118">
        <v>18.14</v>
      </c>
      <c r="C8" s="133"/>
      <c r="D8" s="119">
        <v>5.14</v>
      </c>
      <c r="E8" s="144">
        <f>SUM(E4:E7)</f>
        <v>0</v>
      </c>
      <c r="F8" s="119"/>
      <c r="G8" s="117"/>
      <c r="H8" s="146">
        <f>SUM(H4:H7)</f>
        <v>0</v>
      </c>
      <c r="I8" s="117"/>
      <c r="J8" s="117"/>
      <c r="K8" s="117"/>
      <c r="L8" s="119"/>
      <c r="M8" s="119">
        <f>F9</f>
        <v>23480</v>
      </c>
      <c r="N8" s="117"/>
      <c r="O8" s="117"/>
      <c r="P8" s="117"/>
      <c r="Q8" s="117"/>
      <c r="R8" s="117"/>
    </row>
    <row r="9" spans="1:18" ht="13.5" thickBot="1">
      <c r="A9" s="117"/>
      <c r="B9" s="119">
        <v>13.36</v>
      </c>
      <c r="C9" s="145">
        <f>C4+C5+C6+C7+C8</f>
        <v>0</v>
      </c>
      <c r="D9" s="123">
        <v>2.32</v>
      </c>
      <c r="E9" s="117"/>
      <c r="F9" s="146">
        <f>(SUM(F4:F8))*1000</f>
        <v>23480</v>
      </c>
      <c r="G9" s="117"/>
      <c r="H9" s="117"/>
      <c r="I9" s="117"/>
      <c r="J9" s="117"/>
      <c r="K9" s="117"/>
      <c r="L9" s="120"/>
      <c r="M9" s="119">
        <f>G6</f>
        <v>0</v>
      </c>
      <c r="N9" s="117"/>
      <c r="O9" s="117"/>
      <c r="P9" s="117"/>
      <c r="Q9" s="117"/>
      <c r="R9" s="117"/>
    </row>
    <row r="10" spans="1:18" ht="13.5" thickBot="1">
      <c r="A10" s="117"/>
      <c r="B10" s="119">
        <v>14.44</v>
      </c>
      <c r="C10" s="117"/>
      <c r="D10" s="123">
        <v>2.62</v>
      </c>
      <c r="E10" s="131" t="s">
        <v>56</v>
      </c>
      <c r="F10" s="117"/>
      <c r="G10" s="117"/>
      <c r="H10" s="117"/>
      <c r="I10" s="117"/>
      <c r="J10" s="117"/>
      <c r="K10" s="117"/>
      <c r="L10" s="144">
        <f>(SUM(L4:L9))*1000</f>
        <v>5380</v>
      </c>
      <c r="M10" s="119">
        <f>H8</f>
        <v>0</v>
      </c>
      <c r="N10" s="117"/>
      <c r="O10" s="117"/>
      <c r="P10" s="117"/>
      <c r="Q10" s="117"/>
      <c r="R10" s="117"/>
    </row>
    <row r="11" spans="1:18" ht="12.75">
      <c r="A11" s="117"/>
      <c r="B11" s="119"/>
      <c r="C11" s="117"/>
      <c r="D11" s="123">
        <v>1.56</v>
      </c>
      <c r="E11" s="116"/>
      <c r="F11" s="117"/>
      <c r="G11" s="117"/>
      <c r="H11" s="117"/>
      <c r="I11" s="117"/>
      <c r="J11" s="117"/>
      <c r="K11" s="117"/>
      <c r="L11" s="117"/>
      <c r="M11" s="119">
        <f>A4</f>
        <v>0</v>
      </c>
      <c r="N11" s="117"/>
      <c r="O11" s="117"/>
      <c r="P11" s="117"/>
      <c r="Q11" s="117"/>
      <c r="R11" s="117"/>
    </row>
    <row r="12" spans="1:18" ht="13.5" thickBot="1">
      <c r="A12" s="117"/>
      <c r="B12" s="119"/>
      <c r="C12" s="117"/>
      <c r="D12" s="4"/>
      <c r="E12" s="119"/>
      <c r="F12" s="117"/>
      <c r="G12" s="117"/>
      <c r="H12" s="117"/>
      <c r="I12" s="117"/>
      <c r="J12" s="117"/>
      <c r="K12" s="117"/>
      <c r="L12" s="117"/>
      <c r="M12" s="119">
        <f>I4</f>
        <v>336950</v>
      </c>
      <c r="Q12" s="117"/>
      <c r="R12" s="117"/>
    </row>
    <row r="13" spans="1:18" ht="13.5" thickBot="1">
      <c r="A13" s="117"/>
      <c r="B13" s="119"/>
      <c r="C13" s="117"/>
      <c r="D13" s="5"/>
      <c r="E13" s="119"/>
      <c r="F13" s="117"/>
      <c r="G13" s="117"/>
      <c r="H13" s="117"/>
      <c r="I13" s="117"/>
      <c r="J13" s="117"/>
      <c r="K13" s="117"/>
      <c r="L13" s="117"/>
      <c r="M13" s="119">
        <f>J4</f>
        <v>519760</v>
      </c>
      <c r="N13" s="117"/>
      <c r="O13" s="144"/>
      <c r="P13" s="175" t="s">
        <v>115</v>
      </c>
      <c r="Q13" s="117"/>
      <c r="R13" s="117"/>
    </row>
    <row r="14" spans="1:18" ht="13.5" thickBot="1">
      <c r="A14" s="117"/>
      <c r="B14" s="119"/>
      <c r="C14" s="117"/>
      <c r="D14" s="144">
        <f>(SUM(D4:D11))*1000</f>
        <v>28240.000000000004</v>
      </c>
      <c r="E14" s="124"/>
      <c r="F14" s="117"/>
      <c r="G14" s="117"/>
      <c r="H14" s="117"/>
      <c r="I14" s="117"/>
      <c r="J14" s="117"/>
      <c r="K14" s="117"/>
      <c r="L14" s="117"/>
      <c r="M14" s="123">
        <f>K4</f>
        <v>2308540</v>
      </c>
      <c r="N14" s="117"/>
      <c r="O14" s="121"/>
      <c r="P14" s="117"/>
      <c r="Q14" s="117"/>
      <c r="R14" s="117"/>
    </row>
    <row r="15" spans="1:18" ht="13.5" thickBot="1">
      <c r="A15" s="117"/>
      <c r="B15" s="141">
        <f>(SUM(B4:B14))*1000</f>
        <v>110620</v>
      </c>
      <c r="C15" s="117"/>
      <c r="D15" s="164">
        <f>D14/2</f>
        <v>14120.000000000002</v>
      </c>
      <c r="E15" s="144">
        <f>SUM(E11:E14)</f>
        <v>0</v>
      </c>
      <c r="M15" s="124">
        <f>L10</f>
        <v>5380</v>
      </c>
      <c r="N15" s="117"/>
      <c r="O15" s="121">
        <f>M18</f>
        <v>3332970</v>
      </c>
      <c r="P15" s="117" t="s">
        <v>179</v>
      </c>
      <c r="Q15" s="117"/>
      <c r="R15" s="117"/>
    </row>
    <row r="16" spans="1:18" ht="13.5" thickBot="1">
      <c r="A16" s="117"/>
      <c r="B16" s="119"/>
      <c r="C16" s="117"/>
      <c r="E16" s="123"/>
      <c r="F16" s="28"/>
      <c r="M16" s="144">
        <f>SUM(M4:M15)</f>
        <v>3332970</v>
      </c>
      <c r="N16" s="117" t="s">
        <v>177</v>
      </c>
      <c r="O16" s="117"/>
      <c r="P16" s="117"/>
      <c r="Q16" s="117"/>
      <c r="R16" s="117"/>
    </row>
    <row r="17" spans="1:18" ht="13.5" thickBot="1">
      <c r="A17" s="117"/>
      <c r="B17" s="123"/>
      <c r="C17" s="117"/>
      <c r="E17" s="121"/>
      <c r="M17" s="124"/>
      <c r="N17" s="117"/>
      <c r="O17" s="117"/>
      <c r="P17" s="117"/>
      <c r="Q17" s="117"/>
      <c r="R17" s="117"/>
    </row>
    <row r="18" spans="1:16" ht="13.5" thickBot="1">
      <c r="A18" s="117"/>
      <c r="B18" s="123"/>
      <c r="C18" s="117"/>
      <c r="F18" s="92"/>
      <c r="M18" s="144">
        <f>N7</f>
        <v>3332970</v>
      </c>
      <c r="N18" s="117" t="s">
        <v>179</v>
      </c>
      <c r="O18" s="117"/>
      <c r="P18" s="117"/>
    </row>
    <row r="19" spans="1:3" ht="13.5" thickBot="1">
      <c r="A19" s="117"/>
      <c r="B19" s="123"/>
      <c r="C19" s="117"/>
    </row>
    <row r="20" spans="1:21" ht="13.5" thickBot="1">
      <c r="A20" s="117"/>
      <c r="B20" s="123"/>
      <c r="C20" s="117"/>
      <c r="M20" s="228">
        <f>100*(M16/M18)</f>
        <v>100</v>
      </c>
      <c r="N20" s="180" t="s">
        <v>193</v>
      </c>
      <c r="S20" s="183"/>
      <c r="T20" s="183"/>
      <c r="U20" s="183"/>
    </row>
    <row r="21" spans="1:14" ht="12.75">
      <c r="A21" s="117"/>
      <c r="B21" s="123"/>
      <c r="C21" s="117"/>
      <c r="N21" s="184" t="s">
        <v>178</v>
      </c>
    </row>
    <row r="22" spans="1:14" ht="13.5" thickBot="1">
      <c r="A22" s="117"/>
      <c r="B22" s="124"/>
      <c r="C22" s="117"/>
      <c r="N22" s="169" t="s">
        <v>180</v>
      </c>
    </row>
    <row r="23" spans="1:3" ht="13.5" thickBot="1">
      <c r="A23" s="117"/>
      <c r="B23" s="121"/>
      <c r="C23" s="117"/>
    </row>
    <row r="24" spans="8:14" ht="13.5" thickBot="1">
      <c r="H24" s="219"/>
      <c r="M24" s="228">
        <f>M18/(1000*S4)</f>
        <v>23.145625</v>
      </c>
      <c r="N24" s="180" t="s">
        <v>230</v>
      </c>
    </row>
    <row r="25" ht="12.75">
      <c r="N25" s="169" t="s">
        <v>195</v>
      </c>
    </row>
    <row r="26" ht="13.5" thickBot="1">
      <c r="N26" s="169"/>
    </row>
    <row r="27" spans="13:14" ht="13.5" thickBot="1">
      <c r="M27" s="229">
        <f>M16</f>
        <v>3332970</v>
      </c>
      <c r="N27" s="169" t="s">
        <v>215</v>
      </c>
    </row>
    <row r="28" ht="12.75">
      <c r="A28" s="181" t="s">
        <v>182</v>
      </c>
    </row>
    <row r="29" ht="13.5" thickBot="1"/>
    <row r="30" spans="1:19" ht="13.5" thickBot="1">
      <c r="A30" s="53" t="s">
        <v>40</v>
      </c>
      <c r="B30" s="15" t="s">
        <v>0</v>
      </c>
      <c r="C30" s="16" t="s">
        <v>1</v>
      </c>
      <c r="D30" s="42" t="s">
        <v>2</v>
      </c>
      <c r="E30" s="142" t="s">
        <v>81</v>
      </c>
      <c r="F30" s="19" t="s">
        <v>4</v>
      </c>
      <c r="G30" s="20" t="s">
        <v>5</v>
      </c>
      <c r="H30" s="33" t="s">
        <v>6</v>
      </c>
      <c r="I30" s="109" t="s">
        <v>141</v>
      </c>
      <c r="J30" s="23" t="s">
        <v>8</v>
      </c>
      <c r="K30" s="24" t="s">
        <v>9</v>
      </c>
      <c r="L30" s="49" t="s">
        <v>14</v>
      </c>
      <c r="M30" s="1" t="s">
        <v>13</v>
      </c>
      <c r="N30" s="3" t="s">
        <v>11</v>
      </c>
      <c r="O30" s="50" t="s">
        <v>114</v>
      </c>
      <c r="P30" s="81" t="s">
        <v>113</v>
      </c>
      <c r="Q30" s="110" t="s">
        <v>142</v>
      </c>
      <c r="R30" s="111" t="s">
        <v>80</v>
      </c>
      <c r="S30" s="190" t="s">
        <v>196</v>
      </c>
    </row>
    <row r="31" spans="1:19" ht="13.5" thickBot="1">
      <c r="A31" s="250">
        <v>0</v>
      </c>
      <c r="B31" s="115">
        <v>20.08</v>
      </c>
      <c r="C31" s="116">
        <v>6</v>
      </c>
      <c r="D31" s="125">
        <v>9.38</v>
      </c>
      <c r="E31" s="119">
        <v>0</v>
      </c>
      <c r="F31" s="125">
        <v>8.52</v>
      </c>
      <c r="G31" s="115">
        <v>0</v>
      </c>
      <c r="H31" s="116">
        <v>0</v>
      </c>
      <c r="I31" s="254">
        <f>379*1000</f>
        <v>379000</v>
      </c>
      <c r="J31" s="254">
        <f>490*1000</f>
        <v>490000</v>
      </c>
      <c r="K31" s="255">
        <f>3160*1000</f>
        <v>3160000</v>
      </c>
      <c r="L31" s="119">
        <v>0.2</v>
      </c>
      <c r="M31" s="132">
        <f>A31</f>
        <v>0</v>
      </c>
      <c r="N31" s="135"/>
      <c r="O31" s="116">
        <v>0</v>
      </c>
      <c r="P31" s="149">
        <v>0</v>
      </c>
      <c r="Q31" s="147">
        <v>0</v>
      </c>
      <c r="R31" s="121">
        <v>0</v>
      </c>
      <c r="S31" s="121">
        <v>159</v>
      </c>
    </row>
    <row r="32" spans="1:18" ht="13.5" thickBot="1">
      <c r="A32" s="117"/>
      <c r="B32" s="118">
        <v>14.96</v>
      </c>
      <c r="C32" s="119"/>
      <c r="D32" s="126">
        <v>1.42</v>
      </c>
      <c r="E32" s="123"/>
      <c r="F32" s="126">
        <v>5.28</v>
      </c>
      <c r="G32" s="133"/>
      <c r="H32" s="119"/>
      <c r="I32" s="117"/>
      <c r="J32" s="117"/>
      <c r="K32" s="117"/>
      <c r="L32" s="119">
        <v>0.44</v>
      </c>
      <c r="M32" s="126">
        <f>B50</f>
        <v>108989.99999999999</v>
      </c>
      <c r="N32" s="118"/>
      <c r="O32" s="119"/>
      <c r="P32" s="117"/>
      <c r="Q32" s="117"/>
      <c r="R32" s="117"/>
    </row>
    <row r="33" spans="1:18" ht="13.5" thickBot="1">
      <c r="A33" s="117"/>
      <c r="B33" s="118">
        <v>3.8</v>
      </c>
      <c r="C33" s="119"/>
      <c r="D33" s="126">
        <v>9.38</v>
      </c>
      <c r="E33" s="143"/>
      <c r="F33" s="130">
        <v>7.66</v>
      </c>
      <c r="G33" s="250">
        <f>G31</f>
        <v>0</v>
      </c>
      <c r="H33" s="119"/>
      <c r="I33" s="117"/>
      <c r="J33" s="117"/>
      <c r="K33" s="117"/>
      <c r="L33" s="119">
        <v>0.44</v>
      </c>
      <c r="M33" s="126">
        <f>D39</f>
        <v>40720</v>
      </c>
      <c r="N33" s="267">
        <f>M46</f>
        <v>4236610</v>
      </c>
      <c r="O33" s="120"/>
      <c r="P33" s="117"/>
      <c r="Q33" s="117"/>
      <c r="R33" s="117"/>
    </row>
    <row r="34" spans="1:18" ht="13.5" thickBot="1">
      <c r="A34" s="117"/>
      <c r="B34" s="118">
        <v>5.98</v>
      </c>
      <c r="C34" s="119"/>
      <c r="D34" s="119">
        <v>1.42</v>
      </c>
      <c r="E34" s="120"/>
      <c r="F34" s="252">
        <f>(SUM(F31:F33))*1000</f>
        <v>21460</v>
      </c>
      <c r="G34" s="117"/>
      <c r="H34" s="120"/>
      <c r="I34" s="293" t="s">
        <v>233</v>
      </c>
      <c r="J34" s="117"/>
      <c r="K34" s="117"/>
      <c r="L34" s="119"/>
      <c r="M34" s="119">
        <f>E35</f>
        <v>0</v>
      </c>
      <c r="N34" s="266">
        <f>N31+N32+N33</f>
        <v>4236610</v>
      </c>
      <c r="O34" s="144">
        <f>SUM(O31:O33)</f>
        <v>0</v>
      </c>
      <c r="P34" s="117"/>
      <c r="Q34" s="117"/>
      <c r="R34" s="117"/>
    </row>
    <row r="35" spans="1:18" ht="13.5" thickBot="1">
      <c r="A35" s="117"/>
      <c r="B35" s="118">
        <v>17.56</v>
      </c>
      <c r="C35" s="120"/>
      <c r="D35" s="119">
        <v>2.98</v>
      </c>
      <c r="E35" s="252">
        <f>SUM(E31:E34)</f>
        <v>0</v>
      </c>
      <c r="F35" s="117"/>
      <c r="G35" s="117"/>
      <c r="H35" s="253">
        <f>SUM(H31:H34)</f>
        <v>0</v>
      </c>
      <c r="I35" s="288">
        <v>35360</v>
      </c>
      <c r="J35" s="117"/>
      <c r="K35" s="117"/>
      <c r="L35" s="119"/>
      <c r="M35" s="119">
        <f>E44</f>
        <v>0</v>
      </c>
      <c r="N35" s="117"/>
      <c r="O35" s="117"/>
      <c r="P35" s="117"/>
      <c r="Q35" s="117"/>
      <c r="R35" s="117"/>
    </row>
    <row r="36" spans="1:18" ht="13.5" thickBot="1">
      <c r="A36" s="117"/>
      <c r="B36" s="119">
        <v>14.04</v>
      </c>
      <c r="C36" s="250">
        <f>(C31+C32+C33+C34)*1000</f>
        <v>6000</v>
      </c>
      <c r="D36" s="119">
        <v>14.86</v>
      </c>
      <c r="E36" s="117"/>
      <c r="F36" s="117"/>
      <c r="G36" s="117"/>
      <c r="H36" s="117"/>
      <c r="I36" s="288"/>
      <c r="J36" s="117"/>
      <c r="K36" s="117"/>
      <c r="L36" s="120"/>
      <c r="M36" s="119">
        <f>F34</f>
        <v>21460</v>
      </c>
      <c r="N36" s="117"/>
      <c r="O36" s="117"/>
      <c r="P36" s="117"/>
      <c r="Q36" s="117"/>
      <c r="R36" s="117"/>
    </row>
    <row r="37" spans="1:18" ht="13.5" thickBot="1">
      <c r="A37" s="117"/>
      <c r="B37" s="119">
        <v>16.61</v>
      </c>
      <c r="C37" s="117"/>
      <c r="D37" s="4">
        <v>1.28</v>
      </c>
      <c r="E37" s="259" t="s">
        <v>223</v>
      </c>
      <c r="F37" s="117"/>
      <c r="G37" s="117"/>
      <c r="H37" s="117"/>
      <c r="I37" s="288"/>
      <c r="J37" s="117"/>
      <c r="K37" s="117"/>
      <c r="L37" s="252">
        <f>(SUM(L31:L36))*1000</f>
        <v>1080</v>
      </c>
      <c r="M37" s="119">
        <f>G33</f>
        <v>0</v>
      </c>
      <c r="N37" s="117"/>
      <c r="O37" s="117"/>
      <c r="P37" s="117"/>
      <c r="Q37" s="117"/>
      <c r="R37" s="117"/>
    </row>
    <row r="38" spans="1:18" ht="13.5" thickBot="1">
      <c r="A38" s="117"/>
      <c r="B38" s="119">
        <v>15.96</v>
      </c>
      <c r="C38" s="117"/>
      <c r="D38" s="5"/>
      <c r="E38" s="119">
        <v>0</v>
      </c>
      <c r="F38" s="117"/>
      <c r="G38" s="117"/>
      <c r="H38" s="117"/>
      <c r="I38" s="288"/>
      <c r="J38" s="117"/>
      <c r="K38" s="117"/>
      <c r="L38" s="117"/>
      <c r="M38" s="119">
        <f>H35</f>
        <v>0</v>
      </c>
      <c r="N38" s="117"/>
      <c r="O38" s="117"/>
      <c r="P38" s="117"/>
      <c r="Q38" s="117"/>
      <c r="R38" s="117"/>
    </row>
    <row r="39" spans="1:18" ht="13.5" thickBot="1">
      <c r="A39" s="117"/>
      <c r="B39" s="119"/>
      <c r="C39" s="117"/>
      <c r="D39" s="252">
        <f>(SUM(D31:D38))*1000</f>
        <v>40720</v>
      </c>
      <c r="E39" s="119"/>
      <c r="F39" s="117"/>
      <c r="G39" s="117"/>
      <c r="H39" s="117"/>
      <c r="I39" s="288"/>
      <c r="J39" s="117"/>
      <c r="K39" s="117"/>
      <c r="L39" s="117"/>
      <c r="M39" s="119">
        <f>I31+I41</f>
        <v>414360</v>
      </c>
      <c r="N39" s="117"/>
      <c r="O39" s="137"/>
      <c r="P39" s="137"/>
      <c r="Q39" s="117"/>
      <c r="R39" s="117"/>
    </row>
    <row r="40" spans="1:18" ht="12.75">
      <c r="A40" s="117"/>
      <c r="B40" s="119"/>
      <c r="C40" s="117"/>
      <c r="D40" s="164">
        <f>D39/2</f>
        <v>20360</v>
      </c>
      <c r="E40" s="119"/>
      <c r="F40" s="117"/>
      <c r="G40" s="117"/>
      <c r="H40" s="117"/>
      <c r="I40" s="288"/>
      <c r="J40" s="117"/>
      <c r="K40" s="117"/>
      <c r="L40" s="117"/>
      <c r="M40" s="123">
        <f>J31</f>
        <v>490000</v>
      </c>
      <c r="N40" s="117"/>
      <c r="O40" s="137"/>
      <c r="P40" s="137"/>
      <c r="Q40" s="117"/>
      <c r="R40" s="117"/>
    </row>
    <row r="41" spans="1:18" ht="12.75">
      <c r="A41" s="117"/>
      <c r="B41" s="119"/>
      <c r="C41" s="117"/>
      <c r="E41" s="123"/>
      <c r="F41" s="117"/>
      <c r="G41" s="117"/>
      <c r="H41" s="117"/>
      <c r="I41" s="291">
        <f>SUM(I35:I40)</f>
        <v>35360</v>
      </c>
      <c r="J41" s="117"/>
      <c r="K41" s="117"/>
      <c r="L41" s="117"/>
      <c r="M41" s="123">
        <f>K31</f>
        <v>3160000</v>
      </c>
      <c r="N41" s="117"/>
      <c r="O41" s="137"/>
      <c r="P41" s="137"/>
      <c r="Q41" s="117"/>
      <c r="R41" s="117"/>
    </row>
    <row r="42" spans="1:18" ht="12.75">
      <c r="A42" s="117"/>
      <c r="B42" s="119"/>
      <c r="C42" s="117"/>
      <c r="E42" s="119"/>
      <c r="F42" s="117"/>
      <c r="M42" s="119">
        <f>L37</f>
        <v>1080</v>
      </c>
      <c r="O42" s="117"/>
      <c r="P42" s="117"/>
      <c r="Q42" s="117"/>
      <c r="R42" s="117"/>
    </row>
    <row r="43" spans="1:18" ht="13.5" thickBot="1">
      <c r="A43" s="117"/>
      <c r="B43" s="119"/>
      <c r="C43" s="117"/>
      <c r="E43" s="124"/>
      <c r="F43" s="28"/>
      <c r="M43" s="119"/>
      <c r="O43" s="117"/>
      <c r="P43" s="117"/>
      <c r="Q43" s="117"/>
      <c r="R43" s="117"/>
    </row>
    <row r="44" spans="1:18" ht="13.5" thickBot="1">
      <c r="A44" s="117"/>
      <c r="B44" s="123"/>
      <c r="C44" s="117"/>
      <c r="E44" s="252">
        <f>SUM(E38:E43)</f>
        <v>0</v>
      </c>
      <c r="M44" s="119">
        <f>Q31</f>
        <v>0</v>
      </c>
      <c r="O44" s="117"/>
      <c r="P44" s="117"/>
      <c r="Q44" s="117"/>
      <c r="R44" s="117"/>
    </row>
    <row r="45" spans="1:13" ht="13.5" thickBot="1">
      <c r="A45" s="117"/>
      <c r="B45" s="123"/>
      <c r="C45" s="117"/>
      <c r="F45" s="92"/>
      <c r="M45" s="120">
        <f>R31</f>
        <v>0</v>
      </c>
    </row>
    <row r="46" spans="1:15" ht="13.5" thickBot="1">
      <c r="A46" s="117"/>
      <c r="B46" s="123"/>
      <c r="C46" s="117"/>
      <c r="E46" s="247"/>
      <c r="M46" s="252">
        <f>SUM(M31:M45)</f>
        <v>4236610</v>
      </c>
      <c r="N46" s="262" t="s">
        <v>177</v>
      </c>
      <c r="O46" s="263" t="s">
        <v>227</v>
      </c>
    </row>
    <row r="47" spans="1:3" ht="13.5" thickBot="1">
      <c r="A47" s="117"/>
      <c r="B47" s="123"/>
      <c r="C47" s="117"/>
    </row>
    <row r="48" spans="1:15" ht="13.5" thickBot="1">
      <c r="A48" s="117"/>
      <c r="B48" s="123"/>
      <c r="C48" s="117"/>
      <c r="M48" s="249">
        <f>N34</f>
        <v>4236610</v>
      </c>
      <c r="N48" s="256" t="s">
        <v>179</v>
      </c>
      <c r="O48" s="257" t="s">
        <v>228</v>
      </c>
    </row>
    <row r="49" spans="1:3" ht="13.5" thickBot="1">
      <c r="A49" s="117"/>
      <c r="B49" s="124"/>
      <c r="C49" s="117"/>
    </row>
    <row r="50" spans="1:14" ht="13.5" thickBot="1">
      <c r="A50" s="117"/>
      <c r="B50" s="251">
        <f>(SUM(B31:B49))*1000</f>
        <v>108989.99999999999</v>
      </c>
      <c r="C50" s="117"/>
      <c r="M50" s="228">
        <f>100*(M46/M48)</f>
        <v>100</v>
      </c>
      <c r="N50" s="180" t="s">
        <v>193</v>
      </c>
    </row>
    <row r="51" spans="1:14" ht="12.75">
      <c r="A51" s="117"/>
      <c r="B51" s="137"/>
      <c r="C51" s="117"/>
      <c r="N51" s="264" t="s">
        <v>178</v>
      </c>
    </row>
    <row r="52" spans="1:14" ht="12.75">
      <c r="A52" s="117"/>
      <c r="B52" s="137"/>
      <c r="C52" s="117"/>
      <c r="N52" s="265" t="s">
        <v>180</v>
      </c>
    </row>
    <row r="53" spans="1:3" ht="13.5" thickBot="1">
      <c r="A53" s="117"/>
      <c r="B53" s="137"/>
      <c r="C53" s="117"/>
    </row>
    <row r="54" spans="1:14" ht="13.5" thickBot="1">
      <c r="A54" s="117"/>
      <c r="B54" s="137"/>
      <c r="C54" s="117"/>
      <c r="M54" s="228">
        <f>M48/(1000*S31)</f>
        <v>26.645345911949686</v>
      </c>
      <c r="N54" s="180" t="s">
        <v>230</v>
      </c>
    </row>
    <row r="55" spans="1:14" ht="12.75">
      <c r="A55" s="117"/>
      <c r="B55" s="137"/>
      <c r="C55" s="117"/>
      <c r="N55" s="169" t="s">
        <v>195</v>
      </c>
    </row>
    <row r="56" spans="1:3" ht="13.5" thickBot="1">
      <c r="A56" s="117"/>
      <c r="B56" s="137"/>
      <c r="C56" s="117"/>
    </row>
    <row r="57" spans="1:14" ht="13.5" thickBot="1">
      <c r="A57" s="117"/>
      <c r="B57" s="137"/>
      <c r="C57" s="117"/>
      <c r="M57" s="261">
        <f>M46</f>
        <v>4236610</v>
      </c>
      <c r="N57" s="260" t="s">
        <v>215</v>
      </c>
    </row>
    <row r="58" spans="1:14" ht="12.75">
      <c r="A58" s="117"/>
      <c r="B58" s="137"/>
      <c r="C58" s="117"/>
      <c r="M58" s="248"/>
      <c r="N58" s="169"/>
    </row>
    <row r="59" spans="1:3" ht="12.75">
      <c r="A59" s="117"/>
      <c r="B59" s="137"/>
      <c r="C59" s="117"/>
    </row>
    <row r="61" ht="12.75">
      <c r="A61" s="181" t="s">
        <v>229</v>
      </c>
    </row>
    <row r="62" ht="13.5" thickBot="1"/>
    <row r="63" spans="1:19" ht="13.5" thickBot="1">
      <c r="A63" s="53" t="s">
        <v>40</v>
      </c>
      <c r="B63" s="15" t="s">
        <v>0</v>
      </c>
      <c r="C63" s="16" t="s">
        <v>1</v>
      </c>
      <c r="D63" s="42" t="s">
        <v>2</v>
      </c>
      <c r="E63" s="142" t="s">
        <v>81</v>
      </c>
      <c r="F63" s="19" t="s">
        <v>4</v>
      </c>
      <c r="G63" s="20" t="s">
        <v>5</v>
      </c>
      <c r="H63" s="33" t="s">
        <v>6</v>
      </c>
      <c r="I63" s="109" t="s">
        <v>141</v>
      </c>
      <c r="J63" s="23" t="s">
        <v>8</v>
      </c>
      <c r="K63" s="24" t="s">
        <v>9</v>
      </c>
      <c r="L63" s="49" t="s">
        <v>14</v>
      </c>
      <c r="M63" s="1" t="s">
        <v>13</v>
      </c>
      <c r="N63" s="3" t="s">
        <v>11</v>
      </c>
      <c r="O63" s="50" t="s">
        <v>114</v>
      </c>
      <c r="P63" s="81" t="s">
        <v>113</v>
      </c>
      <c r="Q63" s="110" t="s">
        <v>142</v>
      </c>
      <c r="R63" s="111" t="s">
        <v>80</v>
      </c>
      <c r="S63" s="190" t="s">
        <v>196</v>
      </c>
    </row>
    <row r="64" spans="1:19" ht="13.5" thickBot="1">
      <c r="A64" s="250">
        <v>0</v>
      </c>
      <c r="B64" s="115">
        <v>5.46</v>
      </c>
      <c r="C64" s="116">
        <v>8.8</v>
      </c>
      <c r="D64" s="125">
        <v>2.92</v>
      </c>
      <c r="E64" s="119"/>
      <c r="F64" s="125">
        <f>8.58+7+9.28</f>
        <v>24.86</v>
      </c>
      <c r="G64" s="115">
        <v>2.46</v>
      </c>
      <c r="H64" s="116">
        <v>7.58</v>
      </c>
      <c r="I64" s="254">
        <f>494.58*1000</f>
        <v>494580</v>
      </c>
      <c r="J64" s="254">
        <f>737.14*1000</f>
        <v>737140</v>
      </c>
      <c r="K64" s="255">
        <f>4004.06*1000</f>
        <v>4004060</v>
      </c>
      <c r="L64" s="119">
        <v>4.18</v>
      </c>
      <c r="M64" s="132">
        <f>A64</f>
        <v>0</v>
      </c>
      <c r="N64" s="135"/>
      <c r="O64" s="269">
        <v>0</v>
      </c>
      <c r="P64" s="149"/>
      <c r="Q64" s="147">
        <v>0</v>
      </c>
      <c r="R64" s="121">
        <v>0</v>
      </c>
      <c r="S64" s="121">
        <v>256</v>
      </c>
    </row>
    <row r="65" spans="1:18" ht="13.5" thickBot="1">
      <c r="A65" s="117"/>
      <c r="B65" s="118">
        <v>5.48</v>
      </c>
      <c r="C65" s="119"/>
      <c r="D65" s="126">
        <v>10.76</v>
      </c>
      <c r="E65" s="123"/>
      <c r="F65" s="126">
        <v>8.98</v>
      </c>
      <c r="G65" s="133"/>
      <c r="H65" s="119"/>
      <c r="I65" s="117"/>
      <c r="J65" s="117"/>
      <c r="K65" s="117"/>
      <c r="L65" s="119">
        <v>0.88</v>
      </c>
      <c r="M65" s="126">
        <f>B83</f>
        <v>128660</v>
      </c>
      <c r="N65" s="118">
        <f>O67</f>
        <v>0</v>
      </c>
      <c r="O65" s="119"/>
      <c r="P65" s="117"/>
      <c r="Q65" s="117"/>
      <c r="R65" s="117"/>
    </row>
    <row r="66" spans="1:18" ht="13.5" thickBot="1">
      <c r="A66" s="117"/>
      <c r="B66" s="118">
        <v>6.06</v>
      </c>
      <c r="C66" s="119"/>
      <c r="D66" s="126">
        <v>2.96</v>
      </c>
      <c r="E66" s="143"/>
      <c r="F66" s="130">
        <v>7.68</v>
      </c>
      <c r="G66" s="250">
        <f>G64*1000</f>
        <v>2460</v>
      </c>
      <c r="H66" s="119"/>
      <c r="I66" s="117"/>
      <c r="J66" s="117"/>
      <c r="K66" s="117"/>
      <c r="L66" s="119">
        <v>0.44</v>
      </c>
      <c r="M66" s="126">
        <f>D72</f>
        <v>16640</v>
      </c>
      <c r="N66" s="258">
        <f>M79</f>
        <v>5450640</v>
      </c>
      <c r="O66" s="120"/>
      <c r="P66" s="117"/>
      <c r="Q66" s="117"/>
      <c r="R66" s="117"/>
    </row>
    <row r="67" spans="1:18" ht="13.5" thickBot="1">
      <c r="A67" s="117"/>
      <c r="B67" s="118">
        <v>15.08</v>
      </c>
      <c r="C67" s="119"/>
      <c r="D67" s="119"/>
      <c r="E67" s="120"/>
      <c r="F67" s="252">
        <f>(SUM(F64:F66))*1000</f>
        <v>41520</v>
      </c>
      <c r="G67" s="117"/>
      <c r="H67" s="120"/>
      <c r="I67" s="117"/>
      <c r="J67" s="117"/>
      <c r="K67" s="117"/>
      <c r="L67" s="119">
        <v>3.26</v>
      </c>
      <c r="M67" s="119">
        <f>E68</f>
        <v>0</v>
      </c>
      <c r="N67" s="146">
        <f>N64+N65+N66</f>
        <v>5450640</v>
      </c>
      <c r="O67" s="144">
        <f>SUM(O64:O66)</f>
        <v>0</v>
      </c>
      <c r="P67" s="117"/>
      <c r="Q67" s="117"/>
      <c r="R67" s="117"/>
    </row>
    <row r="68" spans="1:18" ht="13.5" thickBot="1">
      <c r="A68" s="117"/>
      <c r="B68" s="118">
        <v>21.6</v>
      </c>
      <c r="C68" s="120"/>
      <c r="D68" s="119"/>
      <c r="E68" s="252">
        <f>(SUM(E64:E67))*1000</f>
        <v>0</v>
      </c>
      <c r="F68" s="117"/>
      <c r="G68" s="117"/>
      <c r="H68" s="253">
        <f>(SUM(H64:H67))*1000</f>
        <v>7580</v>
      </c>
      <c r="I68" s="117"/>
      <c r="J68" s="117"/>
      <c r="K68" s="117"/>
      <c r="L68" s="119">
        <v>0.44</v>
      </c>
      <c r="M68" s="119">
        <f>E77</f>
        <v>0</v>
      </c>
      <c r="N68" s="117"/>
      <c r="O68" s="117"/>
      <c r="P68" s="117"/>
      <c r="Q68" s="117"/>
      <c r="R68" s="117"/>
    </row>
    <row r="69" spans="1:18" ht="13.5" thickBot="1">
      <c r="A69" s="117"/>
      <c r="B69" s="119">
        <v>13.86</v>
      </c>
      <c r="C69" s="250">
        <f>(C64+C65+C66+C67)*1000</f>
        <v>8800</v>
      </c>
      <c r="D69" s="119"/>
      <c r="E69" s="117"/>
      <c r="F69" s="117"/>
      <c r="G69" s="117"/>
      <c r="H69" s="117"/>
      <c r="I69" s="117"/>
      <c r="J69" s="117"/>
      <c r="K69" s="117"/>
      <c r="L69" s="120"/>
      <c r="M69" s="119">
        <f>F67</f>
        <v>41520</v>
      </c>
      <c r="N69" s="117"/>
      <c r="O69" s="117"/>
      <c r="P69" s="117"/>
      <c r="Q69" s="117"/>
      <c r="R69" s="117"/>
    </row>
    <row r="70" spans="1:18" ht="13.5" thickBot="1">
      <c r="A70" s="117"/>
      <c r="B70" s="119">
        <v>18.82</v>
      </c>
      <c r="C70" s="117"/>
      <c r="D70" s="4"/>
      <c r="E70" s="259" t="s">
        <v>223</v>
      </c>
      <c r="F70" s="117"/>
      <c r="G70" s="117"/>
      <c r="H70" s="117"/>
      <c r="I70" s="117"/>
      <c r="J70" s="117"/>
      <c r="K70" s="117"/>
      <c r="L70" s="252">
        <f>(SUM(L64:L69))*1000</f>
        <v>9200</v>
      </c>
      <c r="M70" s="119">
        <f>G66</f>
        <v>2460</v>
      </c>
      <c r="N70" s="117"/>
      <c r="O70" s="117"/>
      <c r="P70" s="117"/>
      <c r="Q70" s="117"/>
      <c r="R70" s="117"/>
    </row>
    <row r="71" spans="1:18" ht="13.5" thickBot="1">
      <c r="A71" s="117"/>
      <c r="B71" s="119">
        <v>13.48</v>
      </c>
      <c r="C71" s="117"/>
      <c r="D71" s="5"/>
      <c r="E71" s="125"/>
      <c r="F71" s="117"/>
      <c r="G71" s="117"/>
      <c r="H71" s="117"/>
      <c r="I71" s="117"/>
      <c r="J71" s="117"/>
      <c r="K71" s="117"/>
      <c r="L71" s="117"/>
      <c r="M71" s="119">
        <f>H68</f>
        <v>7580</v>
      </c>
      <c r="N71" s="117"/>
      <c r="O71" s="117"/>
      <c r="P71" s="117"/>
      <c r="Q71" s="117"/>
      <c r="R71" s="117"/>
    </row>
    <row r="72" spans="1:18" ht="13.5" thickBot="1">
      <c r="A72" s="117"/>
      <c r="B72" s="119">
        <v>18.22</v>
      </c>
      <c r="C72" s="117"/>
      <c r="D72" s="252">
        <f>(SUM(D64:D71))*1000</f>
        <v>16640</v>
      </c>
      <c r="E72" s="119"/>
      <c r="F72" s="117"/>
      <c r="G72" s="117"/>
      <c r="H72" s="117"/>
      <c r="I72" s="117"/>
      <c r="J72" s="117"/>
      <c r="K72" s="117"/>
      <c r="L72" s="117"/>
      <c r="M72" s="119">
        <f>I64</f>
        <v>494580</v>
      </c>
      <c r="N72" s="117"/>
      <c r="O72" s="137"/>
      <c r="P72" s="137"/>
      <c r="Q72" s="117"/>
      <c r="R72" s="117"/>
    </row>
    <row r="73" spans="1:18" ht="12.75">
      <c r="A73" s="117"/>
      <c r="B73" s="119">
        <v>10.6</v>
      </c>
      <c r="C73" s="117"/>
      <c r="D73" s="164">
        <f>D72/2</f>
        <v>8320</v>
      </c>
      <c r="E73" s="119"/>
      <c r="F73" s="117"/>
      <c r="G73" s="117"/>
      <c r="H73" s="117"/>
      <c r="I73" s="117"/>
      <c r="J73" s="117"/>
      <c r="K73" s="117"/>
      <c r="L73" s="117"/>
      <c r="M73" s="123">
        <f>J64</f>
        <v>737140</v>
      </c>
      <c r="N73" s="117"/>
      <c r="O73" s="137"/>
      <c r="P73" s="137"/>
      <c r="Q73" s="117"/>
      <c r="R73" s="117"/>
    </row>
    <row r="74" spans="1:18" ht="13.5" thickBot="1">
      <c r="A74" s="117"/>
      <c r="B74" s="119"/>
      <c r="C74" s="117"/>
      <c r="E74" s="124"/>
      <c r="F74" s="117"/>
      <c r="G74" s="117"/>
      <c r="H74" s="117"/>
      <c r="I74" s="117"/>
      <c r="J74" s="117"/>
      <c r="K74" s="117"/>
      <c r="L74" s="117"/>
      <c r="M74" s="123">
        <f>K64</f>
        <v>4004060</v>
      </c>
      <c r="N74" s="117"/>
      <c r="O74" s="137"/>
      <c r="P74" s="137"/>
      <c r="Q74" s="117"/>
      <c r="R74" s="117"/>
    </row>
    <row r="75" spans="1:18" ht="13.5" thickBot="1">
      <c r="A75" s="117"/>
      <c r="B75" s="119"/>
      <c r="C75" s="117"/>
      <c r="E75" s="121"/>
      <c r="F75" s="117"/>
      <c r="M75" s="119">
        <f>L70</f>
        <v>9200</v>
      </c>
      <c r="O75" s="117"/>
      <c r="P75" s="117"/>
      <c r="Q75" s="117"/>
      <c r="R75" s="117"/>
    </row>
    <row r="76" spans="1:18" ht="13.5" thickBot="1">
      <c r="A76" s="117"/>
      <c r="B76" s="119"/>
      <c r="C76" s="117"/>
      <c r="E76" s="123"/>
      <c r="F76" s="28"/>
      <c r="M76" s="119">
        <f>C69</f>
        <v>8800</v>
      </c>
      <c r="O76" s="117"/>
      <c r="P76" s="117"/>
      <c r="Q76" s="117"/>
      <c r="R76" s="117"/>
    </row>
    <row r="77" spans="1:18" ht="13.5" thickBot="1">
      <c r="A77" s="117"/>
      <c r="B77" s="123"/>
      <c r="C77" s="117"/>
      <c r="E77" s="252">
        <f>SUM(E71:E76)</f>
        <v>0</v>
      </c>
      <c r="M77" s="119">
        <f>Q64</f>
        <v>0</v>
      </c>
      <c r="O77" s="117"/>
      <c r="P77" s="117"/>
      <c r="Q77" s="117"/>
      <c r="R77" s="117"/>
    </row>
    <row r="78" spans="1:13" ht="13.5" thickBot="1">
      <c r="A78" s="117"/>
      <c r="B78" s="123"/>
      <c r="C78" s="117"/>
      <c r="F78" s="92"/>
      <c r="M78" s="120">
        <f>R64</f>
        <v>0</v>
      </c>
    </row>
    <row r="79" spans="1:15" ht="13.5" thickBot="1">
      <c r="A79" s="117"/>
      <c r="B79" s="123"/>
      <c r="C79" s="117"/>
      <c r="E79" s="247"/>
      <c r="M79" s="252">
        <f>SUM(M64:M78)</f>
        <v>5450640</v>
      </c>
      <c r="N79" s="262" t="s">
        <v>177</v>
      </c>
      <c r="O79" s="263" t="s">
        <v>227</v>
      </c>
    </row>
    <row r="80" spans="1:3" ht="13.5" thickBot="1">
      <c r="A80" s="117"/>
      <c r="B80" s="123"/>
      <c r="C80" s="117"/>
    </row>
    <row r="81" spans="1:15" ht="13.5" thickBot="1">
      <c r="A81" s="117"/>
      <c r="B81" s="123"/>
      <c r="C81" s="117"/>
      <c r="M81" s="249">
        <f>N67</f>
        <v>5450640</v>
      </c>
      <c r="N81" s="256" t="s">
        <v>179</v>
      </c>
      <c r="O81" s="257" t="s">
        <v>228</v>
      </c>
    </row>
    <row r="82" spans="1:3" ht="13.5" thickBot="1">
      <c r="A82" s="117"/>
      <c r="B82" s="124"/>
      <c r="C82" s="117"/>
    </row>
    <row r="83" spans="1:14" ht="13.5" thickBot="1">
      <c r="A83" s="117"/>
      <c r="B83" s="251">
        <f>(SUM(B64:B82))*1000</f>
        <v>128660</v>
      </c>
      <c r="C83" s="117"/>
      <c r="M83" s="228">
        <f>100*(M79/M81)</f>
        <v>100</v>
      </c>
      <c r="N83" s="180" t="s">
        <v>193</v>
      </c>
    </row>
    <row r="84" spans="1:14" ht="12.75">
      <c r="A84" s="117"/>
      <c r="B84" s="137"/>
      <c r="C84" s="117"/>
      <c r="N84" s="264" t="s">
        <v>178</v>
      </c>
    </row>
    <row r="85" spans="1:14" ht="12.75">
      <c r="A85" s="117"/>
      <c r="B85" s="137"/>
      <c r="C85" s="117"/>
      <c r="N85" s="265" t="s">
        <v>180</v>
      </c>
    </row>
    <row r="86" spans="1:3" ht="13.5" thickBot="1">
      <c r="A86" s="117"/>
      <c r="B86" s="137"/>
      <c r="C86" s="117"/>
    </row>
    <row r="87" spans="1:14" ht="13.5" thickBot="1">
      <c r="A87" s="117"/>
      <c r="B87" s="137"/>
      <c r="C87" s="117"/>
      <c r="M87" s="228">
        <f>M81/(1000*S64)</f>
        <v>21.2915625</v>
      </c>
      <c r="N87" s="180" t="s">
        <v>230</v>
      </c>
    </row>
    <row r="88" spans="1:14" ht="12.75">
      <c r="A88" s="117"/>
      <c r="B88" s="137"/>
      <c r="C88" s="117"/>
      <c r="N88" s="169" t="s">
        <v>195</v>
      </c>
    </row>
    <row r="89" spans="1:3" ht="13.5" thickBot="1">
      <c r="A89" s="117"/>
      <c r="B89" s="137"/>
      <c r="C89" s="117"/>
    </row>
    <row r="90" spans="1:14" ht="13.5" thickBot="1">
      <c r="A90" s="117"/>
      <c r="B90" s="137"/>
      <c r="C90" s="117"/>
      <c r="M90" s="261">
        <f>M79</f>
        <v>5450640</v>
      </c>
      <c r="N90" s="260" t="s">
        <v>215</v>
      </c>
    </row>
    <row r="94" ht="12.75">
      <c r="A94" s="181" t="s">
        <v>184</v>
      </c>
    </row>
    <row r="95" ht="13.5" thickBot="1"/>
    <row r="96" spans="1:19" ht="13.5" thickBot="1">
      <c r="A96" s="53" t="s">
        <v>40</v>
      </c>
      <c r="B96" s="15" t="s">
        <v>0</v>
      </c>
      <c r="C96" s="16" t="s">
        <v>1</v>
      </c>
      <c r="D96" s="42" t="s">
        <v>2</v>
      </c>
      <c r="E96" s="142" t="s">
        <v>81</v>
      </c>
      <c r="F96" s="19" t="s">
        <v>4</v>
      </c>
      <c r="G96" s="20" t="s">
        <v>5</v>
      </c>
      <c r="H96" s="33" t="s">
        <v>6</v>
      </c>
      <c r="I96" s="109" t="s">
        <v>141</v>
      </c>
      <c r="J96" s="23" t="s">
        <v>8</v>
      </c>
      <c r="K96" s="24" t="s">
        <v>9</v>
      </c>
      <c r="L96" s="49" t="s">
        <v>14</v>
      </c>
      <c r="M96" s="1" t="s">
        <v>13</v>
      </c>
      <c r="N96" s="3" t="s">
        <v>11</v>
      </c>
      <c r="O96" s="50" t="s">
        <v>114</v>
      </c>
      <c r="P96" s="81" t="s">
        <v>113</v>
      </c>
      <c r="Q96" s="110" t="s">
        <v>142</v>
      </c>
      <c r="R96" s="111" t="s">
        <v>80</v>
      </c>
      <c r="S96" s="190" t="s">
        <v>196</v>
      </c>
    </row>
    <row r="97" spans="1:19" ht="13.5" thickBot="1">
      <c r="A97" s="250">
        <v>0</v>
      </c>
      <c r="B97" s="115">
        <v>17.04</v>
      </c>
      <c r="C97" s="116">
        <v>2.2</v>
      </c>
      <c r="D97" s="125">
        <v>0.56</v>
      </c>
      <c r="E97" s="119"/>
      <c r="F97" s="125">
        <v>8.32</v>
      </c>
      <c r="G97" s="115">
        <v>2.72</v>
      </c>
      <c r="H97" s="116">
        <v>9360</v>
      </c>
      <c r="I97" s="254">
        <f>420.28*1000</f>
        <v>420280</v>
      </c>
      <c r="J97" s="254">
        <f>766.52*1000</f>
        <v>766520</v>
      </c>
      <c r="K97" s="255">
        <f>3806.3*1000</f>
        <v>3806300</v>
      </c>
      <c r="L97" s="119">
        <v>0.9</v>
      </c>
      <c r="M97" s="132">
        <f>A97</f>
        <v>0</v>
      </c>
      <c r="N97" s="135">
        <f>O100</f>
        <v>6000</v>
      </c>
      <c r="O97" s="269">
        <v>2880</v>
      </c>
      <c r="P97" s="149">
        <v>0</v>
      </c>
      <c r="Q97" s="147">
        <v>0</v>
      </c>
      <c r="R97" s="121">
        <v>0</v>
      </c>
      <c r="S97" s="121">
        <v>213.75</v>
      </c>
    </row>
    <row r="98" spans="1:18" ht="13.5" thickBot="1">
      <c r="A98" s="117"/>
      <c r="B98" s="118">
        <v>12.52</v>
      </c>
      <c r="C98" s="119">
        <v>5.4</v>
      </c>
      <c r="D98" s="126">
        <v>2.26</v>
      </c>
      <c r="E98" s="123"/>
      <c r="F98" s="126">
        <v>9.72</v>
      </c>
      <c r="G98" s="133"/>
      <c r="H98" s="119"/>
      <c r="I98" s="117"/>
      <c r="J98" s="117"/>
      <c r="K98" s="117"/>
      <c r="L98" s="119">
        <v>5.28</v>
      </c>
      <c r="M98" s="126">
        <f>B116</f>
        <v>97320</v>
      </c>
      <c r="N98" s="118"/>
      <c r="O98" s="119">
        <v>3120</v>
      </c>
      <c r="P98" s="117"/>
      <c r="Q98" s="117"/>
      <c r="R98" s="117"/>
    </row>
    <row r="99" spans="1:18" ht="13.5" thickBot="1">
      <c r="A99" s="117"/>
      <c r="B99" s="118">
        <v>19.66</v>
      </c>
      <c r="C99" s="119"/>
      <c r="D99" s="126">
        <v>0.78</v>
      </c>
      <c r="E99" s="143"/>
      <c r="F99" s="130"/>
      <c r="G99" s="250">
        <f>G97*1000</f>
        <v>2720</v>
      </c>
      <c r="H99" s="119"/>
      <c r="I99" s="117"/>
      <c r="J99" s="117"/>
      <c r="K99" s="117"/>
      <c r="L99" s="119"/>
      <c r="M99" s="126">
        <f>D105</f>
        <v>30060</v>
      </c>
      <c r="N99" s="258">
        <f>M112</f>
        <v>5240340</v>
      </c>
      <c r="O99" s="120"/>
      <c r="P99" s="117"/>
      <c r="Q99" s="117"/>
      <c r="R99" s="117"/>
    </row>
    <row r="100" spans="1:18" ht="13.5" thickBot="1">
      <c r="A100" s="117"/>
      <c r="B100" s="118">
        <v>15.8</v>
      </c>
      <c r="C100" s="119"/>
      <c r="D100" s="119">
        <v>2.92</v>
      </c>
      <c r="E100" s="120"/>
      <c r="F100" s="252">
        <f>(SUM(F97:F99))*1000</f>
        <v>18040</v>
      </c>
      <c r="G100" s="117"/>
      <c r="H100" s="120"/>
      <c r="I100" s="293" t="s">
        <v>233</v>
      </c>
      <c r="J100" s="117"/>
      <c r="K100" s="117"/>
      <c r="L100" s="270"/>
      <c r="M100" s="119">
        <f>E101</f>
        <v>0</v>
      </c>
      <c r="N100" s="146">
        <f>N97+N98+N99</f>
        <v>5246340</v>
      </c>
      <c r="O100" s="144">
        <f>SUM(O97:O99)</f>
        <v>6000</v>
      </c>
      <c r="P100" s="117"/>
      <c r="Q100" s="117"/>
      <c r="R100" s="117"/>
    </row>
    <row r="101" spans="1:18" ht="13.5" thickBot="1">
      <c r="A101" s="117"/>
      <c r="B101" s="118">
        <v>19.62</v>
      </c>
      <c r="C101" s="119"/>
      <c r="D101" s="119">
        <v>3.58</v>
      </c>
      <c r="E101" s="252">
        <f>SUM(E97:E100)</f>
        <v>0</v>
      </c>
      <c r="F101" s="117"/>
      <c r="G101" s="117"/>
      <c r="H101" s="253">
        <f>SUM(H97:H100)</f>
        <v>9360</v>
      </c>
      <c r="I101" s="288">
        <v>3060</v>
      </c>
      <c r="J101" s="117"/>
      <c r="K101" s="117"/>
      <c r="L101" s="119"/>
      <c r="M101" s="119">
        <f>E110</f>
        <v>0</v>
      </c>
      <c r="N101" s="117"/>
      <c r="O101" s="117"/>
      <c r="P101" s="117"/>
      <c r="Q101" s="117"/>
      <c r="R101" s="117"/>
    </row>
    <row r="102" spans="1:18" ht="13.5" thickBot="1">
      <c r="A102" s="117"/>
      <c r="B102" s="119">
        <v>12.68</v>
      </c>
      <c r="C102" s="119"/>
      <c r="D102" s="119">
        <v>9.62</v>
      </c>
      <c r="E102" s="117"/>
      <c r="F102" s="117"/>
      <c r="G102" s="117"/>
      <c r="H102" s="117"/>
      <c r="I102" s="288">
        <v>24020</v>
      </c>
      <c r="J102" s="117"/>
      <c r="K102" s="117"/>
      <c r="L102" s="120"/>
      <c r="M102" s="119">
        <f>F100</f>
        <v>18040</v>
      </c>
      <c r="N102" s="117"/>
      <c r="O102" s="117"/>
      <c r="P102" s="117"/>
      <c r="Q102" s="117"/>
      <c r="R102" s="117"/>
    </row>
    <row r="103" spans="1:18" ht="13.5" thickBot="1">
      <c r="A103" s="117"/>
      <c r="B103" s="119"/>
      <c r="C103" s="119"/>
      <c r="D103" s="119">
        <v>10.34</v>
      </c>
      <c r="E103" s="259" t="s">
        <v>223</v>
      </c>
      <c r="F103" s="117"/>
      <c r="G103" s="117"/>
      <c r="H103" s="117"/>
      <c r="I103" s="288">
        <v>23900</v>
      </c>
      <c r="J103" s="117"/>
      <c r="K103" s="117"/>
      <c r="L103" s="231"/>
      <c r="M103" s="119">
        <f>G99</f>
        <v>2720</v>
      </c>
      <c r="N103" s="117"/>
      <c r="O103" s="117"/>
      <c r="P103" s="117"/>
      <c r="Q103" s="117"/>
      <c r="R103" s="117"/>
    </row>
    <row r="104" spans="1:18" ht="13.5" thickBot="1">
      <c r="A104" s="117"/>
      <c r="B104" s="119"/>
      <c r="C104" s="117"/>
      <c r="D104" s="5"/>
      <c r="E104" s="125"/>
      <c r="F104" s="117"/>
      <c r="G104" s="117"/>
      <c r="H104" s="117"/>
      <c r="I104" s="288">
        <v>24980</v>
      </c>
      <c r="J104" s="117"/>
      <c r="K104" s="117"/>
      <c r="L104" s="252">
        <f>(L97+L98+L99+L100+L101+L102+L103)*1000</f>
        <v>6180.000000000001</v>
      </c>
      <c r="M104" s="119">
        <f>H101</f>
        <v>9360</v>
      </c>
      <c r="N104" s="117"/>
      <c r="O104" s="117"/>
      <c r="P104" s="117"/>
      <c r="Q104" s="117"/>
      <c r="R104" s="117"/>
    </row>
    <row r="105" spans="1:18" ht="13.5" thickBot="1">
      <c r="A105" s="117"/>
      <c r="B105" s="119"/>
      <c r="C105" s="250">
        <f>(C97+C98+C99+C100+C101+C102+C103)*1000</f>
        <v>7600.000000000001</v>
      </c>
      <c r="D105" s="252">
        <f>(SUM(D97:D104))*1000</f>
        <v>30060</v>
      </c>
      <c r="E105" s="119"/>
      <c r="F105" s="117"/>
      <c r="G105" s="117"/>
      <c r="H105" s="117"/>
      <c r="I105" s="288"/>
      <c r="J105" s="117"/>
      <c r="K105" s="117"/>
      <c r="L105" s="117"/>
      <c r="M105" s="119">
        <f>I97+I107</f>
        <v>496240</v>
      </c>
      <c r="N105" s="117"/>
      <c r="O105" s="137"/>
      <c r="P105" s="137"/>
      <c r="Q105" s="117"/>
      <c r="R105" s="117"/>
    </row>
    <row r="106" spans="1:18" ht="12.75">
      <c r="A106" s="117"/>
      <c r="B106" s="119"/>
      <c r="C106" s="117"/>
      <c r="D106" s="164">
        <f>D105/2</f>
        <v>15030</v>
      </c>
      <c r="E106" s="119"/>
      <c r="F106" s="117"/>
      <c r="G106" s="117"/>
      <c r="H106" s="117"/>
      <c r="I106" s="288"/>
      <c r="J106" s="117"/>
      <c r="K106" s="117"/>
      <c r="L106" s="117"/>
      <c r="M106" s="123">
        <f>J97</f>
        <v>766520</v>
      </c>
      <c r="N106" s="117"/>
      <c r="O106" s="137"/>
      <c r="P106" s="137"/>
      <c r="Q106" s="117"/>
      <c r="R106" s="117"/>
    </row>
    <row r="107" spans="1:18" ht="13.5" thickBot="1">
      <c r="A107" s="117"/>
      <c r="B107" s="119"/>
      <c r="C107" s="117"/>
      <c r="E107" s="124"/>
      <c r="F107" s="117"/>
      <c r="G107" s="117"/>
      <c r="H107" s="117"/>
      <c r="I107" s="291">
        <f>SUM(I101:I106)</f>
        <v>75960</v>
      </c>
      <c r="J107" s="117"/>
      <c r="K107" s="117"/>
      <c r="L107" s="117"/>
      <c r="M107" s="123">
        <f>K97</f>
        <v>3806300</v>
      </c>
      <c r="N107" s="117"/>
      <c r="O107" s="137"/>
      <c r="P107" s="137"/>
      <c r="Q107" s="117"/>
      <c r="R107" s="117"/>
    </row>
    <row r="108" spans="1:18" ht="13.5" thickBot="1">
      <c r="A108" s="117"/>
      <c r="B108" s="119"/>
      <c r="C108" s="117"/>
      <c r="E108" s="121"/>
      <c r="F108" s="117"/>
      <c r="M108" s="119">
        <f>L104</f>
        <v>6180.000000000001</v>
      </c>
      <c r="O108" s="117"/>
      <c r="P108" s="117"/>
      <c r="Q108" s="117"/>
      <c r="R108" s="117"/>
    </row>
    <row r="109" spans="1:18" ht="13.5" thickBot="1">
      <c r="A109" s="117"/>
      <c r="B109" s="119"/>
      <c r="C109" s="117"/>
      <c r="E109" s="123"/>
      <c r="F109" s="28"/>
      <c r="M109" s="119">
        <f>C105</f>
        <v>7600.000000000001</v>
      </c>
      <c r="O109" s="117"/>
      <c r="P109" s="117"/>
      <c r="Q109" s="117"/>
      <c r="R109" s="117"/>
    </row>
    <row r="110" spans="1:18" ht="13.5" thickBot="1">
      <c r="A110" s="117"/>
      <c r="B110" s="123"/>
      <c r="C110" s="117"/>
      <c r="E110" s="252">
        <f>SUM(E104:E109)</f>
        <v>0</v>
      </c>
      <c r="M110" s="119">
        <f>Q97</f>
        <v>0</v>
      </c>
      <c r="O110" s="117"/>
      <c r="P110" s="117"/>
      <c r="Q110" s="117"/>
      <c r="R110" s="117"/>
    </row>
    <row r="111" spans="1:13" ht="13.5" thickBot="1">
      <c r="A111" s="117"/>
      <c r="B111" s="123"/>
      <c r="C111" s="117"/>
      <c r="F111" s="92"/>
      <c r="M111" s="120">
        <f>R97</f>
        <v>0</v>
      </c>
    </row>
    <row r="112" spans="1:15" ht="13.5" thickBot="1">
      <c r="A112" s="117"/>
      <c r="B112" s="123"/>
      <c r="C112" s="117"/>
      <c r="E112" s="247"/>
      <c r="M112" s="252">
        <f>SUM(M97:M111)</f>
        <v>5240340</v>
      </c>
      <c r="N112" s="262" t="s">
        <v>177</v>
      </c>
      <c r="O112" s="263" t="s">
        <v>227</v>
      </c>
    </row>
    <row r="113" spans="1:3" ht="13.5" thickBot="1">
      <c r="A113" s="117"/>
      <c r="B113" s="123"/>
      <c r="C113" s="117"/>
    </row>
    <row r="114" spans="1:15" ht="13.5" thickBot="1">
      <c r="A114" s="117"/>
      <c r="B114" s="123"/>
      <c r="C114" s="117"/>
      <c r="M114" s="249">
        <f>N100</f>
        <v>5246340</v>
      </c>
      <c r="N114" s="256" t="s">
        <v>179</v>
      </c>
      <c r="O114" s="257" t="s">
        <v>228</v>
      </c>
    </row>
    <row r="115" spans="1:3" ht="13.5" thickBot="1">
      <c r="A115" s="117"/>
      <c r="B115" s="124"/>
      <c r="C115" s="117"/>
    </row>
    <row r="116" spans="1:14" ht="13.5" thickBot="1">
      <c r="A116" s="117"/>
      <c r="B116" s="251">
        <f>(SUM(B97:B115))*1000</f>
        <v>97320</v>
      </c>
      <c r="C116" s="117"/>
      <c r="M116" s="228">
        <f>100*(M112/M114)</f>
        <v>99.88563455666237</v>
      </c>
      <c r="N116" s="180" t="s">
        <v>193</v>
      </c>
    </row>
    <row r="117" spans="1:14" ht="12.75">
      <c r="A117" s="117"/>
      <c r="B117" s="137"/>
      <c r="C117" s="117"/>
      <c r="N117" s="264" t="s">
        <v>178</v>
      </c>
    </row>
    <row r="118" spans="1:14" ht="12.75">
      <c r="A118" s="117"/>
      <c r="B118" s="137"/>
      <c r="C118" s="117"/>
      <c r="N118" s="265" t="s">
        <v>180</v>
      </c>
    </row>
    <row r="119" spans="1:3" ht="13.5" thickBot="1">
      <c r="A119" s="117"/>
      <c r="B119" s="137"/>
      <c r="C119" s="117"/>
    </row>
    <row r="120" spans="1:14" ht="13.5" thickBot="1">
      <c r="A120" s="117"/>
      <c r="B120" s="137"/>
      <c r="C120" s="117"/>
      <c r="M120" s="228">
        <f>M114/(1000*S97)</f>
        <v>24.544280701754385</v>
      </c>
      <c r="N120" s="180" t="s">
        <v>230</v>
      </c>
    </row>
    <row r="121" spans="1:14" ht="12.75">
      <c r="A121" s="117"/>
      <c r="B121" s="137"/>
      <c r="C121" s="117"/>
      <c r="N121" s="169" t="s">
        <v>195</v>
      </c>
    </row>
    <row r="122" spans="1:3" ht="13.5" thickBot="1">
      <c r="A122" s="117"/>
      <c r="B122" s="137"/>
      <c r="C122" s="117"/>
    </row>
    <row r="123" spans="1:14" ht="13.5" thickBot="1">
      <c r="A123" s="117"/>
      <c r="B123" s="137"/>
      <c r="C123" s="117"/>
      <c r="M123" s="261">
        <f>M112</f>
        <v>5240340</v>
      </c>
      <c r="N123" s="260" t="s">
        <v>215</v>
      </c>
    </row>
    <row r="128" ht="12.75">
      <c r="A128" s="181" t="s">
        <v>185</v>
      </c>
    </row>
    <row r="129" ht="13.5" thickBot="1"/>
    <row r="130" spans="1:19" ht="13.5" thickBot="1">
      <c r="A130" s="53" t="s">
        <v>40</v>
      </c>
      <c r="B130" s="15" t="s">
        <v>0</v>
      </c>
      <c r="C130" s="16" t="s">
        <v>1</v>
      </c>
      <c r="D130" s="42" t="s">
        <v>2</v>
      </c>
      <c r="E130" s="142" t="s">
        <v>81</v>
      </c>
      <c r="F130" s="19" t="s">
        <v>4</v>
      </c>
      <c r="G130" s="20" t="s">
        <v>5</v>
      </c>
      <c r="H130" s="33" t="s">
        <v>6</v>
      </c>
      <c r="I130" s="109" t="s">
        <v>141</v>
      </c>
      <c r="J130" s="23" t="s">
        <v>8</v>
      </c>
      <c r="K130" s="24" t="s">
        <v>9</v>
      </c>
      <c r="L130" s="49" t="s">
        <v>14</v>
      </c>
      <c r="M130" s="1" t="s">
        <v>13</v>
      </c>
      <c r="N130" s="3" t="s">
        <v>11</v>
      </c>
      <c r="O130" s="50" t="s">
        <v>114</v>
      </c>
      <c r="P130" s="81" t="s">
        <v>113</v>
      </c>
      <c r="Q130" s="110" t="s">
        <v>142</v>
      </c>
      <c r="R130" s="111" t="s">
        <v>80</v>
      </c>
      <c r="S130" s="190" t="s">
        <v>196</v>
      </c>
    </row>
    <row r="131" spans="1:19" ht="13.5" thickBot="1">
      <c r="A131" s="250">
        <v>0</v>
      </c>
      <c r="B131" s="115">
        <v>20.4</v>
      </c>
      <c r="C131" s="116">
        <v>3180</v>
      </c>
      <c r="D131" s="125">
        <v>9.48</v>
      </c>
      <c r="E131" s="119">
        <v>1500</v>
      </c>
      <c r="F131" s="125">
        <v>8.74</v>
      </c>
      <c r="G131" s="115">
        <v>2.54</v>
      </c>
      <c r="H131" s="116">
        <v>7660</v>
      </c>
      <c r="I131" s="254">
        <v>5436160</v>
      </c>
      <c r="J131" s="254">
        <v>768300</v>
      </c>
      <c r="K131" s="255">
        <v>4130020</v>
      </c>
      <c r="L131" s="119">
        <v>4.88</v>
      </c>
      <c r="M131" s="132">
        <f>A131</f>
        <v>0</v>
      </c>
      <c r="N131" s="135">
        <f>O134</f>
        <v>4360</v>
      </c>
      <c r="O131" s="305">
        <v>1860</v>
      </c>
      <c r="P131" s="149">
        <v>0</v>
      </c>
      <c r="Q131" s="147">
        <v>0</v>
      </c>
      <c r="R131" s="121">
        <v>0</v>
      </c>
      <c r="S131" s="121"/>
    </row>
    <row r="132" spans="1:18" ht="13.5" thickBot="1">
      <c r="A132" s="117"/>
      <c r="B132" s="118">
        <v>14.16</v>
      </c>
      <c r="C132" s="119"/>
      <c r="D132" s="126">
        <v>2.38</v>
      </c>
      <c r="E132" s="123">
        <v>4320</v>
      </c>
      <c r="F132" s="126">
        <v>8.6</v>
      </c>
      <c r="G132" s="133">
        <v>2.4</v>
      </c>
      <c r="H132" s="119"/>
      <c r="I132" s="117"/>
      <c r="J132" s="117"/>
      <c r="K132" s="117"/>
      <c r="L132" s="119">
        <v>4.16</v>
      </c>
      <c r="M132" s="126">
        <f>B150</f>
        <v>123780</v>
      </c>
      <c r="N132" s="118"/>
      <c r="O132" s="119">
        <v>500</v>
      </c>
      <c r="P132" s="117"/>
      <c r="Q132" s="117"/>
      <c r="R132" s="117"/>
    </row>
    <row r="133" spans="1:18" ht="13.5" thickBot="1">
      <c r="A133" s="117"/>
      <c r="B133" s="118">
        <v>19.02</v>
      </c>
      <c r="C133" s="119"/>
      <c r="D133" s="126">
        <v>2.4</v>
      </c>
      <c r="E133" s="143">
        <v>2440</v>
      </c>
      <c r="F133" s="130">
        <f>10.06+5.92</f>
        <v>15.98</v>
      </c>
      <c r="G133" s="250">
        <f>G131*1000</f>
        <v>2540</v>
      </c>
      <c r="H133" s="119"/>
      <c r="I133" s="117"/>
      <c r="J133" s="117"/>
      <c r="K133" s="117"/>
      <c r="L133" s="119">
        <v>3.46</v>
      </c>
      <c r="M133" s="126">
        <f>D139</f>
        <v>14260</v>
      </c>
      <c r="N133" s="258">
        <f>M146</f>
        <v>10539980</v>
      </c>
      <c r="O133" s="120">
        <v>2000</v>
      </c>
      <c r="P133" s="117"/>
      <c r="Q133" s="117"/>
      <c r="R133" s="117"/>
    </row>
    <row r="134" spans="1:18" ht="13.5" thickBot="1">
      <c r="A134" s="117"/>
      <c r="B134" s="118">
        <v>15.24</v>
      </c>
      <c r="C134" s="119"/>
      <c r="D134" s="119"/>
      <c r="E134" s="120"/>
      <c r="F134" s="252">
        <f>(SUM(F131:F133))*1000</f>
        <v>33320</v>
      </c>
      <c r="G134" s="117"/>
      <c r="H134" s="120"/>
      <c r="I134" s="117"/>
      <c r="J134" s="117"/>
      <c r="K134" s="117"/>
      <c r="L134" s="270"/>
      <c r="M134" s="119">
        <f>E135</f>
        <v>8260</v>
      </c>
      <c r="N134" s="146">
        <f>N131+N132+N133</f>
        <v>10544340</v>
      </c>
      <c r="O134" s="144">
        <f>SUM(O131:O133)</f>
        <v>4360</v>
      </c>
      <c r="P134" s="117"/>
      <c r="Q134" s="117"/>
      <c r="R134" s="117"/>
    </row>
    <row r="135" spans="1:18" ht="13.5" thickBot="1">
      <c r="A135" s="117"/>
      <c r="B135" s="118">
        <v>19.9</v>
      </c>
      <c r="C135" s="119"/>
      <c r="D135" s="119"/>
      <c r="E135" s="252">
        <f>SUM(E131:E134)</f>
        <v>8260</v>
      </c>
      <c r="F135" s="117"/>
      <c r="G135" s="117"/>
      <c r="H135" s="253">
        <f>SUM(H131:H134)</f>
        <v>7660</v>
      </c>
      <c r="I135" s="117"/>
      <c r="J135" s="117"/>
      <c r="K135" s="117"/>
      <c r="L135" s="119"/>
      <c r="M135" s="119">
        <f>E144</f>
        <v>0</v>
      </c>
      <c r="N135" s="117"/>
      <c r="O135" s="117"/>
      <c r="P135" s="117"/>
      <c r="Q135" s="117"/>
      <c r="R135" s="117"/>
    </row>
    <row r="136" spans="1:18" ht="13.5" thickBot="1">
      <c r="A136" s="117"/>
      <c r="B136" s="119">
        <v>15.76</v>
      </c>
      <c r="C136" s="119"/>
      <c r="D136" s="119"/>
      <c r="E136" s="117"/>
      <c r="F136" s="117"/>
      <c r="G136" s="117"/>
      <c r="H136" s="117"/>
      <c r="I136" s="117"/>
      <c r="J136" s="117"/>
      <c r="K136" s="117"/>
      <c r="L136" s="120"/>
      <c r="M136" s="119">
        <f>F134</f>
        <v>33320</v>
      </c>
      <c r="N136" s="117"/>
      <c r="O136" s="117"/>
      <c r="P136" s="117"/>
      <c r="Q136" s="117"/>
      <c r="R136" s="117"/>
    </row>
    <row r="137" spans="1:18" ht="13.5" thickBot="1">
      <c r="A137" s="117"/>
      <c r="B137" s="119">
        <v>19.3</v>
      </c>
      <c r="C137" s="119"/>
      <c r="D137" s="119"/>
      <c r="E137" s="259" t="s">
        <v>223</v>
      </c>
      <c r="F137" s="117"/>
      <c r="G137" s="117"/>
      <c r="H137" s="117"/>
      <c r="I137" s="117"/>
      <c r="J137" s="117"/>
      <c r="K137" s="117"/>
      <c r="L137" s="231"/>
      <c r="M137" s="119">
        <f>G133</f>
        <v>2540</v>
      </c>
      <c r="N137" s="117"/>
      <c r="O137" s="117"/>
      <c r="P137" s="117"/>
      <c r="Q137" s="117"/>
      <c r="R137" s="117"/>
    </row>
    <row r="138" spans="1:18" ht="13.5" thickBot="1">
      <c r="A138" s="117"/>
      <c r="B138" s="119"/>
      <c r="C138" s="117"/>
      <c r="D138" s="5"/>
      <c r="E138" s="125"/>
      <c r="F138" s="117"/>
      <c r="G138" s="117"/>
      <c r="H138" s="117"/>
      <c r="I138" s="117"/>
      <c r="J138" s="117"/>
      <c r="K138" s="117"/>
      <c r="L138" s="252">
        <f>(L131+L132+L133+L134+L135+L136+L137)*1000</f>
        <v>12500</v>
      </c>
      <c r="M138" s="119">
        <f>H135</f>
        <v>7660</v>
      </c>
      <c r="N138" s="117"/>
      <c r="O138" s="117"/>
      <c r="P138" s="117"/>
      <c r="Q138" s="117"/>
      <c r="R138" s="117"/>
    </row>
    <row r="139" spans="1:18" ht="13.5" thickBot="1">
      <c r="A139" s="117"/>
      <c r="B139" s="119"/>
      <c r="C139" s="250">
        <f>C131</f>
        <v>3180</v>
      </c>
      <c r="D139" s="252">
        <f>(SUM(D131:D138))*1000</f>
        <v>14260</v>
      </c>
      <c r="E139" s="119"/>
      <c r="F139" s="117"/>
      <c r="G139" s="117"/>
      <c r="H139" s="117"/>
      <c r="I139" s="117"/>
      <c r="J139" s="117"/>
      <c r="K139" s="117"/>
      <c r="L139" s="117"/>
      <c r="M139" s="119">
        <f>I131</f>
        <v>5436160</v>
      </c>
      <c r="N139" s="117"/>
      <c r="O139" s="137"/>
      <c r="P139" s="137"/>
      <c r="Q139" s="117"/>
      <c r="R139" s="117"/>
    </row>
    <row r="140" spans="1:18" ht="12.75">
      <c r="A140" s="117"/>
      <c r="B140" s="119"/>
      <c r="C140" s="117"/>
      <c r="D140" s="164">
        <f>D139/2</f>
        <v>7130</v>
      </c>
      <c r="E140" s="119"/>
      <c r="F140" s="117"/>
      <c r="G140" s="117"/>
      <c r="H140" s="117"/>
      <c r="I140" s="117"/>
      <c r="J140" s="117"/>
      <c r="K140" s="117"/>
      <c r="L140" s="117"/>
      <c r="M140" s="123">
        <f>J131</f>
        <v>768300</v>
      </c>
      <c r="N140" s="117"/>
      <c r="O140" s="137"/>
      <c r="P140" s="137"/>
      <c r="Q140" s="117"/>
      <c r="R140" s="117"/>
    </row>
    <row r="141" spans="1:18" ht="13.5" thickBot="1">
      <c r="A141" s="117"/>
      <c r="B141" s="119"/>
      <c r="C141" s="117"/>
      <c r="E141" s="124"/>
      <c r="F141" s="117"/>
      <c r="G141" s="117"/>
      <c r="H141" s="117"/>
      <c r="I141" s="117"/>
      <c r="J141" s="117"/>
      <c r="K141" s="117"/>
      <c r="L141" s="117"/>
      <c r="M141" s="123">
        <f>K131</f>
        <v>4130020</v>
      </c>
      <c r="N141" s="117"/>
      <c r="O141" s="137"/>
      <c r="P141" s="137"/>
      <c r="Q141" s="117"/>
      <c r="R141" s="117"/>
    </row>
    <row r="142" spans="1:18" ht="13.5" thickBot="1">
      <c r="A142" s="117"/>
      <c r="B142" s="119"/>
      <c r="C142" s="117"/>
      <c r="E142" s="121"/>
      <c r="F142" s="117"/>
      <c r="M142" s="119">
        <f>L138</f>
        <v>12500</v>
      </c>
      <c r="O142" s="117"/>
      <c r="P142" s="117"/>
      <c r="Q142" s="117"/>
      <c r="R142" s="117"/>
    </row>
    <row r="143" spans="1:18" ht="13.5" thickBot="1">
      <c r="A143" s="117"/>
      <c r="B143" s="119"/>
      <c r="C143" s="117"/>
      <c r="E143" s="123"/>
      <c r="F143" s="28"/>
      <c r="M143" s="119">
        <f>C139</f>
        <v>3180</v>
      </c>
      <c r="O143" s="117"/>
      <c r="P143" s="117"/>
      <c r="Q143" s="117"/>
      <c r="R143" s="117"/>
    </row>
    <row r="144" spans="1:18" ht="13.5" thickBot="1">
      <c r="A144" s="117"/>
      <c r="B144" s="123"/>
      <c r="C144" s="117"/>
      <c r="E144" s="252">
        <f>SUM(E138:E143)</f>
        <v>0</v>
      </c>
      <c r="M144" s="119">
        <f>Q131</f>
        <v>0</v>
      </c>
      <c r="O144" s="117"/>
      <c r="P144" s="117"/>
      <c r="Q144" s="117"/>
      <c r="R144" s="117"/>
    </row>
    <row r="145" spans="1:13" ht="13.5" thickBot="1">
      <c r="A145" s="117"/>
      <c r="B145" s="123"/>
      <c r="C145" s="117"/>
      <c r="F145" s="92"/>
      <c r="M145" s="120">
        <f>R131</f>
        <v>0</v>
      </c>
    </row>
    <row r="146" spans="1:15" ht="13.5" thickBot="1">
      <c r="A146" s="117"/>
      <c r="B146" s="123"/>
      <c r="C146" s="117"/>
      <c r="E146" s="247"/>
      <c r="M146" s="252">
        <f>SUM(M131:M145)</f>
        <v>10539980</v>
      </c>
      <c r="N146" s="262" t="s">
        <v>177</v>
      </c>
      <c r="O146" s="263" t="s">
        <v>227</v>
      </c>
    </row>
    <row r="147" spans="1:3" ht="13.5" thickBot="1">
      <c r="A147" s="117"/>
      <c r="B147" s="123"/>
      <c r="C147" s="117"/>
    </row>
    <row r="148" spans="1:15" ht="13.5" thickBot="1">
      <c r="A148" s="117"/>
      <c r="B148" s="123"/>
      <c r="C148" s="117"/>
      <c r="M148" s="249">
        <f>N134</f>
        <v>10544340</v>
      </c>
      <c r="N148" s="256" t="s">
        <v>179</v>
      </c>
      <c r="O148" s="257" t="s">
        <v>228</v>
      </c>
    </row>
    <row r="149" spans="1:3" ht="13.5" thickBot="1">
      <c r="A149" s="117"/>
      <c r="B149" s="124"/>
      <c r="C149" s="117"/>
    </row>
    <row r="150" spans="1:14" ht="13.5" thickBot="1">
      <c r="A150" s="117"/>
      <c r="B150" s="251">
        <f>(SUM(B131:B149))*1000</f>
        <v>123780</v>
      </c>
      <c r="C150" s="117"/>
      <c r="M150" s="228">
        <f>100*(M146/M148)</f>
        <v>99.95865080223135</v>
      </c>
      <c r="N150" s="180" t="s">
        <v>193</v>
      </c>
    </row>
    <row r="151" spans="1:14" ht="12.75">
      <c r="A151" s="117"/>
      <c r="B151" s="137"/>
      <c r="C151" s="117"/>
      <c r="N151" s="264" t="s">
        <v>178</v>
      </c>
    </row>
    <row r="152" spans="1:14" ht="12.75">
      <c r="A152" s="117"/>
      <c r="B152" s="137"/>
      <c r="C152" s="117"/>
      <c r="N152" s="265" t="s">
        <v>180</v>
      </c>
    </row>
    <row r="153" spans="1:3" ht="13.5" thickBot="1">
      <c r="A153" s="117"/>
      <c r="B153" s="137"/>
      <c r="C153" s="117"/>
    </row>
    <row r="154" spans="1:14" ht="13.5" thickBot="1">
      <c r="A154" s="117"/>
      <c r="B154" s="137"/>
      <c r="C154" s="117"/>
      <c r="M154" s="228" t="e">
        <f>M148/(1000*S131)</f>
        <v>#DIV/0!</v>
      </c>
      <c r="N154" s="180" t="s">
        <v>230</v>
      </c>
    </row>
    <row r="155" spans="1:14" ht="12.75">
      <c r="A155" s="117"/>
      <c r="B155" s="137"/>
      <c r="C155" s="117"/>
      <c r="N155" s="169" t="s">
        <v>195</v>
      </c>
    </row>
    <row r="156" spans="1:3" ht="13.5" thickBot="1">
      <c r="A156" s="117"/>
      <c r="B156" s="137"/>
      <c r="C156" s="117"/>
    </row>
    <row r="157" spans="1:14" ht="13.5" thickBot="1">
      <c r="A157" s="117"/>
      <c r="B157" s="137"/>
      <c r="C157" s="117"/>
      <c r="M157" s="261">
        <f>M146</f>
        <v>10539980</v>
      </c>
      <c r="N157" s="260" t="s">
        <v>215</v>
      </c>
    </row>
    <row r="161" ht="12.75">
      <c r="A161" s="181" t="s">
        <v>186</v>
      </c>
    </row>
    <row r="162" ht="13.5" thickBot="1"/>
    <row r="163" spans="1:19" ht="13.5" thickBot="1">
      <c r="A163" s="53" t="s">
        <v>40</v>
      </c>
      <c r="B163" s="15" t="s">
        <v>0</v>
      </c>
      <c r="C163" s="16" t="s">
        <v>1</v>
      </c>
      <c r="D163" s="42" t="s">
        <v>2</v>
      </c>
      <c r="E163" s="142" t="s">
        <v>81</v>
      </c>
      <c r="F163" s="19" t="s">
        <v>4</v>
      </c>
      <c r="G163" s="20" t="s">
        <v>5</v>
      </c>
      <c r="H163" s="33" t="s">
        <v>6</v>
      </c>
      <c r="I163" s="109" t="s">
        <v>141</v>
      </c>
      <c r="J163" s="23" t="s">
        <v>8</v>
      </c>
      <c r="K163" s="24" t="s">
        <v>9</v>
      </c>
      <c r="L163" s="49" t="s">
        <v>14</v>
      </c>
      <c r="M163" s="1" t="s">
        <v>13</v>
      </c>
      <c r="N163" s="3" t="s">
        <v>11</v>
      </c>
      <c r="O163" s="50" t="s">
        <v>114</v>
      </c>
      <c r="P163" s="81" t="s">
        <v>113</v>
      </c>
      <c r="Q163" s="110" t="s">
        <v>142</v>
      </c>
      <c r="R163" s="111" t="s">
        <v>80</v>
      </c>
      <c r="S163" s="190" t="s">
        <v>196</v>
      </c>
    </row>
    <row r="164" spans="1:19" ht="13.5" thickBot="1">
      <c r="A164" s="250">
        <v>0</v>
      </c>
      <c r="B164" s="115"/>
      <c r="C164" s="116"/>
      <c r="D164" s="125"/>
      <c r="E164" s="119"/>
      <c r="F164" s="125"/>
      <c r="G164" s="115"/>
      <c r="H164" s="116"/>
      <c r="I164" s="254"/>
      <c r="J164" s="254"/>
      <c r="K164" s="255"/>
      <c r="L164" s="119"/>
      <c r="M164" s="132">
        <f>A164</f>
        <v>0</v>
      </c>
      <c r="N164" s="135">
        <f>O167</f>
        <v>0</v>
      </c>
      <c r="O164" s="269">
        <v>0</v>
      </c>
      <c r="P164" s="149">
        <v>0</v>
      </c>
      <c r="Q164" s="147">
        <v>0</v>
      </c>
      <c r="R164" s="121">
        <v>0</v>
      </c>
      <c r="S164" s="121"/>
    </row>
    <row r="165" spans="1:18" ht="13.5" thickBot="1">
      <c r="A165" s="117"/>
      <c r="B165" s="118"/>
      <c r="C165" s="119"/>
      <c r="D165" s="126"/>
      <c r="E165" s="123"/>
      <c r="F165" s="126"/>
      <c r="G165" s="133"/>
      <c r="H165" s="119"/>
      <c r="I165" s="117"/>
      <c r="J165" s="117"/>
      <c r="K165" s="117"/>
      <c r="L165" s="119"/>
      <c r="M165" s="126">
        <f>B183</f>
        <v>0</v>
      </c>
      <c r="N165" s="118"/>
      <c r="O165" s="119"/>
      <c r="P165" s="117"/>
      <c r="Q165" s="117"/>
      <c r="R165" s="117"/>
    </row>
    <row r="166" spans="1:18" ht="13.5" thickBot="1">
      <c r="A166" s="117"/>
      <c r="B166" s="118"/>
      <c r="C166" s="119"/>
      <c r="D166" s="126"/>
      <c r="E166" s="143"/>
      <c r="F166" s="130"/>
      <c r="G166" s="250">
        <f>G164</f>
        <v>0</v>
      </c>
      <c r="H166" s="119"/>
      <c r="I166" s="117"/>
      <c r="J166" s="117"/>
      <c r="K166" s="117"/>
      <c r="L166" s="119"/>
      <c r="M166" s="126">
        <f>D172</f>
        <v>0</v>
      </c>
      <c r="N166" s="258">
        <f>M179</f>
        <v>0</v>
      </c>
      <c r="O166" s="120"/>
      <c r="P166" s="117"/>
      <c r="Q166" s="117"/>
      <c r="R166" s="117"/>
    </row>
    <row r="167" spans="1:18" ht="13.5" thickBot="1">
      <c r="A167" s="117"/>
      <c r="B167" s="118"/>
      <c r="C167" s="119"/>
      <c r="D167" s="119"/>
      <c r="E167" s="120"/>
      <c r="F167" s="252">
        <f>SUM(F164:F166)</f>
        <v>0</v>
      </c>
      <c r="G167" s="117"/>
      <c r="H167" s="120"/>
      <c r="I167" s="117"/>
      <c r="J167" s="117"/>
      <c r="K167" s="117"/>
      <c r="L167" s="270"/>
      <c r="M167" s="119">
        <f>E168</f>
        <v>0</v>
      </c>
      <c r="N167" s="146">
        <f>N164+N165+N166</f>
        <v>0</v>
      </c>
      <c r="O167" s="144">
        <f>SUM(O164:O166)</f>
        <v>0</v>
      </c>
      <c r="P167" s="117"/>
      <c r="Q167" s="117"/>
      <c r="R167" s="117"/>
    </row>
    <row r="168" spans="1:18" ht="13.5" thickBot="1">
      <c r="A168" s="117"/>
      <c r="B168" s="118"/>
      <c r="C168" s="119"/>
      <c r="D168" s="119"/>
      <c r="E168" s="252">
        <f>SUM(E164:E167)</f>
        <v>0</v>
      </c>
      <c r="F168" s="117"/>
      <c r="G168" s="117"/>
      <c r="H168" s="253">
        <f>SUM(H164:H167)</f>
        <v>0</v>
      </c>
      <c r="I168" s="117"/>
      <c r="J168" s="117"/>
      <c r="K168" s="117"/>
      <c r="L168" s="119"/>
      <c r="M168" s="119">
        <f>E177</f>
        <v>0</v>
      </c>
      <c r="N168" s="117"/>
      <c r="O168" s="117"/>
      <c r="P168" s="117"/>
      <c r="Q168" s="117"/>
      <c r="R168" s="117"/>
    </row>
    <row r="169" spans="1:18" ht="13.5" thickBot="1">
      <c r="A169" s="117"/>
      <c r="B169" s="119"/>
      <c r="C169" s="119"/>
      <c r="D169" s="119"/>
      <c r="E169" s="117"/>
      <c r="F169" s="117"/>
      <c r="G169" s="117"/>
      <c r="H169" s="117"/>
      <c r="I169" s="117"/>
      <c r="J169" s="117"/>
      <c r="K169" s="117"/>
      <c r="L169" s="120"/>
      <c r="M169" s="119">
        <f>F167</f>
        <v>0</v>
      </c>
      <c r="N169" s="117"/>
      <c r="O169" s="117"/>
      <c r="P169" s="117"/>
      <c r="Q169" s="117"/>
      <c r="R169" s="117"/>
    </row>
    <row r="170" spans="1:18" ht="13.5" thickBot="1">
      <c r="A170" s="117"/>
      <c r="B170" s="119"/>
      <c r="C170" s="119"/>
      <c r="D170" s="119"/>
      <c r="E170" s="259" t="s">
        <v>223</v>
      </c>
      <c r="F170" s="117"/>
      <c r="G170" s="117"/>
      <c r="H170" s="117"/>
      <c r="I170" s="117"/>
      <c r="J170" s="117"/>
      <c r="K170" s="117"/>
      <c r="L170" s="231"/>
      <c r="M170" s="119">
        <f>G166</f>
        <v>0</v>
      </c>
      <c r="N170" s="117"/>
      <c r="O170" s="117"/>
      <c r="P170" s="117"/>
      <c r="Q170" s="117"/>
      <c r="R170" s="117"/>
    </row>
    <row r="171" spans="1:18" ht="13.5" thickBot="1">
      <c r="A171" s="117"/>
      <c r="B171" s="119"/>
      <c r="C171" s="117"/>
      <c r="D171" s="5"/>
      <c r="E171" s="125"/>
      <c r="F171" s="117"/>
      <c r="G171" s="117"/>
      <c r="H171" s="117"/>
      <c r="I171" s="117"/>
      <c r="J171" s="117"/>
      <c r="K171" s="117"/>
      <c r="L171" s="252">
        <f>L164+L165+L166+L167+L168+L169+L170</f>
        <v>0</v>
      </c>
      <c r="M171" s="119">
        <f>H168</f>
        <v>0</v>
      </c>
      <c r="N171" s="117"/>
      <c r="O171" s="117"/>
      <c r="P171" s="117"/>
      <c r="Q171" s="117"/>
      <c r="R171" s="117"/>
    </row>
    <row r="172" spans="1:18" ht="13.5" thickBot="1">
      <c r="A172" s="117"/>
      <c r="B172" s="119"/>
      <c r="C172" s="250">
        <f>C164+C165+C166+C167+C168+C169+C170</f>
        <v>0</v>
      </c>
      <c r="D172" s="252">
        <f>SUM(D164:D171)</f>
        <v>0</v>
      </c>
      <c r="E172" s="119"/>
      <c r="F172" s="117"/>
      <c r="G172" s="117"/>
      <c r="H172" s="117"/>
      <c r="I172" s="117"/>
      <c r="J172" s="117"/>
      <c r="K172" s="117"/>
      <c r="L172" s="117"/>
      <c r="M172" s="119">
        <f>I164</f>
        <v>0</v>
      </c>
      <c r="N172" s="117"/>
      <c r="O172" s="137"/>
      <c r="P172" s="137"/>
      <c r="Q172" s="117"/>
      <c r="R172" s="117"/>
    </row>
    <row r="173" spans="1:18" ht="12.75">
      <c r="A173" s="117"/>
      <c r="B173" s="119"/>
      <c r="C173" s="117"/>
      <c r="D173" s="164">
        <f>D172/2</f>
        <v>0</v>
      </c>
      <c r="E173" s="119"/>
      <c r="F173" s="117"/>
      <c r="G173" s="117"/>
      <c r="H173" s="117"/>
      <c r="I173" s="117"/>
      <c r="J173" s="117"/>
      <c r="K173" s="117"/>
      <c r="L173" s="117"/>
      <c r="M173" s="123">
        <f>J164</f>
        <v>0</v>
      </c>
      <c r="N173" s="117"/>
      <c r="O173" s="137"/>
      <c r="P173" s="137"/>
      <c r="Q173" s="117"/>
      <c r="R173" s="117"/>
    </row>
    <row r="174" spans="1:18" ht="13.5" thickBot="1">
      <c r="A174" s="117"/>
      <c r="B174" s="119"/>
      <c r="C174" s="117"/>
      <c r="E174" s="124"/>
      <c r="F174" s="117"/>
      <c r="G174" s="117"/>
      <c r="H174" s="117"/>
      <c r="I174" s="117"/>
      <c r="J174" s="117"/>
      <c r="K174" s="117"/>
      <c r="L174" s="117"/>
      <c r="M174" s="123">
        <f>K164</f>
        <v>0</v>
      </c>
      <c r="N174" s="117"/>
      <c r="O174" s="137"/>
      <c r="P174" s="137"/>
      <c r="Q174" s="117"/>
      <c r="R174" s="117"/>
    </row>
    <row r="175" spans="1:18" ht="13.5" thickBot="1">
      <c r="A175" s="117"/>
      <c r="B175" s="119"/>
      <c r="C175" s="117"/>
      <c r="E175" s="121"/>
      <c r="F175" s="117"/>
      <c r="M175" s="119">
        <f>L171</f>
        <v>0</v>
      </c>
      <c r="O175" s="117"/>
      <c r="P175" s="117"/>
      <c r="Q175" s="117"/>
      <c r="R175" s="117"/>
    </row>
    <row r="176" spans="1:18" ht="13.5" thickBot="1">
      <c r="A176" s="117"/>
      <c r="B176" s="119"/>
      <c r="C176" s="117"/>
      <c r="E176" s="123"/>
      <c r="F176" s="28"/>
      <c r="M176" s="119">
        <f>C172</f>
        <v>0</v>
      </c>
      <c r="O176" s="117"/>
      <c r="P176" s="117"/>
      <c r="Q176" s="117"/>
      <c r="R176" s="117"/>
    </row>
    <row r="177" spans="1:18" ht="13.5" thickBot="1">
      <c r="A177" s="117"/>
      <c r="B177" s="123"/>
      <c r="C177" s="117"/>
      <c r="E177" s="252">
        <f>SUM(E171:E176)</f>
        <v>0</v>
      </c>
      <c r="M177" s="119">
        <f>Q164</f>
        <v>0</v>
      </c>
      <c r="O177" s="117"/>
      <c r="P177" s="117"/>
      <c r="Q177" s="117"/>
      <c r="R177" s="117"/>
    </row>
    <row r="178" spans="1:13" ht="13.5" thickBot="1">
      <c r="A178" s="117"/>
      <c r="B178" s="123"/>
      <c r="C178" s="117"/>
      <c r="F178" s="92"/>
      <c r="M178" s="120">
        <f>R164</f>
        <v>0</v>
      </c>
    </row>
    <row r="179" spans="1:15" ht="13.5" thickBot="1">
      <c r="A179" s="117"/>
      <c r="B179" s="123"/>
      <c r="C179" s="117"/>
      <c r="E179" s="247"/>
      <c r="M179" s="252">
        <f>SUM(M164:M178)</f>
        <v>0</v>
      </c>
      <c r="N179" s="262" t="s">
        <v>177</v>
      </c>
      <c r="O179" s="263" t="s">
        <v>227</v>
      </c>
    </row>
    <row r="180" spans="1:3" ht="13.5" thickBot="1">
      <c r="A180" s="117"/>
      <c r="B180" s="123"/>
      <c r="C180" s="117"/>
    </row>
    <row r="181" spans="1:15" ht="13.5" thickBot="1">
      <c r="A181" s="117"/>
      <c r="B181" s="123"/>
      <c r="C181" s="117"/>
      <c r="M181" s="249">
        <f>N167</f>
        <v>0</v>
      </c>
      <c r="N181" s="256" t="s">
        <v>179</v>
      </c>
      <c r="O181" s="257" t="s">
        <v>228</v>
      </c>
    </row>
    <row r="182" spans="1:3" ht="13.5" thickBot="1">
      <c r="A182" s="117"/>
      <c r="B182" s="124"/>
      <c r="C182" s="117"/>
    </row>
    <row r="183" spans="1:14" ht="13.5" thickBot="1">
      <c r="A183" s="117"/>
      <c r="B183" s="251">
        <f>SUM(B164:B182)</f>
        <v>0</v>
      </c>
      <c r="C183" s="117"/>
      <c r="M183" s="228" t="e">
        <f>100*(M179/M181)</f>
        <v>#DIV/0!</v>
      </c>
      <c r="N183" s="180" t="s">
        <v>193</v>
      </c>
    </row>
    <row r="184" spans="1:14" ht="12.75">
      <c r="A184" s="117"/>
      <c r="B184" s="137"/>
      <c r="C184" s="117"/>
      <c r="N184" s="264" t="s">
        <v>178</v>
      </c>
    </row>
    <row r="185" spans="1:14" ht="12.75">
      <c r="A185" s="117"/>
      <c r="B185" s="137"/>
      <c r="C185" s="117"/>
      <c r="N185" s="265" t="s">
        <v>180</v>
      </c>
    </row>
    <row r="186" spans="1:3" ht="13.5" thickBot="1">
      <c r="A186" s="117"/>
      <c r="B186" s="137"/>
      <c r="C186" s="117"/>
    </row>
    <row r="187" spans="1:14" ht="13.5" thickBot="1">
      <c r="A187" s="117"/>
      <c r="B187" s="137"/>
      <c r="C187" s="117"/>
      <c r="M187" s="228" t="e">
        <f>M181/(1000*S164)</f>
        <v>#DIV/0!</v>
      </c>
      <c r="N187" s="180" t="s">
        <v>230</v>
      </c>
    </row>
    <row r="188" spans="1:14" ht="12.75">
      <c r="A188" s="117"/>
      <c r="B188" s="137"/>
      <c r="C188" s="117"/>
      <c r="N188" s="169" t="s">
        <v>195</v>
      </c>
    </row>
    <row r="189" spans="1:3" ht="13.5" thickBot="1">
      <c r="A189" s="117"/>
      <c r="B189" s="137"/>
      <c r="C189" s="117"/>
    </row>
    <row r="190" spans="1:14" ht="13.5" thickBot="1">
      <c r="A190" s="117"/>
      <c r="B190" s="137"/>
      <c r="C190" s="117"/>
      <c r="M190" s="261">
        <f>M179</f>
        <v>0</v>
      </c>
      <c r="N190" s="260" t="s">
        <v>215</v>
      </c>
    </row>
    <row r="193" ht="12.75">
      <c r="A193" s="181" t="s">
        <v>187</v>
      </c>
    </row>
    <row r="194" ht="13.5" thickBot="1"/>
    <row r="195" spans="1:19" ht="13.5" thickBot="1">
      <c r="A195" s="53" t="s">
        <v>40</v>
      </c>
      <c r="B195" s="15" t="s">
        <v>0</v>
      </c>
      <c r="C195" s="16" t="s">
        <v>1</v>
      </c>
      <c r="D195" s="42" t="s">
        <v>2</v>
      </c>
      <c r="E195" s="142" t="s">
        <v>81</v>
      </c>
      <c r="F195" s="19" t="s">
        <v>4</v>
      </c>
      <c r="G195" s="20" t="s">
        <v>5</v>
      </c>
      <c r="H195" s="33" t="s">
        <v>6</v>
      </c>
      <c r="I195" s="109" t="s">
        <v>141</v>
      </c>
      <c r="J195" s="23" t="s">
        <v>8</v>
      </c>
      <c r="K195" s="24" t="s">
        <v>9</v>
      </c>
      <c r="L195" s="49" t="s">
        <v>14</v>
      </c>
      <c r="M195" s="1" t="s">
        <v>13</v>
      </c>
      <c r="N195" s="3" t="s">
        <v>11</v>
      </c>
      <c r="O195" s="50" t="s">
        <v>114</v>
      </c>
      <c r="P195" s="81" t="s">
        <v>113</v>
      </c>
      <c r="Q195" s="110" t="s">
        <v>142</v>
      </c>
      <c r="R195" s="111" t="s">
        <v>80</v>
      </c>
      <c r="S195" s="190" t="s">
        <v>196</v>
      </c>
    </row>
    <row r="196" spans="1:19" ht="13.5" thickBot="1">
      <c r="A196" s="250">
        <v>0</v>
      </c>
      <c r="B196" s="115"/>
      <c r="C196" s="116"/>
      <c r="D196" s="125"/>
      <c r="E196" s="119"/>
      <c r="F196" s="125"/>
      <c r="G196" s="115"/>
      <c r="H196" s="116"/>
      <c r="I196" s="254"/>
      <c r="J196" s="254"/>
      <c r="K196" s="255"/>
      <c r="L196" s="119"/>
      <c r="M196" s="132">
        <f>A196</f>
        <v>0</v>
      </c>
      <c r="N196" s="135"/>
      <c r="O196" s="269">
        <v>0</v>
      </c>
      <c r="P196" s="149">
        <v>0</v>
      </c>
      <c r="Q196" s="147">
        <v>0</v>
      </c>
      <c r="R196" s="121">
        <v>0</v>
      </c>
      <c r="S196" s="121"/>
    </row>
    <row r="197" spans="1:18" ht="13.5" thickBot="1">
      <c r="A197" s="117"/>
      <c r="B197" s="118"/>
      <c r="C197" s="119"/>
      <c r="D197" s="126"/>
      <c r="E197" s="123"/>
      <c r="F197" s="126"/>
      <c r="G197" s="133"/>
      <c r="H197" s="119"/>
      <c r="I197" s="117"/>
      <c r="J197" s="117"/>
      <c r="K197" s="117"/>
      <c r="L197" s="119"/>
      <c r="M197" s="126">
        <f>B215</f>
        <v>0</v>
      </c>
      <c r="N197" s="118"/>
      <c r="O197" s="119"/>
      <c r="P197" s="117"/>
      <c r="Q197" s="117"/>
      <c r="R197" s="117"/>
    </row>
    <row r="198" spans="1:18" ht="13.5" thickBot="1">
      <c r="A198" s="117"/>
      <c r="B198" s="118"/>
      <c r="C198" s="119"/>
      <c r="D198" s="126"/>
      <c r="E198" s="143"/>
      <c r="F198" s="130"/>
      <c r="G198" s="250">
        <f>G196</f>
        <v>0</v>
      </c>
      <c r="H198" s="119"/>
      <c r="I198" s="117"/>
      <c r="J198" s="117"/>
      <c r="K198" s="117"/>
      <c r="L198" s="119"/>
      <c r="M198" s="126">
        <f>D204</f>
        <v>0</v>
      </c>
      <c r="N198" s="258">
        <f>M213</f>
        <v>0</v>
      </c>
      <c r="O198" s="120"/>
      <c r="P198" s="117"/>
      <c r="Q198" s="117"/>
      <c r="R198" s="117"/>
    </row>
    <row r="199" spans="1:18" ht="13.5" thickBot="1">
      <c r="A199" s="117"/>
      <c r="B199" s="118"/>
      <c r="C199" s="119"/>
      <c r="D199" s="119"/>
      <c r="E199" s="120"/>
      <c r="F199" s="252">
        <f>SUM(F196:F198)</f>
        <v>0</v>
      </c>
      <c r="G199" s="117"/>
      <c r="H199" s="120"/>
      <c r="I199" s="117"/>
      <c r="J199" s="117"/>
      <c r="K199" s="117"/>
      <c r="L199" s="270"/>
      <c r="M199" s="119">
        <f>E200</f>
        <v>0</v>
      </c>
      <c r="N199" s="146">
        <f>N196+N197+N198</f>
        <v>0</v>
      </c>
      <c r="O199" s="144">
        <f>SUM(O196:O198)</f>
        <v>0</v>
      </c>
      <c r="P199" s="117"/>
      <c r="Q199" s="117"/>
      <c r="R199" s="117"/>
    </row>
    <row r="200" spans="1:18" ht="13.5" thickBot="1">
      <c r="A200" s="117"/>
      <c r="B200" s="118"/>
      <c r="C200" s="119"/>
      <c r="D200" s="119"/>
      <c r="E200" s="252">
        <f>SUM(E196:E199)</f>
        <v>0</v>
      </c>
      <c r="F200" s="117"/>
      <c r="G200" s="117"/>
      <c r="H200" s="253">
        <f>SUM(H196:H199)</f>
        <v>0</v>
      </c>
      <c r="I200" s="117"/>
      <c r="J200" s="117"/>
      <c r="K200" s="117"/>
      <c r="L200" s="119"/>
      <c r="M200" s="119">
        <f>E209</f>
        <v>0</v>
      </c>
      <c r="N200" s="117"/>
      <c r="O200" s="117"/>
      <c r="P200" s="117"/>
      <c r="Q200" s="117"/>
      <c r="R200" s="117"/>
    </row>
    <row r="201" spans="1:18" ht="13.5" thickBot="1">
      <c r="A201" s="117"/>
      <c r="B201" s="119"/>
      <c r="C201" s="119"/>
      <c r="D201" s="119"/>
      <c r="E201" s="117"/>
      <c r="F201" s="117"/>
      <c r="G201" s="117"/>
      <c r="H201" s="117"/>
      <c r="I201" s="117"/>
      <c r="J201" s="117"/>
      <c r="K201" s="117"/>
      <c r="L201" s="120"/>
      <c r="M201" s="119">
        <f>F199</f>
        <v>0</v>
      </c>
      <c r="N201" s="117"/>
      <c r="O201" s="117"/>
      <c r="P201" s="117"/>
      <c r="Q201" s="117"/>
      <c r="R201" s="117"/>
    </row>
    <row r="202" spans="1:18" ht="13.5" thickBot="1">
      <c r="A202" s="117"/>
      <c r="B202" s="119"/>
      <c r="C202" s="119"/>
      <c r="D202" s="119"/>
      <c r="E202" s="259" t="s">
        <v>223</v>
      </c>
      <c r="F202" s="117"/>
      <c r="G202" s="117"/>
      <c r="H202" s="117"/>
      <c r="I202" s="117"/>
      <c r="J202" s="117"/>
      <c r="K202" s="117"/>
      <c r="L202" s="231"/>
      <c r="M202" s="119">
        <f>G198</f>
        <v>0</v>
      </c>
      <c r="N202" s="117"/>
      <c r="O202" s="117"/>
      <c r="P202" s="117"/>
      <c r="Q202" s="117"/>
      <c r="R202" s="117"/>
    </row>
    <row r="203" spans="1:18" ht="13.5" thickBot="1">
      <c r="A203" s="117"/>
      <c r="B203" s="119"/>
      <c r="C203" s="117"/>
      <c r="D203" s="5"/>
      <c r="E203" s="125"/>
      <c r="F203" s="117"/>
      <c r="G203" s="117"/>
      <c r="H203" s="117"/>
      <c r="I203" s="117"/>
      <c r="J203" s="117"/>
      <c r="K203" s="117"/>
      <c r="L203" s="252">
        <f>L196+L197+L198+L199+L200+L201+L202</f>
        <v>0</v>
      </c>
      <c r="M203" s="119">
        <f>H200</f>
        <v>0</v>
      </c>
      <c r="N203" s="117"/>
      <c r="O203" s="117"/>
      <c r="P203" s="117"/>
      <c r="Q203" s="117"/>
      <c r="R203" s="117"/>
    </row>
    <row r="204" spans="1:18" ht="13.5" thickBot="1">
      <c r="A204" s="117"/>
      <c r="B204" s="119"/>
      <c r="C204" s="250">
        <f>C196+C197+C198+C199+C200+C201+C202</f>
        <v>0</v>
      </c>
      <c r="D204" s="252">
        <f>SUM(D196:D203)</f>
        <v>0</v>
      </c>
      <c r="E204" s="119"/>
      <c r="F204" s="117"/>
      <c r="G204" s="117"/>
      <c r="H204" s="117"/>
      <c r="I204" s="117"/>
      <c r="J204" s="117"/>
      <c r="K204" s="117"/>
      <c r="L204" s="117"/>
      <c r="M204" s="119">
        <f>I196</f>
        <v>0</v>
      </c>
      <c r="N204" s="117"/>
      <c r="O204" s="137"/>
      <c r="P204" s="137"/>
      <c r="Q204" s="117"/>
      <c r="R204" s="117"/>
    </row>
    <row r="205" spans="1:18" ht="12.75">
      <c r="A205" s="117"/>
      <c r="B205" s="119"/>
      <c r="C205" s="117"/>
      <c r="D205" s="164">
        <f>D204/2</f>
        <v>0</v>
      </c>
      <c r="E205" s="119"/>
      <c r="F205" s="117"/>
      <c r="G205" s="117"/>
      <c r="H205" s="117"/>
      <c r="I205" s="117"/>
      <c r="J205" s="117"/>
      <c r="K205" s="117"/>
      <c r="L205" s="117"/>
      <c r="M205" s="123">
        <f>J196</f>
        <v>0</v>
      </c>
      <c r="N205" s="117"/>
      <c r="O205" s="137"/>
      <c r="P205" s="137"/>
      <c r="Q205" s="117"/>
      <c r="R205" s="117"/>
    </row>
    <row r="206" spans="1:18" ht="13.5" thickBot="1">
      <c r="A206" s="117"/>
      <c r="B206" s="119"/>
      <c r="C206" s="117"/>
      <c r="E206" s="124"/>
      <c r="F206" s="117"/>
      <c r="G206" s="117"/>
      <c r="H206" s="117"/>
      <c r="I206" s="117"/>
      <c r="J206" s="117"/>
      <c r="K206" s="117"/>
      <c r="L206" s="117"/>
      <c r="M206" s="123">
        <f>K196</f>
        <v>0</v>
      </c>
      <c r="N206" s="117"/>
      <c r="O206" s="137"/>
      <c r="P206" s="137"/>
      <c r="Q206" s="117"/>
      <c r="R206" s="117"/>
    </row>
    <row r="207" spans="1:18" ht="13.5" thickBot="1">
      <c r="A207" s="117"/>
      <c r="B207" s="119"/>
      <c r="C207" s="117"/>
      <c r="E207" s="121"/>
      <c r="F207" s="117"/>
      <c r="M207" s="119">
        <f>L203</f>
        <v>0</v>
      </c>
      <c r="O207" s="117"/>
      <c r="P207" s="117"/>
      <c r="Q207" s="117"/>
      <c r="R207" s="117"/>
    </row>
    <row r="208" spans="1:18" ht="13.5" thickBot="1">
      <c r="A208" s="117"/>
      <c r="B208" s="119"/>
      <c r="C208" s="117"/>
      <c r="E208" s="123"/>
      <c r="F208" s="28"/>
      <c r="M208" s="119">
        <f>P196</f>
        <v>0</v>
      </c>
      <c r="O208" s="117"/>
      <c r="P208" s="117"/>
      <c r="Q208" s="117"/>
      <c r="R208" s="117"/>
    </row>
    <row r="209" spans="1:18" ht="13.5" thickBot="1">
      <c r="A209" s="117"/>
      <c r="B209" s="123"/>
      <c r="C209" s="117"/>
      <c r="E209" s="252">
        <f>SUM(E203:E208)</f>
        <v>0</v>
      </c>
      <c r="M209" s="119">
        <f>Q196</f>
        <v>0</v>
      </c>
      <c r="O209" s="117"/>
      <c r="P209" s="117"/>
      <c r="Q209" s="117"/>
      <c r="R209" s="117"/>
    </row>
    <row r="210" spans="1:13" ht="12.75">
      <c r="A210" s="117"/>
      <c r="B210" s="123"/>
      <c r="C210" s="117"/>
      <c r="F210" s="92"/>
      <c r="M210" s="119">
        <f>R196</f>
        <v>0</v>
      </c>
    </row>
    <row r="211" spans="1:13" ht="13.5" thickBot="1">
      <c r="A211" s="117"/>
      <c r="B211" s="123"/>
      <c r="C211" s="117"/>
      <c r="E211" s="247"/>
      <c r="M211" s="120">
        <f>C204</f>
        <v>0</v>
      </c>
    </row>
    <row r="212" spans="1:3" ht="13.5" thickBot="1">
      <c r="A212" s="117"/>
      <c r="B212" s="123"/>
      <c r="C212" s="117"/>
    </row>
    <row r="213" spans="1:15" ht="13.5" thickBot="1">
      <c r="A213" s="117"/>
      <c r="B213" s="123"/>
      <c r="C213" s="117"/>
      <c r="M213" s="252">
        <f>SUM(M196:M211)</f>
        <v>0</v>
      </c>
      <c r="N213" s="262" t="s">
        <v>177</v>
      </c>
      <c r="O213" s="263" t="s">
        <v>227</v>
      </c>
    </row>
    <row r="214" spans="1:3" ht="13.5" thickBot="1">
      <c r="A214" s="117"/>
      <c r="B214" s="124"/>
      <c r="C214" s="117"/>
    </row>
    <row r="215" spans="1:15" ht="13.5" thickBot="1">
      <c r="A215" s="117"/>
      <c r="B215" s="251">
        <f>SUM(B196:B214)</f>
        <v>0</v>
      </c>
      <c r="C215" s="117"/>
      <c r="M215" s="249">
        <f>N199</f>
        <v>0</v>
      </c>
      <c r="N215" s="256" t="s">
        <v>179</v>
      </c>
      <c r="O215" s="257" t="s">
        <v>228</v>
      </c>
    </row>
    <row r="216" spans="1:3" ht="13.5" thickBot="1">
      <c r="A216" s="117"/>
      <c r="B216" s="137"/>
      <c r="C216" s="117"/>
    </row>
    <row r="217" spans="1:14" ht="13.5" thickBot="1">
      <c r="A217" s="117"/>
      <c r="B217" s="137"/>
      <c r="C217" s="117"/>
      <c r="M217" s="228" t="e">
        <f>100*(M213/M215)</f>
        <v>#DIV/0!</v>
      </c>
      <c r="N217" s="180" t="s">
        <v>193</v>
      </c>
    </row>
    <row r="218" spans="1:14" ht="12.75">
      <c r="A218" s="117"/>
      <c r="B218" s="137"/>
      <c r="C218" s="117"/>
      <c r="N218" s="264" t="s">
        <v>178</v>
      </c>
    </row>
    <row r="219" spans="1:14" ht="12.75">
      <c r="A219" s="117"/>
      <c r="B219" s="137"/>
      <c r="C219" s="117"/>
      <c r="N219" s="265" t="s">
        <v>180</v>
      </c>
    </row>
    <row r="220" spans="1:3" ht="13.5" thickBot="1">
      <c r="A220" s="117"/>
      <c r="B220" s="137"/>
      <c r="C220" s="117"/>
    </row>
    <row r="221" spans="1:14" ht="13.5" thickBot="1">
      <c r="A221" s="117"/>
      <c r="B221" s="137"/>
      <c r="C221" s="117"/>
      <c r="M221" s="228" t="e">
        <f>M215/(1000*S196)</f>
        <v>#DIV/0!</v>
      </c>
      <c r="N221" s="180" t="s">
        <v>230</v>
      </c>
    </row>
    <row r="222" spans="1:14" ht="12.75">
      <c r="A222" s="117"/>
      <c r="B222" s="137"/>
      <c r="C222" s="117"/>
      <c r="N222" s="169" t="s">
        <v>195</v>
      </c>
    </row>
    <row r="223" ht="13.5" thickBot="1"/>
    <row r="224" spans="13:14" ht="13.5" thickBot="1">
      <c r="M224" s="261">
        <f>M213</f>
        <v>0</v>
      </c>
      <c r="N224" s="260" t="s">
        <v>215</v>
      </c>
    </row>
    <row r="227" ht="12.75">
      <c r="A227" s="181" t="s">
        <v>169</v>
      </c>
    </row>
    <row r="228" ht="13.5" thickBot="1"/>
    <row r="229" spans="1:19" ht="13.5" thickBot="1">
      <c r="A229" s="53" t="s">
        <v>40</v>
      </c>
      <c r="B229" s="15" t="s">
        <v>0</v>
      </c>
      <c r="C229" s="16" t="s">
        <v>1</v>
      </c>
      <c r="D229" s="42" t="s">
        <v>2</v>
      </c>
      <c r="E229" s="142" t="s">
        <v>81</v>
      </c>
      <c r="F229" s="19" t="s">
        <v>4</v>
      </c>
      <c r="G229" s="20" t="s">
        <v>5</v>
      </c>
      <c r="H229" s="33" t="s">
        <v>6</v>
      </c>
      <c r="I229" s="109" t="s">
        <v>141</v>
      </c>
      <c r="J229" s="23" t="s">
        <v>8</v>
      </c>
      <c r="K229" s="24" t="s">
        <v>9</v>
      </c>
      <c r="L229" s="49" t="s">
        <v>14</v>
      </c>
      <c r="M229" s="1" t="s">
        <v>13</v>
      </c>
      <c r="N229" s="3" t="s">
        <v>11</v>
      </c>
      <c r="O229" s="50" t="s">
        <v>114</v>
      </c>
      <c r="P229" s="81" t="s">
        <v>113</v>
      </c>
      <c r="Q229" s="110" t="s">
        <v>142</v>
      </c>
      <c r="R229" s="111" t="s">
        <v>80</v>
      </c>
      <c r="S229" s="190" t="s">
        <v>196</v>
      </c>
    </row>
    <row r="230" spans="1:19" ht="13.5" thickBot="1">
      <c r="A230" s="250">
        <v>0</v>
      </c>
      <c r="B230" s="115"/>
      <c r="C230" s="116"/>
      <c r="D230" s="125"/>
      <c r="E230" s="119"/>
      <c r="F230" s="125"/>
      <c r="G230" s="115"/>
      <c r="H230" s="116"/>
      <c r="I230" s="254"/>
      <c r="J230" s="254"/>
      <c r="K230" s="255"/>
      <c r="L230" s="119"/>
      <c r="M230" s="132">
        <f>A230</f>
        <v>0</v>
      </c>
      <c r="N230" s="135"/>
      <c r="O230" s="269">
        <v>0</v>
      </c>
      <c r="P230" s="149">
        <v>0</v>
      </c>
      <c r="Q230" s="147">
        <v>0</v>
      </c>
      <c r="R230" s="121">
        <v>0</v>
      </c>
      <c r="S230" s="121"/>
    </row>
    <row r="231" spans="1:18" ht="13.5" thickBot="1">
      <c r="A231" s="117"/>
      <c r="B231" s="118"/>
      <c r="C231" s="119"/>
      <c r="D231" s="126"/>
      <c r="E231" s="123"/>
      <c r="F231" s="126"/>
      <c r="G231" s="133"/>
      <c r="H231" s="119"/>
      <c r="I231" s="117"/>
      <c r="J231" s="117"/>
      <c r="K231" s="117"/>
      <c r="L231" s="119"/>
      <c r="M231" s="126">
        <f>B249</f>
        <v>0</v>
      </c>
      <c r="N231" s="118"/>
      <c r="O231" s="119"/>
      <c r="P231" s="117"/>
      <c r="Q231" s="117"/>
      <c r="R231" s="117"/>
    </row>
    <row r="232" spans="1:18" ht="13.5" thickBot="1">
      <c r="A232" s="117"/>
      <c r="B232" s="118"/>
      <c r="C232" s="119"/>
      <c r="D232" s="126"/>
      <c r="E232" s="143"/>
      <c r="F232" s="130"/>
      <c r="G232" s="250">
        <f>SUM(F232)</f>
        <v>0</v>
      </c>
      <c r="H232" s="119"/>
      <c r="I232" s="117"/>
      <c r="J232" s="117"/>
      <c r="K232" s="117"/>
      <c r="L232" s="119"/>
      <c r="M232" s="126">
        <f>D238</f>
        <v>0</v>
      </c>
      <c r="N232" s="258">
        <f>M247</f>
        <v>0</v>
      </c>
      <c r="O232" s="120"/>
      <c r="P232" s="117"/>
      <c r="Q232" s="117"/>
      <c r="R232" s="117"/>
    </row>
    <row r="233" spans="1:18" ht="13.5" thickBot="1">
      <c r="A233" s="117"/>
      <c r="B233" s="118"/>
      <c r="C233" s="119"/>
      <c r="D233" s="119"/>
      <c r="E233" s="120"/>
      <c r="F233" s="252">
        <f>SUM(F230:F232)</f>
        <v>0</v>
      </c>
      <c r="G233" s="117"/>
      <c r="H233" s="120"/>
      <c r="I233" s="117"/>
      <c r="J233" s="117"/>
      <c r="K233" s="117"/>
      <c r="L233" s="270"/>
      <c r="M233" s="119">
        <f>E234</f>
        <v>0</v>
      </c>
      <c r="N233" s="146">
        <f>N230+N231+N232</f>
        <v>0</v>
      </c>
      <c r="O233" s="144">
        <f>SUM(O230:O232)</f>
        <v>0</v>
      </c>
      <c r="P233" s="117"/>
      <c r="Q233" s="117"/>
      <c r="R233" s="117"/>
    </row>
    <row r="234" spans="1:18" ht="13.5" thickBot="1">
      <c r="A234" s="117"/>
      <c r="B234" s="118"/>
      <c r="C234" s="119"/>
      <c r="D234" s="119"/>
      <c r="E234" s="252">
        <f>SUM(D234)</f>
        <v>0</v>
      </c>
      <c r="F234" s="117"/>
      <c r="G234" s="117"/>
      <c r="H234" s="253">
        <f>SUM(H230:H233)</f>
        <v>0</v>
      </c>
      <c r="I234" s="117"/>
      <c r="J234" s="117"/>
      <c r="K234" s="117"/>
      <c r="L234" s="119"/>
      <c r="M234" s="119">
        <f>E243</f>
        <v>0</v>
      </c>
      <c r="N234" s="117"/>
      <c r="O234" s="117"/>
      <c r="P234" s="117"/>
      <c r="Q234" s="117"/>
      <c r="R234" s="117"/>
    </row>
    <row r="235" spans="1:18" ht="13.5" thickBot="1">
      <c r="A235" s="117"/>
      <c r="B235" s="119"/>
      <c r="C235" s="119"/>
      <c r="D235" s="119"/>
      <c r="E235" s="117"/>
      <c r="F235" s="117"/>
      <c r="G235" s="117"/>
      <c r="H235" s="117"/>
      <c r="I235" s="117"/>
      <c r="J235" s="117"/>
      <c r="K235" s="117"/>
      <c r="L235" s="120"/>
      <c r="M235" s="119">
        <f>F233</f>
        <v>0</v>
      </c>
      <c r="N235" s="117"/>
      <c r="O235" s="117"/>
      <c r="P235" s="117"/>
      <c r="Q235" s="117"/>
      <c r="R235" s="117"/>
    </row>
    <row r="236" spans="1:18" ht="13.5" thickBot="1">
      <c r="A236" s="117"/>
      <c r="B236" s="119"/>
      <c r="C236" s="119"/>
      <c r="D236" s="119"/>
      <c r="E236" s="259" t="s">
        <v>223</v>
      </c>
      <c r="F236" s="117"/>
      <c r="G236" s="117"/>
      <c r="H236" s="117"/>
      <c r="I236" s="117"/>
      <c r="J236" s="117"/>
      <c r="K236" s="117"/>
      <c r="L236" s="231"/>
      <c r="M236" s="119">
        <f>G232</f>
        <v>0</v>
      </c>
      <c r="N236" s="117"/>
      <c r="O236" s="117"/>
      <c r="P236" s="117"/>
      <c r="Q236" s="117"/>
      <c r="R236" s="117"/>
    </row>
    <row r="237" spans="1:18" ht="13.5" thickBot="1">
      <c r="A237" s="117"/>
      <c r="B237" s="119"/>
      <c r="C237" s="117"/>
      <c r="D237" s="5"/>
      <c r="E237" s="125"/>
      <c r="F237" s="117"/>
      <c r="G237" s="117"/>
      <c r="H237" s="117"/>
      <c r="I237" s="117"/>
      <c r="J237" s="117"/>
      <c r="K237" s="117"/>
      <c r="L237" s="252">
        <f>L230+L231+L232+L233+L234+L235+L236</f>
        <v>0</v>
      </c>
      <c r="M237" s="119">
        <f>H234</f>
        <v>0</v>
      </c>
      <c r="N237" s="117"/>
      <c r="O237" s="117"/>
      <c r="P237" s="117"/>
      <c r="Q237" s="117"/>
      <c r="R237" s="117"/>
    </row>
    <row r="238" spans="1:18" ht="13.5" thickBot="1">
      <c r="A238" s="117"/>
      <c r="B238" s="119"/>
      <c r="C238" s="250">
        <f>SUM(C230:C237)</f>
        <v>0</v>
      </c>
      <c r="D238" s="252">
        <f>SUM(D230:D237)</f>
        <v>0</v>
      </c>
      <c r="E238" s="119"/>
      <c r="F238" s="117"/>
      <c r="G238" s="117"/>
      <c r="H238" s="117"/>
      <c r="I238" s="117"/>
      <c r="J238" s="117"/>
      <c r="K238" s="117"/>
      <c r="L238" s="117"/>
      <c r="M238" s="119">
        <f>I230</f>
        <v>0</v>
      </c>
      <c r="N238" s="117"/>
      <c r="O238" s="137"/>
      <c r="P238" s="137"/>
      <c r="Q238" s="117"/>
      <c r="R238" s="117"/>
    </row>
    <row r="239" spans="1:18" ht="12.75">
      <c r="A239" s="117"/>
      <c r="B239" s="119"/>
      <c r="C239" s="117"/>
      <c r="D239" s="164">
        <f>D238/2</f>
        <v>0</v>
      </c>
      <c r="E239" s="119"/>
      <c r="F239" s="117"/>
      <c r="G239" s="117"/>
      <c r="H239" s="117"/>
      <c r="I239" s="117"/>
      <c r="J239" s="117"/>
      <c r="K239" s="117"/>
      <c r="L239" s="117"/>
      <c r="M239" s="123">
        <f>J230</f>
        <v>0</v>
      </c>
      <c r="N239" s="117"/>
      <c r="O239" s="137"/>
      <c r="P239" s="137"/>
      <c r="Q239" s="117"/>
      <c r="R239" s="117"/>
    </row>
    <row r="240" spans="1:18" ht="13.5" thickBot="1">
      <c r="A240" s="117"/>
      <c r="B240" s="119"/>
      <c r="C240" s="117"/>
      <c r="E240" s="124"/>
      <c r="F240" s="117"/>
      <c r="G240" s="117"/>
      <c r="H240" s="117"/>
      <c r="I240" s="117"/>
      <c r="J240" s="117"/>
      <c r="K240" s="117"/>
      <c r="L240" s="117"/>
      <c r="M240" s="123">
        <f>K230</f>
        <v>0</v>
      </c>
      <c r="N240" s="117"/>
      <c r="O240" s="137"/>
      <c r="P240" s="137"/>
      <c r="Q240" s="117"/>
      <c r="R240" s="117"/>
    </row>
    <row r="241" spans="1:18" ht="13.5" thickBot="1">
      <c r="A241" s="117"/>
      <c r="B241" s="119"/>
      <c r="C241" s="117"/>
      <c r="E241" s="121"/>
      <c r="F241" s="117"/>
      <c r="M241" s="119">
        <f>L237</f>
        <v>0</v>
      </c>
      <c r="O241" s="117"/>
      <c r="P241" s="117"/>
      <c r="Q241" s="117"/>
      <c r="R241" s="117"/>
    </row>
    <row r="242" spans="1:18" ht="13.5" thickBot="1">
      <c r="A242" s="117"/>
      <c r="B242" s="119"/>
      <c r="C242" s="117"/>
      <c r="E242" s="123"/>
      <c r="F242" s="28"/>
      <c r="M242" s="119">
        <f>P230</f>
        <v>0</v>
      </c>
      <c r="O242" s="117"/>
      <c r="P242" s="117"/>
      <c r="Q242" s="117"/>
      <c r="R242" s="117"/>
    </row>
    <row r="243" spans="1:18" ht="13.5" thickBot="1">
      <c r="A243" s="117"/>
      <c r="B243" s="123"/>
      <c r="C243" s="117"/>
      <c r="E243" s="252">
        <f>SUM(E237:E242)</f>
        <v>0</v>
      </c>
      <c r="M243" s="119">
        <f>Q230</f>
        <v>0</v>
      </c>
      <c r="O243" s="117"/>
      <c r="P243" s="117"/>
      <c r="Q243" s="117"/>
      <c r="R243" s="117"/>
    </row>
    <row r="244" spans="1:13" ht="12.75">
      <c r="A244" s="117"/>
      <c r="B244" s="123"/>
      <c r="C244" s="117"/>
      <c r="F244" s="92"/>
      <c r="M244" s="119">
        <f>R230</f>
        <v>0</v>
      </c>
    </row>
    <row r="245" spans="1:13" ht="13.5" thickBot="1">
      <c r="A245" s="117"/>
      <c r="B245" s="123"/>
      <c r="C245" s="117"/>
      <c r="E245" s="247"/>
      <c r="M245" s="120">
        <f>C238</f>
        <v>0</v>
      </c>
    </row>
    <row r="246" spans="1:3" ht="13.5" thickBot="1">
      <c r="A246" s="117"/>
      <c r="B246" s="123"/>
      <c r="C246" s="117"/>
    </row>
    <row r="247" spans="1:15" ht="13.5" thickBot="1">
      <c r="A247" s="117"/>
      <c r="B247" s="123"/>
      <c r="C247" s="117"/>
      <c r="M247" s="252">
        <f>SUM(M230:M245)</f>
        <v>0</v>
      </c>
      <c r="N247" s="262" t="s">
        <v>177</v>
      </c>
      <c r="O247" s="263" t="s">
        <v>227</v>
      </c>
    </row>
    <row r="248" spans="1:3" ht="13.5" thickBot="1">
      <c r="A248" s="117"/>
      <c r="B248" s="124"/>
      <c r="C248" s="117"/>
    </row>
    <row r="249" spans="1:15" ht="13.5" thickBot="1">
      <c r="A249" s="117"/>
      <c r="B249" s="251">
        <f>SUM(B230:B248)</f>
        <v>0</v>
      </c>
      <c r="C249" s="117"/>
      <c r="M249" s="249">
        <f>N233</f>
        <v>0</v>
      </c>
      <c r="N249" s="256" t="s">
        <v>179</v>
      </c>
      <c r="O249" s="257" t="s">
        <v>228</v>
      </c>
    </row>
    <row r="250" spans="1:3" ht="13.5" thickBot="1">
      <c r="A250" s="117"/>
      <c r="B250" s="137"/>
      <c r="C250" s="117"/>
    </row>
    <row r="251" spans="1:14" ht="13.5" thickBot="1">
      <c r="A251" s="117"/>
      <c r="B251" s="137"/>
      <c r="C251" s="117"/>
      <c r="M251" s="228" t="e">
        <f>100*(M247/M249)</f>
        <v>#DIV/0!</v>
      </c>
      <c r="N251" s="180" t="s">
        <v>193</v>
      </c>
    </row>
    <row r="252" spans="1:14" ht="12.75">
      <c r="A252" s="117"/>
      <c r="B252" s="137"/>
      <c r="C252" s="117"/>
      <c r="N252" s="264" t="s">
        <v>178</v>
      </c>
    </row>
    <row r="253" spans="1:14" ht="12.75">
      <c r="A253" s="117"/>
      <c r="B253" s="137"/>
      <c r="C253" s="117"/>
      <c r="N253" s="265" t="s">
        <v>180</v>
      </c>
    </row>
    <row r="254" spans="1:3" ht="13.5" thickBot="1">
      <c r="A254" s="117"/>
      <c r="B254" s="137"/>
      <c r="C254" s="117"/>
    </row>
    <row r="255" spans="1:14" ht="13.5" thickBot="1">
      <c r="A255" s="117"/>
      <c r="B255" s="137"/>
      <c r="C255" s="117"/>
      <c r="M255" s="228" t="e">
        <f>M249/(1000*S230)</f>
        <v>#DIV/0!</v>
      </c>
      <c r="N255" s="180" t="s">
        <v>230</v>
      </c>
    </row>
    <row r="256" spans="1:14" ht="12.75">
      <c r="A256" s="117"/>
      <c r="B256" s="137"/>
      <c r="C256" s="117"/>
      <c r="N256" s="169" t="s">
        <v>195</v>
      </c>
    </row>
    <row r="257" ht="13.5" thickBot="1"/>
    <row r="258" spans="13:14" ht="13.5" thickBot="1">
      <c r="M258" s="261">
        <f>M247</f>
        <v>0</v>
      </c>
      <c r="N258" s="260" t="s">
        <v>215</v>
      </c>
    </row>
    <row r="262" spans="1:11" ht="12.75">
      <c r="A262" s="181" t="s">
        <v>231</v>
      </c>
      <c r="J262" s="306" t="s">
        <v>234</v>
      </c>
      <c r="K262" s="306"/>
    </row>
    <row r="263" ht="13.5" thickBot="1"/>
    <row r="264" spans="1:19" ht="13.5" thickBot="1">
      <c r="A264" s="53" t="s">
        <v>40</v>
      </c>
      <c r="B264" s="15" t="s">
        <v>0</v>
      </c>
      <c r="C264" s="16" t="s">
        <v>1</v>
      </c>
      <c r="D264" s="42" t="s">
        <v>2</v>
      </c>
      <c r="E264" s="142" t="s">
        <v>81</v>
      </c>
      <c r="F264" s="19" t="s">
        <v>4</v>
      </c>
      <c r="G264" s="20" t="s">
        <v>5</v>
      </c>
      <c r="H264" s="33" t="s">
        <v>6</v>
      </c>
      <c r="I264" s="109" t="s">
        <v>141</v>
      </c>
      <c r="J264" s="23" t="s">
        <v>8</v>
      </c>
      <c r="K264" s="24" t="s">
        <v>9</v>
      </c>
      <c r="L264" s="49" t="s">
        <v>14</v>
      </c>
      <c r="M264" s="1" t="s">
        <v>13</v>
      </c>
      <c r="N264" s="3" t="s">
        <v>11</v>
      </c>
      <c r="O264" s="50" t="s">
        <v>114</v>
      </c>
      <c r="P264" s="81" t="s">
        <v>113</v>
      </c>
      <c r="Q264" s="110" t="s">
        <v>142</v>
      </c>
      <c r="R264" s="111" t="s">
        <v>80</v>
      </c>
      <c r="S264" s="190" t="s">
        <v>196</v>
      </c>
    </row>
    <row r="265" spans="1:19" ht="13.5" thickBot="1">
      <c r="A265" s="250"/>
      <c r="B265" s="278"/>
      <c r="C265" s="282"/>
      <c r="D265" s="276"/>
      <c r="E265" s="119"/>
      <c r="F265" s="125"/>
      <c r="G265" s="278"/>
      <c r="H265" s="116"/>
      <c r="I265" s="254"/>
      <c r="J265" s="254"/>
      <c r="K265" s="255"/>
      <c r="L265" s="119"/>
      <c r="M265" s="132">
        <f>A265</f>
        <v>0</v>
      </c>
      <c r="N265" s="135"/>
      <c r="O265" s="269">
        <v>0</v>
      </c>
      <c r="P265" s="280"/>
      <c r="Q265" s="147">
        <v>0</v>
      </c>
      <c r="R265" s="121">
        <v>0</v>
      </c>
      <c r="S265" s="121"/>
    </row>
    <row r="266" spans="1:18" ht="13.5" thickBot="1">
      <c r="A266" s="117"/>
      <c r="B266" s="279"/>
      <c r="C266" s="119"/>
      <c r="D266" s="277"/>
      <c r="E266" s="123"/>
      <c r="F266" s="126"/>
      <c r="G266" s="133"/>
      <c r="H266" s="119"/>
      <c r="I266" s="117"/>
      <c r="J266" s="117"/>
      <c r="K266" s="117"/>
      <c r="L266" s="119"/>
      <c r="M266" s="126">
        <f>B285</f>
        <v>0</v>
      </c>
      <c r="N266" s="118"/>
      <c r="O266" s="119"/>
      <c r="P266" s="117"/>
      <c r="Q266" s="117"/>
      <c r="R266" s="117"/>
    </row>
    <row r="267" spans="1:18" ht="13.5" thickBot="1">
      <c r="A267" s="117"/>
      <c r="B267" s="279"/>
      <c r="C267" s="119"/>
      <c r="D267" s="277"/>
      <c r="E267" s="143"/>
      <c r="F267" s="130"/>
      <c r="G267" s="283">
        <f>(G265)*1000</f>
        <v>0</v>
      </c>
      <c r="H267" s="119"/>
      <c r="I267" s="117"/>
      <c r="J267" s="117"/>
      <c r="K267" s="117"/>
      <c r="L267" s="119"/>
      <c r="M267" s="126">
        <f>D273</f>
        <v>0</v>
      </c>
      <c r="N267" s="258"/>
      <c r="O267" s="120"/>
      <c r="P267" s="117"/>
      <c r="Q267" s="117"/>
      <c r="R267" s="117"/>
    </row>
    <row r="268" spans="1:18" ht="13.5" thickBot="1">
      <c r="A268" s="117"/>
      <c r="B268" s="279"/>
      <c r="C268" s="119"/>
      <c r="D268" s="281"/>
      <c r="E268" s="120"/>
      <c r="F268" s="252">
        <f>(SUM(F265:F267))*1000</f>
        <v>0</v>
      </c>
      <c r="G268" s="117"/>
      <c r="H268" s="120"/>
      <c r="I268" s="117"/>
      <c r="J268" s="117"/>
      <c r="K268" s="117"/>
      <c r="L268" s="270"/>
      <c r="M268" s="119">
        <f>E269</f>
        <v>0</v>
      </c>
      <c r="N268" s="146">
        <f>N265+N266+N267</f>
        <v>0</v>
      </c>
      <c r="O268" s="144">
        <f>SUM(O265:O267)</f>
        <v>0</v>
      </c>
      <c r="P268" s="117"/>
      <c r="Q268" s="117"/>
      <c r="R268" s="117"/>
    </row>
    <row r="269" spans="1:18" ht="13.5" thickBot="1">
      <c r="A269" s="117"/>
      <c r="B269" s="279"/>
      <c r="C269" s="119"/>
      <c r="D269" s="119"/>
      <c r="E269" s="252">
        <f>(E265)*1000</f>
        <v>0</v>
      </c>
      <c r="F269" s="117"/>
      <c r="G269" s="117"/>
      <c r="H269" s="253">
        <f>(SUM(H265:H268))*1000</f>
        <v>0</v>
      </c>
      <c r="I269" s="117"/>
      <c r="J269" s="117"/>
      <c r="K269" s="117"/>
      <c r="L269" s="119"/>
      <c r="M269" s="119">
        <f>E278</f>
        <v>0</v>
      </c>
      <c r="N269" s="117"/>
      <c r="O269" s="117"/>
      <c r="P269" s="117"/>
      <c r="Q269" s="117"/>
      <c r="R269" s="117"/>
    </row>
    <row r="270" spans="1:18" ht="13.5" thickBot="1">
      <c r="A270" s="117"/>
      <c r="B270" s="119"/>
      <c r="C270" s="119"/>
      <c r="D270" s="119"/>
      <c r="E270" s="117"/>
      <c r="F270" s="117"/>
      <c r="G270" s="117"/>
      <c r="H270" s="285"/>
      <c r="I270" s="293" t="s">
        <v>233</v>
      </c>
      <c r="J270" s="286" t="s">
        <v>235</v>
      </c>
      <c r="K270" s="117"/>
      <c r="L270" s="120"/>
      <c r="M270" s="119">
        <f>F268</f>
        <v>0</v>
      </c>
      <c r="N270" s="117"/>
      <c r="O270" s="117"/>
      <c r="P270" s="117"/>
      <c r="Q270" s="117"/>
      <c r="R270" s="117"/>
    </row>
    <row r="271" spans="1:18" ht="13.5" thickBot="1">
      <c r="A271" s="117"/>
      <c r="B271" s="119"/>
      <c r="C271" s="119"/>
      <c r="D271" s="119"/>
      <c r="E271" s="259" t="s">
        <v>223</v>
      </c>
      <c r="F271" s="117"/>
      <c r="G271" s="117"/>
      <c r="H271" s="287">
        <v>43001</v>
      </c>
      <c r="I271" s="288"/>
      <c r="J271" s="286">
        <f>1831.25</f>
        <v>1831.25</v>
      </c>
      <c r="K271" s="117"/>
      <c r="L271" s="231"/>
      <c r="M271" s="119">
        <f>G267</f>
        <v>0</v>
      </c>
      <c r="N271" s="117"/>
      <c r="O271" s="117"/>
      <c r="P271" s="117"/>
      <c r="Q271" s="117"/>
      <c r="R271" s="117"/>
    </row>
    <row r="272" spans="1:18" ht="13.5" thickBot="1">
      <c r="A272" s="117"/>
      <c r="B272" s="119"/>
      <c r="C272" s="117"/>
      <c r="D272" s="120"/>
      <c r="E272" s="125"/>
      <c r="F272" s="117"/>
      <c r="G272" s="117"/>
      <c r="H272" s="287">
        <v>43003</v>
      </c>
      <c r="I272" s="288"/>
      <c r="J272" s="286">
        <v>1516.25</v>
      </c>
      <c r="K272" s="117"/>
      <c r="L272" s="252">
        <f>(L265+L266+L267+L268+L269+L270+L271)*1000</f>
        <v>0</v>
      </c>
      <c r="M272" s="119">
        <f>H269</f>
        <v>0</v>
      </c>
      <c r="N272" s="117"/>
      <c r="O272" s="117"/>
      <c r="P272" s="117"/>
      <c r="Q272" s="117"/>
      <c r="R272" s="117"/>
    </row>
    <row r="273" spans="1:18" ht="13.5" thickBot="1">
      <c r="A273" s="117"/>
      <c r="B273" s="119"/>
      <c r="C273" s="250">
        <f>(SUM(C265:C272))*1000</f>
        <v>0</v>
      </c>
      <c r="D273" s="252">
        <f>(SUM(D265:D272))*1000</f>
        <v>0</v>
      </c>
      <c r="E273" s="119"/>
      <c r="F273" s="117"/>
      <c r="G273" s="117"/>
      <c r="H273" s="287">
        <v>43004</v>
      </c>
      <c r="I273" s="288"/>
      <c r="J273" s="286">
        <v>2116.5</v>
      </c>
      <c r="K273" s="117"/>
      <c r="L273" s="117"/>
      <c r="M273" s="119">
        <f>I265</f>
        <v>0</v>
      </c>
      <c r="N273" s="117"/>
      <c r="O273" s="137"/>
      <c r="P273" s="137"/>
      <c r="Q273" s="117"/>
      <c r="R273" s="117"/>
    </row>
    <row r="274" spans="1:18" ht="12.75">
      <c r="A274" s="117"/>
      <c r="B274" s="119"/>
      <c r="C274" s="117"/>
      <c r="D274" s="164">
        <f>D273/2</f>
        <v>0</v>
      </c>
      <c r="E274" s="119"/>
      <c r="F274" s="117"/>
      <c r="G274" s="117"/>
      <c r="H274" s="287">
        <v>43005</v>
      </c>
      <c r="I274" s="288"/>
      <c r="J274" s="286">
        <v>2093.75</v>
      </c>
      <c r="K274" s="117"/>
      <c r="L274" s="117"/>
      <c r="M274" s="123">
        <f>J265</f>
        <v>0</v>
      </c>
      <c r="N274" s="117"/>
      <c r="O274" s="137"/>
      <c r="P274" s="137"/>
      <c r="Q274" s="117"/>
      <c r="R274" s="117"/>
    </row>
    <row r="275" spans="1:18" ht="13.5" thickBot="1">
      <c r="A275" s="117"/>
      <c r="B275" s="119"/>
      <c r="C275" s="117"/>
      <c r="E275" s="124"/>
      <c r="F275" s="117"/>
      <c r="G275" s="117"/>
      <c r="H275" s="287">
        <v>43006</v>
      </c>
      <c r="I275" s="288"/>
      <c r="J275" s="286">
        <v>3069.5</v>
      </c>
      <c r="K275" s="117"/>
      <c r="L275" s="117"/>
      <c r="M275" s="123">
        <f>K265</f>
        <v>0</v>
      </c>
      <c r="N275" s="117"/>
      <c r="O275" s="137"/>
      <c r="P275" s="137"/>
      <c r="Q275" s="117"/>
      <c r="R275" s="117"/>
    </row>
    <row r="276" spans="1:18" ht="13.5" thickBot="1">
      <c r="A276" s="117"/>
      <c r="B276" s="119"/>
      <c r="C276" s="117"/>
      <c r="E276" s="121"/>
      <c r="F276" s="117"/>
      <c r="H276" s="289">
        <v>43007</v>
      </c>
      <c r="I276" s="288"/>
      <c r="J276" s="286">
        <v>2822</v>
      </c>
      <c r="M276" s="119">
        <f>L272</f>
        <v>0</v>
      </c>
      <c r="O276" s="117"/>
      <c r="P276" s="117"/>
      <c r="Q276" s="117"/>
      <c r="R276" s="117"/>
    </row>
    <row r="277" spans="1:18" ht="13.5" thickBot="1">
      <c r="A277" s="117"/>
      <c r="B277" s="119"/>
      <c r="C277" s="117"/>
      <c r="E277" s="123"/>
      <c r="F277" s="28"/>
      <c r="H277" s="290"/>
      <c r="I277" s="291">
        <f>SUM(I271:I276)</f>
        <v>0</v>
      </c>
      <c r="J277" s="292">
        <f>SUM(J271:J276)</f>
        <v>13449.25</v>
      </c>
      <c r="M277" s="119">
        <f>P265</f>
        <v>0</v>
      </c>
      <c r="O277" s="117"/>
      <c r="P277" s="117"/>
      <c r="Q277" s="117"/>
      <c r="R277" s="117"/>
    </row>
    <row r="278" spans="1:18" ht="13.5" thickBot="1">
      <c r="A278" s="117"/>
      <c r="B278" s="123"/>
      <c r="C278" s="117"/>
      <c r="E278" s="252">
        <f>SUM(E272:E277)</f>
        <v>0</v>
      </c>
      <c r="H278" s="290"/>
      <c r="I278" s="290"/>
      <c r="J278" s="290"/>
      <c r="M278" s="119">
        <f>Q265</f>
        <v>0</v>
      </c>
      <c r="O278" s="117"/>
      <c r="P278" s="117"/>
      <c r="Q278" s="117"/>
      <c r="R278" s="117"/>
    </row>
    <row r="279" spans="1:13" ht="12.75">
      <c r="A279" s="117"/>
      <c r="B279" s="123"/>
      <c r="C279" s="117"/>
      <c r="F279" s="92"/>
      <c r="M279" s="119">
        <f>R265</f>
        <v>0</v>
      </c>
    </row>
    <row r="280" spans="1:13" ht="12.75">
      <c r="A280" s="117"/>
      <c r="B280" s="123"/>
      <c r="C280" s="117"/>
      <c r="E280" s="247"/>
      <c r="M280" s="119">
        <f>C273</f>
        <v>0</v>
      </c>
    </row>
    <row r="281" spans="1:13" ht="13.5" thickBot="1">
      <c r="A281" s="117"/>
      <c r="B281" s="123"/>
      <c r="C281" s="117"/>
      <c r="E281" s="247"/>
      <c r="M281" s="120"/>
    </row>
    <row r="282" spans="1:3" ht="13.5" thickBot="1">
      <c r="A282" s="117"/>
      <c r="B282" s="123"/>
      <c r="C282" s="117"/>
    </row>
    <row r="283" spans="1:15" ht="13.5" thickBot="1">
      <c r="A283" s="117"/>
      <c r="B283" s="123"/>
      <c r="C283" s="117"/>
      <c r="M283" s="252">
        <f>SUM(M265:M281)</f>
        <v>0</v>
      </c>
      <c r="N283" s="262" t="s">
        <v>177</v>
      </c>
      <c r="O283" s="263" t="s">
        <v>227</v>
      </c>
    </row>
    <row r="284" spans="1:3" ht="13.5" thickBot="1">
      <c r="A284" s="117"/>
      <c r="B284" s="124"/>
      <c r="C284" s="117"/>
    </row>
    <row r="285" spans="1:15" ht="13.5" thickBot="1">
      <c r="A285" s="117"/>
      <c r="B285" s="251">
        <f>(SUM(B265:B284))*1000</f>
        <v>0</v>
      </c>
      <c r="C285" s="117"/>
      <c r="M285" s="249">
        <f>N268</f>
        <v>0</v>
      </c>
      <c r="N285" s="256" t="s">
        <v>179</v>
      </c>
      <c r="O285" s="257" t="s">
        <v>228</v>
      </c>
    </row>
    <row r="286" spans="1:3" ht="13.5" thickBot="1">
      <c r="A286" s="117"/>
      <c r="B286" s="137"/>
      <c r="C286" s="117"/>
    </row>
    <row r="287" spans="1:14" ht="13.5" thickBot="1">
      <c r="A287" s="117"/>
      <c r="B287" s="137"/>
      <c r="C287" s="117"/>
      <c r="M287" s="228" t="e">
        <f>100*(M283/M285)</f>
        <v>#DIV/0!</v>
      </c>
      <c r="N287" s="180" t="s">
        <v>193</v>
      </c>
    </row>
    <row r="288" spans="1:14" ht="12.75">
      <c r="A288" s="117"/>
      <c r="B288" s="137"/>
      <c r="C288" s="117"/>
      <c r="N288" s="264" t="s">
        <v>178</v>
      </c>
    </row>
    <row r="289" spans="1:14" ht="12.75">
      <c r="A289" s="117"/>
      <c r="B289" s="137"/>
      <c r="C289" s="117"/>
      <c r="N289" s="265" t="s">
        <v>180</v>
      </c>
    </row>
    <row r="290" spans="1:3" ht="13.5" thickBot="1">
      <c r="A290" s="117"/>
      <c r="B290" s="137"/>
      <c r="C290" s="117"/>
    </row>
    <row r="291" spans="1:14" ht="13.5" thickBot="1">
      <c r="A291" s="117"/>
      <c r="B291" s="137"/>
      <c r="C291" s="117"/>
      <c r="M291" s="228" t="e">
        <f>M285/(1000*S265)</f>
        <v>#DIV/0!</v>
      </c>
      <c r="N291" s="180" t="s">
        <v>230</v>
      </c>
    </row>
    <row r="292" spans="1:14" ht="12.75">
      <c r="A292" s="117"/>
      <c r="B292" s="137"/>
      <c r="C292" s="117"/>
      <c r="N292" s="169" t="s">
        <v>195</v>
      </c>
    </row>
    <row r="293" ht="13.5" thickBot="1"/>
    <row r="294" spans="1:14" ht="13.5" thickBot="1">
      <c r="A294" s="219" t="s">
        <v>232</v>
      </c>
      <c r="M294" s="261">
        <f>M283</f>
        <v>0</v>
      </c>
      <c r="N294" s="260" t="s">
        <v>215</v>
      </c>
    </row>
    <row r="298" spans="1:11" ht="12.75">
      <c r="A298" s="181" t="s">
        <v>171</v>
      </c>
      <c r="J298" s="306" t="s">
        <v>234</v>
      </c>
      <c r="K298" s="306"/>
    </row>
    <row r="299" ht="13.5" thickBot="1"/>
    <row r="300" spans="1:19" ht="13.5" thickBot="1">
      <c r="A300" s="53" t="s">
        <v>40</v>
      </c>
      <c r="B300" s="15" t="s">
        <v>0</v>
      </c>
      <c r="C300" s="16" t="s">
        <v>1</v>
      </c>
      <c r="D300" s="42" t="s">
        <v>2</v>
      </c>
      <c r="E300" s="142" t="s">
        <v>81</v>
      </c>
      <c r="F300" s="19" t="s">
        <v>4</v>
      </c>
      <c r="G300" s="20" t="s">
        <v>5</v>
      </c>
      <c r="H300" s="33" t="s">
        <v>6</v>
      </c>
      <c r="I300" s="109" t="s">
        <v>141</v>
      </c>
      <c r="J300" s="23" t="s">
        <v>8</v>
      </c>
      <c r="K300" s="24" t="s">
        <v>9</v>
      </c>
      <c r="L300" s="49" t="s">
        <v>14</v>
      </c>
      <c r="M300" s="1" t="s">
        <v>13</v>
      </c>
      <c r="N300" s="3" t="s">
        <v>11</v>
      </c>
      <c r="O300" s="50" t="s">
        <v>114</v>
      </c>
      <c r="P300" s="81" t="s">
        <v>113</v>
      </c>
      <c r="Q300" s="110" t="s">
        <v>142</v>
      </c>
      <c r="R300" s="111" t="s">
        <v>80</v>
      </c>
      <c r="S300" s="190" t="s">
        <v>196</v>
      </c>
    </row>
    <row r="301" spans="1:19" ht="13.5" thickBot="1">
      <c r="A301" s="250"/>
      <c r="B301" s="278"/>
      <c r="C301" s="282"/>
      <c r="D301" s="276"/>
      <c r="E301" s="119"/>
      <c r="F301" s="125"/>
      <c r="G301" s="278"/>
      <c r="H301" s="116"/>
      <c r="I301" s="254"/>
      <c r="J301" s="254"/>
      <c r="K301" s="255"/>
      <c r="L301" s="119"/>
      <c r="M301" s="132">
        <f>A301</f>
        <v>0</v>
      </c>
      <c r="N301" s="135">
        <f>M319</f>
        <v>0</v>
      </c>
      <c r="O301" s="269">
        <v>0</v>
      </c>
      <c r="P301" s="280"/>
      <c r="Q301" s="147">
        <v>0</v>
      </c>
      <c r="R301" s="121">
        <v>0</v>
      </c>
      <c r="S301" s="121"/>
    </row>
    <row r="302" spans="1:18" ht="13.5" thickBot="1">
      <c r="A302" s="117"/>
      <c r="B302" s="279"/>
      <c r="C302" s="119"/>
      <c r="D302" s="277"/>
      <c r="E302" s="123"/>
      <c r="F302" s="126"/>
      <c r="G302" s="133"/>
      <c r="H302" s="119"/>
      <c r="I302" s="117"/>
      <c r="J302" s="117"/>
      <c r="K302" s="117"/>
      <c r="L302" s="119"/>
      <c r="M302" s="126">
        <f>B321</f>
        <v>0</v>
      </c>
      <c r="N302" s="118"/>
      <c r="O302" s="119"/>
      <c r="P302" s="117"/>
      <c r="Q302" s="117"/>
      <c r="R302" s="117"/>
    </row>
    <row r="303" spans="1:18" ht="13.5" thickBot="1">
      <c r="A303" s="117"/>
      <c r="B303" s="279"/>
      <c r="C303" s="119"/>
      <c r="D303" s="277"/>
      <c r="E303" s="143"/>
      <c r="F303" s="119"/>
      <c r="G303" s="296">
        <f>(G301)*1000</f>
        <v>0</v>
      </c>
      <c r="H303" s="119"/>
      <c r="I303" s="117"/>
      <c r="J303" s="117"/>
      <c r="K303" s="117"/>
      <c r="L303" s="119"/>
      <c r="M303" s="126">
        <f>D309</f>
        <v>0</v>
      </c>
      <c r="N303" s="258"/>
      <c r="O303" s="120"/>
      <c r="P303" s="117"/>
      <c r="Q303" s="117"/>
      <c r="R303" s="117"/>
    </row>
    <row r="304" spans="1:18" ht="13.5" thickBot="1">
      <c r="A304" s="117"/>
      <c r="B304" s="279"/>
      <c r="C304" s="119"/>
      <c r="D304" s="281"/>
      <c r="E304" s="120"/>
      <c r="F304" s="119"/>
      <c r="G304" s="117"/>
      <c r="H304" s="120"/>
      <c r="I304" s="117"/>
      <c r="J304" s="117"/>
      <c r="K304" s="117"/>
      <c r="L304" s="270"/>
      <c r="M304" s="119">
        <f>E305</f>
        <v>0</v>
      </c>
      <c r="N304" s="146">
        <f>N301+N302+N303</f>
        <v>0</v>
      </c>
      <c r="O304" s="144">
        <f>SUM(O301:O303)</f>
        <v>0</v>
      </c>
      <c r="P304" s="117"/>
      <c r="Q304" s="117"/>
      <c r="R304" s="117"/>
    </row>
    <row r="305" spans="1:18" ht="13.5" thickBot="1">
      <c r="A305" s="117"/>
      <c r="B305" s="279"/>
      <c r="C305" s="119"/>
      <c r="D305" s="119"/>
      <c r="E305" s="250">
        <f>(E301)*1000</f>
        <v>0</v>
      </c>
      <c r="F305" s="119"/>
      <c r="G305" s="117"/>
      <c r="H305" s="253">
        <f>(SUM(H301:H304))*1000</f>
        <v>0</v>
      </c>
      <c r="I305" s="117"/>
      <c r="J305" s="117"/>
      <c r="K305" s="117"/>
      <c r="L305" s="119"/>
      <c r="M305" s="119">
        <f>E314</f>
        <v>0</v>
      </c>
      <c r="N305" s="117"/>
      <c r="O305" s="117"/>
      <c r="P305" s="117"/>
      <c r="Q305" s="117"/>
      <c r="R305" s="117"/>
    </row>
    <row r="306" spans="1:18" ht="13.5" thickBot="1">
      <c r="A306" s="117"/>
      <c r="B306" s="119"/>
      <c r="C306" s="119"/>
      <c r="D306" s="119"/>
      <c r="E306" s="117"/>
      <c r="F306" s="120"/>
      <c r="G306" s="117"/>
      <c r="H306" s="285"/>
      <c r="I306" s="293" t="s">
        <v>233</v>
      </c>
      <c r="J306" s="286" t="s">
        <v>235</v>
      </c>
      <c r="K306" s="117"/>
      <c r="L306" s="120"/>
      <c r="M306" s="119">
        <f>F307</f>
        <v>0</v>
      </c>
      <c r="N306" s="117"/>
      <c r="O306" s="117"/>
      <c r="P306" s="117"/>
      <c r="Q306" s="117"/>
      <c r="R306" s="117"/>
    </row>
    <row r="307" spans="1:18" ht="13.5" thickBot="1">
      <c r="A307" s="117"/>
      <c r="B307" s="119"/>
      <c r="C307" s="119"/>
      <c r="D307" s="119"/>
      <c r="E307" s="259" t="s">
        <v>223</v>
      </c>
      <c r="F307" s="252">
        <f>(SUM(F301:F306))*1000</f>
        <v>0</v>
      </c>
      <c r="G307" s="117"/>
      <c r="H307" s="287">
        <v>43001</v>
      </c>
      <c r="I307" s="288"/>
      <c r="J307" s="286">
        <f>1831.25</f>
        <v>1831.25</v>
      </c>
      <c r="K307" s="117"/>
      <c r="L307" s="231"/>
      <c r="M307" s="119">
        <f>G303</f>
        <v>0</v>
      </c>
      <c r="N307" s="117"/>
      <c r="O307" s="117"/>
      <c r="P307" s="117"/>
      <c r="Q307" s="117"/>
      <c r="R307" s="117"/>
    </row>
    <row r="308" spans="1:18" ht="13.5" thickBot="1">
      <c r="A308" s="117"/>
      <c r="B308" s="119"/>
      <c r="C308" s="117"/>
      <c r="D308" s="120"/>
      <c r="E308" s="125"/>
      <c r="F308" s="117"/>
      <c r="G308" s="117"/>
      <c r="H308" s="287">
        <v>43003</v>
      </c>
      <c r="I308" s="288"/>
      <c r="J308" s="286">
        <v>1516.25</v>
      </c>
      <c r="K308" s="117"/>
      <c r="L308" s="252">
        <f>(L301+L302+L303+L304+L305+L306+L307)*1000</f>
        <v>0</v>
      </c>
      <c r="M308" s="119">
        <f>H305</f>
        <v>0</v>
      </c>
      <c r="N308" s="117"/>
      <c r="O308" s="117"/>
      <c r="P308" s="117"/>
      <c r="Q308" s="117"/>
      <c r="R308" s="117"/>
    </row>
    <row r="309" spans="1:18" ht="13.5" thickBot="1">
      <c r="A309" s="117"/>
      <c r="B309" s="119"/>
      <c r="C309" s="250">
        <f>(SUM(C301:C308))*1000</f>
        <v>0</v>
      </c>
      <c r="D309" s="252">
        <f>(SUM(D301:D308))*1000</f>
        <v>0</v>
      </c>
      <c r="E309" s="119"/>
      <c r="F309" s="117"/>
      <c r="G309" s="117"/>
      <c r="H309" s="287">
        <v>43004</v>
      </c>
      <c r="I309" s="288"/>
      <c r="J309" s="286">
        <v>2116.5</v>
      </c>
      <c r="K309" s="117"/>
      <c r="L309" s="117"/>
      <c r="M309" s="119">
        <f>I301</f>
        <v>0</v>
      </c>
      <c r="N309" s="117"/>
      <c r="O309" s="137"/>
      <c r="P309" s="137"/>
      <c r="Q309" s="117"/>
      <c r="R309" s="117"/>
    </row>
    <row r="310" spans="1:18" ht="12.75">
      <c r="A310" s="117"/>
      <c r="B310" s="119"/>
      <c r="C310" s="117"/>
      <c r="D310" s="164">
        <f>D309/2</f>
        <v>0</v>
      </c>
      <c r="E310" s="119"/>
      <c r="F310" s="117"/>
      <c r="G310" s="117"/>
      <c r="H310" s="287">
        <v>43005</v>
      </c>
      <c r="I310" s="288"/>
      <c r="J310" s="286">
        <v>2093.75</v>
      </c>
      <c r="K310" s="117"/>
      <c r="L310" s="117"/>
      <c r="M310" s="123">
        <f>J301</f>
        <v>0</v>
      </c>
      <c r="N310" s="117"/>
      <c r="O310" s="137"/>
      <c r="P310" s="137"/>
      <c r="Q310" s="117"/>
      <c r="R310" s="117"/>
    </row>
    <row r="311" spans="1:18" ht="13.5" thickBot="1">
      <c r="A311" s="117"/>
      <c r="B311" s="119"/>
      <c r="C311" s="117"/>
      <c r="E311" s="124"/>
      <c r="F311" s="117"/>
      <c r="G311" s="117"/>
      <c r="H311" s="287">
        <v>43006</v>
      </c>
      <c r="I311" s="288"/>
      <c r="J311" s="286">
        <v>3069.5</v>
      </c>
      <c r="K311" s="117"/>
      <c r="L311" s="117"/>
      <c r="M311" s="123">
        <f>K301</f>
        <v>0</v>
      </c>
      <c r="N311" s="117"/>
      <c r="O311" s="137"/>
      <c r="P311" s="137"/>
      <c r="Q311" s="117"/>
      <c r="R311" s="117"/>
    </row>
    <row r="312" spans="1:18" ht="13.5" thickBot="1">
      <c r="A312" s="117"/>
      <c r="B312" s="119"/>
      <c r="C312" s="117"/>
      <c r="E312" s="121"/>
      <c r="F312" s="117"/>
      <c r="H312" s="289">
        <v>43007</v>
      </c>
      <c r="I312" s="288"/>
      <c r="J312" s="286">
        <v>2822</v>
      </c>
      <c r="M312" s="119">
        <f>L308</f>
        <v>0</v>
      </c>
      <c r="O312" s="117"/>
      <c r="P312" s="117"/>
      <c r="Q312" s="117"/>
      <c r="R312" s="117"/>
    </row>
    <row r="313" spans="1:18" ht="13.5" thickBot="1">
      <c r="A313" s="117"/>
      <c r="B313" s="119"/>
      <c r="C313" s="117"/>
      <c r="E313" s="123"/>
      <c r="F313" s="28"/>
      <c r="H313" s="290"/>
      <c r="I313" s="291">
        <f>SUM(I307:I312)</f>
        <v>0</v>
      </c>
      <c r="J313" s="292">
        <f>SUM(J307:J312)</f>
        <v>13449.25</v>
      </c>
      <c r="M313" s="119">
        <f>P301</f>
        <v>0</v>
      </c>
      <c r="O313" s="117"/>
      <c r="P313" s="117"/>
      <c r="Q313" s="117"/>
      <c r="R313" s="117"/>
    </row>
    <row r="314" spans="1:18" ht="13.5" thickBot="1">
      <c r="A314" s="117"/>
      <c r="B314" s="123"/>
      <c r="C314" s="117"/>
      <c r="E314" s="252">
        <f>SUM(E308:E313)</f>
        <v>0</v>
      </c>
      <c r="H314" s="290"/>
      <c r="I314" s="290"/>
      <c r="J314" s="290"/>
      <c r="M314" s="119">
        <f>Q301</f>
        <v>0</v>
      </c>
      <c r="O314" s="117"/>
      <c r="P314" s="117"/>
      <c r="Q314" s="117"/>
      <c r="R314" s="117"/>
    </row>
    <row r="315" spans="1:13" ht="12.75">
      <c r="A315" s="117"/>
      <c r="B315" s="123"/>
      <c r="C315" s="117"/>
      <c r="F315" s="92"/>
      <c r="M315" s="119">
        <f>R301</f>
        <v>0</v>
      </c>
    </row>
    <row r="316" spans="1:13" ht="12.75">
      <c r="A316" s="117"/>
      <c r="B316" s="123"/>
      <c r="C316" s="117"/>
      <c r="E316" s="247"/>
      <c r="M316" s="119">
        <f>C309</f>
        <v>0</v>
      </c>
    </row>
    <row r="317" spans="1:13" ht="13.5" thickBot="1">
      <c r="A317" s="117"/>
      <c r="B317" s="123"/>
      <c r="C317" s="117"/>
      <c r="E317" s="247"/>
      <c r="M317" s="120"/>
    </row>
    <row r="318" spans="1:3" ht="13.5" thickBot="1">
      <c r="A318" s="117"/>
      <c r="B318" s="123"/>
      <c r="C318" s="117"/>
    </row>
    <row r="319" spans="1:15" ht="13.5" thickBot="1">
      <c r="A319" s="117"/>
      <c r="B319" s="123"/>
      <c r="C319" s="117"/>
      <c r="M319" s="252">
        <f>SUM(M301:M317)</f>
        <v>0</v>
      </c>
      <c r="N319" s="262" t="s">
        <v>177</v>
      </c>
      <c r="O319" s="263" t="s">
        <v>227</v>
      </c>
    </row>
    <row r="320" spans="1:3" ht="13.5" thickBot="1">
      <c r="A320" s="117"/>
      <c r="B320" s="124"/>
      <c r="C320" s="117"/>
    </row>
    <row r="321" spans="1:15" ht="13.5" thickBot="1">
      <c r="A321" s="117"/>
      <c r="B321" s="251">
        <f>(SUM(B301:B320))*1000</f>
        <v>0</v>
      </c>
      <c r="C321" s="117"/>
      <c r="M321" s="249">
        <f>N304</f>
        <v>0</v>
      </c>
      <c r="N321" s="256" t="s">
        <v>179</v>
      </c>
      <c r="O321" s="257" t="s">
        <v>228</v>
      </c>
    </row>
    <row r="322" spans="1:3" ht="13.5" thickBot="1">
      <c r="A322" s="117"/>
      <c r="B322" s="137"/>
      <c r="C322" s="117"/>
    </row>
    <row r="323" spans="1:14" ht="13.5" thickBot="1">
      <c r="A323" s="117"/>
      <c r="B323" s="137"/>
      <c r="C323" s="117"/>
      <c r="M323" s="228" t="e">
        <f>100*(M319/M321)</f>
        <v>#DIV/0!</v>
      </c>
      <c r="N323" s="180" t="s">
        <v>193</v>
      </c>
    </row>
    <row r="324" spans="1:14" ht="12.75">
      <c r="A324" s="117"/>
      <c r="B324" s="137"/>
      <c r="C324" s="117"/>
      <c r="N324" s="264" t="s">
        <v>178</v>
      </c>
    </row>
    <row r="325" spans="1:14" ht="12.75">
      <c r="A325" s="117"/>
      <c r="B325" s="137"/>
      <c r="C325" s="117"/>
      <c r="N325" s="265" t="s">
        <v>180</v>
      </c>
    </row>
    <row r="326" spans="1:3" ht="13.5" thickBot="1">
      <c r="A326" s="117"/>
      <c r="B326" s="137"/>
      <c r="C326" s="117"/>
    </row>
    <row r="327" spans="1:14" ht="13.5" thickBot="1">
      <c r="A327" s="117"/>
      <c r="B327" s="137"/>
      <c r="C327" s="117"/>
      <c r="M327" s="228" t="e">
        <f>M321/(1000*S301)</f>
        <v>#DIV/0!</v>
      </c>
      <c r="N327" s="180" t="s">
        <v>230</v>
      </c>
    </row>
    <row r="328" spans="1:14" ht="12.75">
      <c r="A328" s="117"/>
      <c r="B328" s="137"/>
      <c r="C328" s="117"/>
      <c r="N328" s="169" t="s">
        <v>195</v>
      </c>
    </row>
    <row r="329" ht="13.5" thickBot="1"/>
    <row r="330" spans="1:14" ht="13.5" thickBot="1">
      <c r="A330" s="219" t="s">
        <v>232</v>
      </c>
      <c r="M330" s="261">
        <f>M319</f>
        <v>0</v>
      </c>
      <c r="N330" s="260" t="s">
        <v>215</v>
      </c>
    </row>
    <row r="335" spans="1:11" ht="12.75">
      <c r="A335" s="181" t="s">
        <v>172</v>
      </c>
      <c r="J335" s="306" t="s">
        <v>234</v>
      </c>
      <c r="K335" s="306"/>
    </row>
    <row r="336" ht="13.5" thickBot="1"/>
    <row r="337" spans="1:19" ht="13.5" thickBot="1">
      <c r="A337" s="53" t="s">
        <v>40</v>
      </c>
      <c r="B337" s="15" t="s">
        <v>0</v>
      </c>
      <c r="C337" s="16" t="s">
        <v>1</v>
      </c>
      <c r="D337" s="42" t="s">
        <v>2</v>
      </c>
      <c r="E337" s="142" t="s">
        <v>81</v>
      </c>
      <c r="F337" s="19" t="s">
        <v>4</v>
      </c>
      <c r="G337" s="20" t="s">
        <v>5</v>
      </c>
      <c r="H337" s="33" t="s">
        <v>6</v>
      </c>
      <c r="I337" s="109" t="s">
        <v>141</v>
      </c>
      <c r="J337" s="23" t="s">
        <v>8</v>
      </c>
      <c r="K337" s="24" t="s">
        <v>9</v>
      </c>
      <c r="L337" s="49" t="s">
        <v>14</v>
      </c>
      <c r="M337" s="1" t="s">
        <v>13</v>
      </c>
      <c r="N337" s="3" t="s">
        <v>11</v>
      </c>
      <c r="O337" s="50" t="s">
        <v>114</v>
      </c>
      <c r="P337" s="81" t="s">
        <v>113</v>
      </c>
      <c r="Q337" s="110" t="s">
        <v>142</v>
      </c>
      <c r="R337" s="111" t="s">
        <v>80</v>
      </c>
      <c r="S337" s="190" t="s">
        <v>196</v>
      </c>
    </row>
    <row r="338" spans="1:19" ht="13.5" thickBot="1">
      <c r="A338" s="250"/>
      <c r="B338" s="278"/>
      <c r="C338" s="282"/>
      <c r="D338" s="276"/>
      <c r="E338" s="119"/>
      <c r="F338" s="125"/>
      <c r="G338" s="278"/>
      <c r="H338" s="116"/>
      <c r="I338" s="254"/>
      <c r="J338" s="254"/>
      <c r="K338" s="255"/>
      <c r="L338" s="119"/>
      <c r="M338" s="132">
        <f>A338</f>
        <v>0</v>
      </c>
      <c r="N338" s="135">
        <f>M356</f>
        <v>0</v>
      </c>
      <c r="O338" s="269">
        <v>2000</v>
      </c>
      <c r="P338" s="280"/>
      <c r="Q338" s="147">
        <v>0</v>
      </c>
      <c r="R338" s="121">
        <v>0</v>
      </c>
      <c r="S338" s="121"/>
    </row>
    <row r="339" spans="1:18" ht="13.5" thickBot="1">
      <c r="A339" s="117"/>
      <c r="B339" s="279"/>
      <c r="C339" s="119"/>
      <c r="D339" s="277"/>
      <c r="E339" s="123"/>
      <c r="F339" s="126"/>
      <c r="G339" s="133"/>
      <c r="H339" s="119"/>
      <c r="I339" s="117"/>
      <c r="J339" s="117"/>
      <c r="K339" s="117"/>
      <c r="L339" s="119"/>
      <c r="M339" s="126">
        <f>B358</f>
        <v>0</v>
      </c>
      <c r="N339" s="118"/>
      <c r="O339" s="119"/>
      <c r="P339" s="117"/>
      <c r="Q339" s="117"/>
      <c r="R339" s="117"/>
    </row>
    <row r="340" spans="1:18" ht="13.5" thickBot="1">
      <c r="A340" s="117"/>
      <c r="B340" s="279"/>
      <c r="C340" s="119"/>
      <c r="D340" s="277"/>
      <c r="E340" s="143"/>
      <c r="F340" s="119"/>
      <c r="G340" s="296">
        <f>(G338+G339)*1000</f>
        <v>0</v>
      </c>
      <c r="H340" s="119"/>
      <c r="I340" s="117"/>
      <c r="J340" s="117"/>
      <c r="K340" s="117"/>
      <c r="L340" s="119"/>
      <c r="M340" s="126">
        <f>D346</f>
        <v>0</v>
      </c>
      <c r="N340" s="258"/>
      <c r="O340" s="120"/>
      <c r="P340" s="117"/>
      <c r="Q340" s="117"/>
      <c r="R340" s="117"/>
    </row>
    <row r="341" spans="1:18" ht="13.5" thickBot="1">
      <c r="A341" s="117"/>
      <c r="B341" s="279"/>
      <c r="C341" s="119"/>
      <c r="D341" s="281"/>
      <c r="E341" s="120"/>
      <c r="F341" s="119"/>
      <c r="G341" s="117"/>
      <c r="H341" s="120"/>
      <c r="I341" s="117"/>
      <c r="J341" s="117"/>
      <c r="K341" s="117"/>
      <c r="L341" s="270"/>
      <c r="M341" s="119">
        <f>E342</f>
        <v>0</v>
      </c>
      <c r="N341" s="146">
        <f>N338+N339+N340</f>
        <v>0</v>
      </c>
      <c r="O341" s="144">
        <f>SUM(O338:O340)</f>
        <v>2000</v>
      </c>
      <c r="P341" s="117"/>
      <c r="Q341" s="117"/>
      <c r="R341" s="117"/>
    </row>
    <row r="342" spans="1:18" ht="13.5" thickBot="1">
      <c r="A342" s="117"/>
      <c r="B342" s="279"/>
      <c r="C342" s="119"/>
      <c r="D342" s="119"/>
      <c r="E342" s="250">
        <f>(E338+E339+E340+E341)*1000</f>
        <v>0</v>
      </c>
      <c r="F342" s="119"/>
      <c r="G342" s="117"/>
      <c r="H342" s="253">
        <f>(SUM(H338:H341))*1000</f>
        <v>0</v>
      </c>
      <c r="I342" s="117"/>
      <c r="J342" s="117"/>
      <c r="K342" s="117"/>
      <c r="L342" s="119"/>
      <c r="M342" s="119">
        <f>E351</f>
        <v>0</v>
      </c>
      <c r="N342" s="117"/>
      <c r="O342" s="117"/>
      <c r="P342" s="117"/>
      <c r="Q342" s="117"/>
      <c r="R342" s="117"/>
    </row>
    <row r="343" spans="1:18" ht="13.5" thickBot="1">
      <c r="A343" s="117"/>
      <c r="B343" s="119"/>
      <c r="C343" s="119"/>
      <c r="D343" s="119"/>
      <c r="E343" s="117"/>
      <c r="F343" s="120"/>
      <c r="G343" s="117"/>
      <c r="H343" s="285"/>
      <c r="I343" s="293" t="s">
        <v>233</v>
      </c>
      <c r="J343" s="286" t="s">
        <v>235</v>
      </c>
      <c r="K343" s="117"/>
      <c r="L343" s="120"/>
      <c r="M343" s="119">
        <f>F344</f>
        <v>0</v>
      </c>
      <c r="N343" s="117"/>
      <c r="O343" s="117"/>
      <c r="P343" s="117"/>
      <c r="Q343" s="117"/>
      <c r="R343" s="117"/>
    </row>
    <row r="344" spans="1:18" ht="13.5" thickBot="1">
      <c r="A344" s="117"/>
      <c r="B344" s="119"/>
      <c r="C344" s="119"/>
      <c r="D344" s="119"/>
      <c r="E344" s="259" t="s">
        <v>223</v>
      </c>
      <c r="F344" s="252">
        <f>(SUM(F338:F343))*1000</f>
        <v>0</v>
      </c>
      <c r="G344" s="117"/>
      <c r="H344" s="287">
        <v>43047</v>
      </c>
      <c r="I344" s="288"/>
      <c r="J344" s="286"/>
      <c r="K344" s="117"/>
      <c r="L344" s="231"/>
      <c r="M344" s="119">
        <f>G340</f>
        <v>0</v>
      </c>
      <c r="N344" s="117"/>
      <c r="O344" s="117"/>
      <c r="P344" s="117"/>
      <c r="Q344" s="117"/>
      <c r="R344" s="117"/>
    </row>
    <row r="345" spans="1:18" ht="13.5" thickBot="1">
      <c r="A345" s="117"/>
      <c r="B345" s="119"/>
      <c r="C345" s="117"/>
      <c r="D345" s="120"/>
      <c r="E345" s="125"/>
      <c r="F345" s="117"/>
      <c r="G345" s="117"/>
      <c r="H345" s="287"/>
      <c r="I345" s="288"/>
      <c r="J345" s="286"/>
      <c r="K345" s="117"/>
      <c r="L345" s="252">
        <f>(L338+L339+L340+L341+L342+L343+L344)*1000</f>
        <v>0</v>
      </c>
      <c r="M345" s="119">
        <f>H342</f>
        <v>0</v>
      </c>
      <c r="N345" s="117"/>
      <c r="O345" s="117"/>
      <c r="P345" s="117"/>
      <c r="Q345" s="117"/>
      <c r="R345" s="117"/>
    </row>
    <row r="346" spans="1:18" ht="13.5" thickBot="1">
      <c r="A346" s="117"/>
      <c r="B346" s="119"/>
      <c r="C346" s="250">
        <f>(SUM(C338:C345))*1000</f>
        <v>0</v>
      </c>
      <c r="D346" s="252">
        <f>(SUM(D338:D345))*1000</f>
        <v>0</v>
      </c>
      <c r="E346" s="119"/>
      <c r="F346" s="117"/>
      <c r="G346" s="117"/>
      <c r="H346" s="287"/>
      <c r="I346" s="288"/>
      <c r="J346" s="286"/>
      <c r="K346" s="117"/>
      <c r="L346" s="117"/>
      <c r="M346" s="119">
        <f>I338</f>
        <v>0</v>
      </c>
      <c r="N346" s="117"/>
      <c r="O346" s="137"/>
      <c r="P346" s="137"/>
      <c r="Q346" s="117"/>
      <c r="R346" s="117"/>
    </row>
    <row r="347" spans="1:18" ht="12.75">
      <c r="A347" s="117"/>
      <c r="B347" s="119"/>
      <c r="C347" s="117"/>
      <c r="D347" s="164">
        <f>D346/2</f>
        <v>0</v>
      </c>
      <c r="E347" s="119"/>
      <c r="F347" s="117"/>
      <c r="G347" s="117"/>
      <c r="H347" s="287"/>
      <c r="I347" s="288"/>
      <c r="J347" s="286"/>
      <c r="K347" s="117"/>
      <c r="L347" s="117"/>
      <c r="M347" s="123">
        <f>J338</f>
        <v>0</v>
      </c>
      <c r="N347" s="117"/>
      <c r="O347" s="137"/>
      <c r="P347" s="137"/>
      <c r="Q347" s="117"/>
      <c r="R347" s="117"/>
    </row>
    <row r="348" spans="1:18" ht="13.5" thickBot="1">
      <c r="A348" s="117"/>
      <c r="B348" s="119"/>
      <c r="C348" s="117"/>
      <c r="E348" s="124"/>
      <c r="F348" s="117"/>
      <c r="G348" s="117"/>
      <c r="H348" s="287"/>
      <c r="I348" s="288"/>
      <c r="J348" s="286"/>
      <c r="K348" s="117"/>
      <c r="L348" s="117"/>
      <c r="M348" s="123">
        <f>K338</f>
        <v>0</v>
      </c>
      <c r="N348" s="117"/>
      <c r="O348" s="137"/>
      <c r="P348" s="137"/>
      <c r="Q348" s="117"/>
      <c r="R348" s="117"/>
    </row>
    <row r="349" spans="1:18" ht="13.5" thickBot="1">
      <c r="A349" s="117"/>
      <c r="B349" s="119"/>
      <c r="C349" s="117"/>
      <c r="E349" s="121"/>
      <c r="F349" s="117"/>
      <c r="H349" s="289"/>
      <c r="I349" s="288"/>
      <c r="J349" s="286"/>
      <c r="M349" s="119">
        <f>L345</f>
        <v>0</v>
      </c>
      <c r="O349" s="117"/>
      <c r="P349" s="117"/>
      <c r="Q349" s="117"/>
      <c r="R349" s="117"/>
    </row>
    <row r="350" spans="1:18" ht="13.5" thickBot="1">
      <c r="A350" s="117"/>
      <c r="B350" s="119"/>
      <c r="C350" s="117"/>
      <c r="E350" s="123"/>
      <c r="F350" s="28"/>
      <c r="H350" s="290"/>
      <c r="I350" s="291">
        <f>SUM(I344:I349)</f>
        <v>0</v>
      </c>
      <c r="J350" s="292"/>
      <c r="M350" s="119">
        <f>P338</f>
        <v>0</v>
      </c>
      <c r="O350" s="117"/>
      <c r="P350" s="117"/>
      <c r="Q350" s="117"/>
      <c r="R350" s="117"/>
    </row>
    <row r="351" spans="1:18" ht="13.5" thickBot="1">
      <c r="A351" s="117"/>
      <c r="B351" s="123"/>
      <c r="C351" s="117"/>
      <c r="E351" s="252">
        <f>SUM(E345:E350)</f>
        <v>0</v>
      </c>
      <c r="H351" s="290"/>
      <c r="I351" s="290"/>
      <c r="J351" s="290"/>
      <c r="M351" s="119">
        <f>Q338</f>
        <v>0</v>
      </c>
      <c r="O351" s="117"/>
      <c r="P351" s="117"/>
      <c r="Q351" s="117"/>
      <c r="R351" s="117"/>
    </row>
    <row r="352" spans="1:13" ht="12.75">
      <c r="A352" s="117"/>
      <c r="B352" s="123"/>
      <c r="C352" s="117"/>
      <c r="F352" s="92"/>
      <c r="M352" s="119">
        <f>R338</f>
        <v>0</v>
      </c>
    </row>
    <row r="353" spans="1:13" ht="12.75">
      <c r="A353" s="117"/>
      <c r="B353" s="123"/>
      <c r="C353" s="117"/>
      <c r="E353" s="247"/>
      <c r="M353" s="119">
        <f>C346</f>
        <v>0</v>
      </c>
    </row>
    <row r="354" spans="1:13" ht="13.5" thickBot="1">
      <c r="A354" s="117"/>
      <c r="B354" s="123"/>
      <c r="C354" s="117"/>
      <c r="E354" s="247"/>
      <c r="M354" s="120">
        <f>I344</f>
        <v>0</v>
      </c>
    </row>
    <row r="355" spans="1:3" ht="13.5" thickBot="1">
      <c r="A355" s="117"/>
      <c r="B355" s="123"/>
      <c r="C355" s="117"/>
    </row>
    <row r="356" spans="1:15" ht="13.5" thickBot="1">
      <c r="A356" s="117"/>
      <c r="B356" s="123"/>
      <c r="C356" s="117"/>
      <c r="M356" s="252">
        <f>SUM(M338:M354)</f>
        <v>0</v>
      </c>
      <c r="N356" s="262" t="s">
        <v>177</v>
      </c>
      <c r="O356" s="263" t="s">
        <v>227</v>
      </c>
    </row>
    <row r="357" spans="1:3" ht="13.5" thickBot="1">
      <c r="A357" s="117"/>
      <c r="B357" s="124"/>
      <c r="C357" s="117"/>
    </row>
    <row r="358" spans="1:15" ht="13.5" thickBot="1">
      <c r="A358" s="117"/>
      <c r="B358" s="251">
        <f>(SUM(B338:B357))*1000</f>
        <v>0</v>
      </c>
      <c r="C358" s="117"/>
      <c r="M358" s="249">
        <f>N341</f>
        <v>0</v>
      </c>
      <c r="N358" s="256" t="s">
        <v>179</v>
      </c>
      <c r="O358" s="257" t="s">
        <v>228</v>
      </c>
    </row>
    <row r="359" spans="1:3" ht="13.5" thickBot="1">
      <c r="A359" s="117"/>
      <c r="B359" s="137"/>
      <c r="C359" s="117"/>
    </row>
    <row r="360" spans="1:14" ht="13.5" thickBot="1">
      <c r="A360" s="117"/>
      <c r="B360" s="137"/>
      <c r="C360" s="117"/>
      <c r="M360" s="228" t="e">
        <f>100*(M356/M358)</f>
        <v>#DIV/0!</v>
      </c>
      <c r="N360" s="180" t="s">
        <v>193</v>
      </c>
    </row>
    <row r="361" spans="1:14" ht="12.75">
      <c r="A361" s="117"/>
      <c r="B361" s="137"/>
      <c r="C361" s="117"/>
      <c r="N361" s="264" t="s">
        <v>178</v>
      </c>
    </row>
    <row r="362" spans="1:14" ht="12.75">
      <c r="A362" s="117"/>
      <c r="B362" s="137"/>
      <c r="C362" s="117"/>
      <c r="N362" s="265" t="s">
        <v>180</v>
      </c>
    </row>
    <row r="363" spans="1:3" ht="13.5" thickBot="1">
      <c r="A363" s="117"/>
      <c r="B363" s="137"/>
      <c r="C363" s="117"/>
    </row>
    <row r="364" spans="1:14" ht="13.5" thickBot="1">
      <c r="A364" s="117"/>
      <c r="B364" s="137"/>
      <c r="C364" s="117"/>
      <c r="M364" s="228" t="e">
        <f>M358/(1000*S338)</f>
        <v>#DIV/0!</v>
      </c>
      <c r="N364" s="180" t="s">
        <v>230</v>
      </c>
    </row>
    <row r="365" spans="1:14" ht="12.75">
      <c r="A365" s="117"/>
      <c r="B365" s="137"/>
      <c r="C365" s="117"/>
      <c r="N365" s="169" t="s">
        <v>195</v>
      </c>
    </row>
    <row r="366" ht="13.5" thickBot="1"/>
    <row r="367" spans="1:14" ht="13.5" thickBot="1">
      <c r="A367" s="219" t="s">
        <v>232</v>
      </c>
      <c r="M367" s="261">
        <f>M356</f>
        <v>0</v>
      </c>
      <c r="N367" s="260" t="s">
        <v>215</v>
      </c>
    </row>
    <row r="371" spans="1:11" ht="12.75">
      <c r="A371" s="181" t="s">
        <v>173</v>
      </c>
      <c r="J371" s="306" t="s">
        <v>234</v>
      </c>
      <c r="K371" s="306"/>
    </row>
    <row r="372" ht="13.5" thickBot="1"/>
    <row r="373" spans="1:19" ht="13.5" thickBot="1">
      <c r="A373" s="53" t="s">
        <v>40</v>
      </c>
      <c r="B373" s="15" t="s">
        <v>0</v>
      </c>
      <c r="C373" s="16" t="s">
        <v>1</v>
      </c>
      <c r="D373" s="42" t="s">
        <v>2</v>
      </c>
      <c r="E373" s="142" t="s">
        <v>81</v>
      </c>
      <c r="F373" s="19" t="s">
        <v>4</v>
      </c>
      <c r="G373" s="20" t="s">
        <v>5</v>
      </c>
      <c r="H373" s="33" t="s">
        <v>6</v>
      </c>
      <c r="I373" s="109" t="s">
        <v>141</v>
      </c>
      <c r="J373" s="23" t="s">
        <v>8</v>
      </c>
      <c r="K373" s="24" t="s">
        <v>9</v>
      </c>
      <c r="L373" s="49" t="s">
        <v>14</v>
      </c>
      <c r="M373" s="1" t="s">
        <v>13</v>
      </c>
      <c r="N373" s="3" t="s">
        <v>11</v>
      </c>
      <c r="O373" s="50" t="s">
        <v>114</v>
      </c>
      <c r="P373" s="81" t="s">
        <v>113</v>
      </c>
      <c r="Q373" s="110" t="s">
        <v>142</v>
      </c>
      <c r="R373" s="111" t="s">
        <v>80</v>
      </c>
      <c r="S373" s="190" t="s">
        <v>196</v>
      </c>
    </row>
    <row r="374" spans="1:19" ht="13.5" thickBot="1">
      <c r="A374" s="250"/>
      <c r="B374" s="278"/>
      <c r="C374" s="282"/>
      <c r="D374" s="276"/>
      <c r="E374" s="119"/>
      <c r="F374" s="125"/>
      <c r="G374" s="278"/>
      <c r="H374" s="116"/>
      <c r="I374" s="254"/>
      <c r="J374" s="254"/>
      <c r="K374" s="255"/>
      <c r="L374" s="119"/>
      <c r="M374" s="132">
        <f>A374</f>
        <v>0</v>
      </c>
      <c r="N374" s="135"/>
      <c r="O374" s="269"/>
      <c r="P374" s="280"/>
      <c r="Q374" s="147">
        <v>0</v>
      </c>
      <c r="R374" s="121">
        <v>0</v>
      </c>
      <c r="S374" s="121"/>
    </row>
    <row r="375" spans="1:18" ht="13.5" thickBot="1">
      <c r="A375" s="117"/>
      <c r="B375" s="279"/>
      <c r="C375" s="119"/>
      <c r="D375" s="277"/>
      <c r="E375" s="123"/>
      <c r="F375" s="126"/>
      <c r="G375" s="133"/>
      <c r="H375" s="119"/>
      <c r="I375" s="117"/>
      <c r="J375" s="117"/>
      <c r="K375" s="117"/>
      <c r="L375" s="119"/>
      <c r="M375" s="126">
        <f>B394</f>
        <v>0</v>
      </c>
      <c r="N375" s="118"/>
      <c r="O375" s="119"/>
      <c r="P375" s="117"/>
      <c r="Q375" s="117"/>
      <c r="R375" s="117"/>
    </row>
    <row r="376" spans="1:18" ht="13.5" thickBot="1">
      <c r="A376" s="117"/>
      <c r="B376" s="279"/>
      <c r="C376" s="119"/>
      <c r="D376" s="277"/>
      <c r="E376" s="143"/>
      <c r="F376" s="119"/>
      <c r="G376" s="296">
        <f>(G374+G375)*1000</f>
        <v>0</v>
      </c>
      <c r="H376" s="119"/>
      <c r="I376" s="117"/>
      <c r="J376" s="117"/>
      <c r="K376" s="117"/>
      <c r="L376" s="119"/>
      <c r="M376" s="126">
        <f>D382</f>
        <v>0</v>
      </c>
      <c r="N376" s="258"/>
      <c r="O376" s="120"/>
      <c r="P376" s="117"/>
      <c r="Q376" s="117"/>
      <c r="R376" s="117"/>
    </row>
    <row r="377" spans="1:18" ht="13.5" thickBot="1">
      <c r="A377" s="117"/>
      <c r="B377" s="279"/>
      <c r="C377" s="119"/>
      <c r="D377" s="281"/>
      <c r="E377" s="120"/>
      <c r="F377" s="119"/>
      <c r="G377" s="117"/>
      <c r="H377" s="120"/>
      <c r="I377" s="117"/>
      <c r="J377" s="117"/>
      <c r="K377" s="117"/>
      <c r="L377" s="270"/>
      <c r="M377" s="119">
        <f>E378</f>
        <v>0</v>
      </c>
      <c r="N377" s="146">
        <f>N374+N375+N376</f>
        <v>0</v>
      </c>
      <c r="O377" s="144">
        <f>SUM(O374:O376)</f>
        <v>0</v>
      </c>
      <c r="P377" s="117"/>
      <c r="Q377" s="117"/>
      <c r="R377" s="117"/>
    </row>
    <row r="378" spans="1:18" ht="13.5" thickBot="1">
      <c r="A378" s="117"/>
      <c r="B378" s="279"/>
      <c r="C378" s="119"/>
      <c r="D378" s="119"/>
      <c r="E378" s="250">
        <f>(E374+E375+E376+E377)*1000</f>
        <v>0</v>
      </c>
      <c r="F378" s="119"/>
      <c r="G378" s="117"/>
      <c r="H378" s="253">
        <f>(SUM(H374:H377))*1000</f>
        <v>0</v>
      </c>
      <c r="I378" s="117"/>
      <c r="J378" s="117"/>
      <c r="K378" s="117"/>
      <c r="L378" s="119"/>
      <c r="M378" s="119">
        <f>E387</f>
        <v>0</v>
      </c>
      <c r="N378" s="117"/>
      <c r="O378" s="117"/>
      <c r="P378" s="117"/>
      <c r="Q378" s="117"/>
      <c r="R378" s="117"/>
    </row>
    <row r="379" spans="1:18" ht="13.5" thickBot="1">
      <c r="A379" s="117"/>
      <c r="B379" s="119"/>
      <c r="C379" s="119"/>
      <c r="D379" s="119"/>
      <c r="E379" s="117"/>
      <c r="F379" s="120"/>
      <c r="G379" s="117"/>
      <c r="H379" s="285"/>
      <c r="I379" s="293" t="s">
        <v>233</v>
      </c>
      <c r="J379" s="286" t="s">
        <v>235</v>
      </c>
      <c r="K379" s="117"/>
      <c r="L379" s="120"/>
      <c r="M379" s="119">
        <f>F380</f>
        <v>0</v>
      </c>
      <c r="N379" s="117"/>
      <c r="O379" s="117"/>
      <c r="P379" s="117"/>
      <c r="Q379" s="117"/>
      <c r="R379" s="117"/>
    </row>
    <row r="380" spans="1:18" ht="13.5" thickBot="1">
      <c r="A380" s="117"/>
      <c r="B380" s="119"/>
      <c r="C380" s="119"/>
      <c r="D380" s="119"/>
      <c r="E380" s="259" t="s">
        <v>223</v>
      </c>
      <c r="F380" s="252">
        <f>(SUM(F374:F379))*1000</f>
        <v>0</v>
      </c>
      <c r="G380" s="117"/>
      <c r="H380" s="287">
        <v>43093</v>
      </c>
      <c r="I380" s="288"/>
      <c r="J380" s="286"/>
      <c r="K380" s="117"/>
      <c r="L380" s="231"/>
      <c r="M380" s="119">
        <f>G376</f>
        <v>0</v>
      </c>
      <c r="N380" s="117"/>
      <c r="O380" s="117"/>
      <c r="P380" s="117"/>
      <c r="Q380" s="117"/>
      <c r="R380" s="117"/>
    </row>
    <row r="381" spans="1:18" ht="13.5" thickBot="1">
      <c r="A381" s="117"/>
      <c r="B381" s="119"/>
      <c r="C381" s="117"/>
      <c r="D381" s="120"/>
      <c r="E381" s="125"/>
      <c r="F381" s="117"/>
      <c r="G381" s="117"/>
      <c r="H381" s="287"/>
      <c r="I381" s="288"/>
      <c r="J381" s="286"/>
      <c r="K381" s="117"/>
      <c r="L381" s="252">
        <f>(L374+L375+L376+L377+L378+L379+L380)*1000</f>
        <v>0</v>
      </c>
      <c r="M381" s="119">
        <f>H378</f>
        <v>0</v>
      </c>
      <c r="N381" s="117"/>
      <c r="O381" s="117"/>
      <c r="P381" s="117"/>
      <c r="Q381" s="117"/>
      <c r="R381" s="117"/>
    </row>
    <row r="382" spans="1:18" ht="13.5" thickBot="1">
      <c r="A382" s="117"/>
      <c r="B382" s="119"/>
      <c r="C382" s="250">
        <f>(SUM(C374:C381))*1000</f>
        <v>0</v>
      </c>
      <c r="D382" s="252">
        <f>(SUM(D374:D381))*1000</f>
        <v>0</v>
      </c>
      <c r="E382" s="119"/>
      <c r="F382" s="117"/>
      <c r="G382" s="117"/>
      <c r="H382" s="287"/>
      <c r="I382" s="288"/>
      <c r="J382" s="286"/>
      <c r="K382" s="117"/>
      <c r="L382" s="117"/>
      <c r="M382" s="119">
        <f>I374</f>
        <v>0</v>
      </c>
      <c r="N382" s="117"/>
      <c r="O382" s="137"/>
      <c r="P382" s="137"/>
      <c r="Q382" s="117"/>
      <c r="R382" s="117"/>
    </row>
    <row r="383" spans="1:18" ht="12.75">
      <c r="A383" s="117"/>
      <c r="B383" s="119"/>
      <c r="C383" s="117"/>
      <c r="D383" s="164">
        <f>D382/2</f>
        <v>0</v>
      </c>
      <c r="E383" s="119"/>
      <c r="F383" s="117"/>
      <c r="G383" s="117"/>
      <c r="H383" s="287"/>
      <c r="I383" s="288"/>
      <c r="J383" s="286"/>
      <c r="K383" s="117"/>
      <c r="L383" s="117"/>
      <c r="M383" s="123">
        <f>J374</f>
        <v>0</v>
      </c>
      <c r="N383" s="117"/>
      <c r="O383" s="137"/>
      <c r="P383" s="137"/>
      <c r="Q383" s="117"/>
      <c r="R383" s="117"/>
    </row>
    <row r="384" spans="1:18" ht="13.5" thickBot="1">
      <c r="A384" s="117"/>
      <c r="B384" s="119"/>
      <c r="C384" s="117"/>
      <c r="E384" s="124"/>
      <c r="F384" s="117"/>
      <c r="G384" s="117"/>
      <c r="H384" s="287"/>
      <c r="I384" s="288"/>
      <c r="J384" s="286"/>
      <c r="K384" s="117"/>
      <c r="L384" s="117"/>
      <c r="M384" s="123">
        <f>K374</f>
        <v>0</v>
      </c>
      <c r="N384" s="117"/>
      <c r="O384" s="137"/>
      <c r="P384" s="137"/>
      <c r="Q384" s="117"/>
      <c r="R384" s="117"/>
    </row>
    <row r="385" spans="1:18" ht="13.5" thickBot="1">
      <c r="A385" s="117"/>
      <c r="B385" s="119"/>
      <c r="C385" s="117"/>
      <c r="E385" s="121"/>
      <c r="F385" s="117"/>
      <c r="H385" s="289"/>
      <c r="I385" s="288"/>
      <c r="J385" s="286"/>
      <c r="M385" s="119">
        <f>L381</f>
        <v>0</v>
      </c>
      <c r="O385" s="117"/>
      <c r="P385" s="117"/>
      <c r="Q385" s="117"/>
      <c r="R385" s="117"/>
    </row>
    <row r="386" spans="1:18" ht="13.5" thickBot="1">
      <c r="A386" s="117"/>
      <c r="B386" s="119"/>
      <c r="C386" s="117"/>
      <c r="E386" s="123"/>
      <c r="F386" s="28"/>
      <c r="H386" s="290"/>
      <c r="I386" s="291">
        <f>SUM(I380:I385)</f>
        <v>0</v>
      </c>
      <c r="J386" s="292"/>
      <c r="M386" s="119">
        <f>P374</f>
        <v>0</v>
      </c>
      <c r="O386" s="117"/>
      <c r="P386" s="117"/>
      <c r="Q386" s="117"/>
      <c r="R386" s="117"/>
    </row>
    <row r="387" spans="1:18" ht="13.5" thickBot="1">
      <c r="A387" s="117"/>
      <c r="B387" s="123"/>
      <c r="C387" s="117"/>
      <c r="E387" s="252">
        <f>SUM(E381:E386)</f>
        <v>0</v>
      </c>
      <c r="H387" s="290"/>
      <c r="I387" s="290"/>
      <c r="J387" s="290"/>
      <c r="M387" s="119">
        <f>Q374</f>
        <v>0</v>
      </c>
      <c r="O387" s="117"/>
      <c r="P387" s="117"/>
      <c r="Q387" s="117"/>
      <c r="R387" s="117"/>
    </row>
    <row r="388" spans="1:13" ht="12.75">
      <c r="A388" s="117"/>
      <c r="B388" s="123"/>
      <c r="C388" s="117"/>
      <c r="F388" s="92"/>
      <c r="M388" s="119">
        <f>R374</f>
        <v>0</v>
      </c>
    </row>
    <row r="389" spans="1:13" ht="12.75">
      <c r="A389" s="117"/>
      <c r="B389" s="123"/>
      <c r="C389" s="117"/>
      <c r="E389" s="247"/>
      <c r="M389" s="119">
        <f>C382</f>
        <v>0</v>
      </c>
    </row>
    <row r="390" spans="1:13" ht="13.5" thickBot="1">
      <c r="A390" s="117"/>
      <c r="B390" s="123"/>
      <c r="C390" s="117"/>
      <c r="E390" s="247"/>
      <c r="M390" s="120">
        <f>I386</f>
        <v>0</v>
      </c>
    </row>
    <row r="391" spans="1:3" ht="13.5" thickBot="1">
      <c r="A391" s="117"/>
      <c r="B391" s="123"/>
      <c r="C391" s="117"/>
    </row>
    <row r="392" spans="1:15" ht="13.5" thickBot="1">
      <c r="A392" s="117"/>
      <c r="B392" s="123"/>
      <c r="C392" s="117"/>
      <c r="M392" s="252">
        <f>SUM(M374:M390)</f>
        <v>0</v>
      </c>
      <c r="N392" s="262" t="s">
        <v>177</v>
      </c>
      <c r="O392" s="263" t="s">
        <v>227</v>
      </c>
    </row>
    <row r="393" spans="1:3" ht="13.5" thickBot="1">
      <c r="A393" s="117"/>
      <c r="B393" s="124"/>
      <c r="C393" s="117"/>
    </row>
    <row r="394" spans="1:15" ht="13.5" thickBot="1">
      <c r="A394" s="117"/>
      <c r="B394" s="251">
        <f>(SUM(B374:B393))*1000</f>
        <v>0</v>
      </c>
      <c r="C394" s="117"/>
      <c r="M394" s="249">
        <f>N377</f>
        <v>0</v>
      </c>
      <c r="N394" s="256" t="s">
        <v>179</v>
      </c>
      <c r="O394" s="257" t="s">
        <v>228</v>
      </c>
    </row>
    <row r="395" spans="1:3" ht="13.5" thickBot="1">
      <c r="A395" s="117"/>
      <c r="B395" s="137"/>
      <c r="C395" s="117"/>
    </row>
    <row r="396" spans="1:14" ht="13.5" thickBot="1">
      <c r="A396" s="117"/>
      <c r="B396" s="137"/>
      <c r="C396" s="117"/>
      <c r="M396" s="228" t="e">
        <f>100*(M392/M394)</f>
        <v>#DIV/0!</v>
      </c>
      <c r="N396" s="180" t="s">
        <v>193</v>
      </c>
    </row>
    <row r="397" spans="1:14" ht="12.75">
      <c r="A397" s="117"/>
      <c r="B397" s="137"/>
      <c r="C397" s="117"/>
      <c r="N397" s="264" t="s">
        <v>178</v>
      </c>
    </row>
    <row r="398" spans="1:14" ht="12.75">
      <c r="A398" s="117"/>
      <c r="B398" s="137"/>
      <c r="C398" s="117"/>
      <c r="N398" s="265" t="s">
        <v>180</v>
      </c>
    </row>
    <row r="399" spans="1:3" ht="13.5" thickBot="1">
      <c r="A399" s="117"/>
      <c r="B399" s="137"/>
      <c r="C399" s="117"/>
    </row>
    <row r="400" spans="1:14" ht="13.5" thickBot="1">
      <c r="A400" s="117"/>
      <c r="B400" s="137"/>
      <c r="C400" s="117"/>
      <c r="M400" s="228" t="e">
        <f>M394/(1000*S374)</f>
        <v>#DIV/0!</v>
      </c>
      <c r="N400" s="180" t="s">
        <v>230</v>
      </c>
    </row>
    <row r="401" spans="1:14" ht="12.75">
      <c r="A401" s="117"/>
      <c r="B401" s="137"/>
      <c r="C401" s="117"/>
      <c r="N401" s="169" t="s">
        <v>195</v>
      </c>
    </row>
    <row r="402" ht="13.5" thickBot="1"/>
    <row r="403" spans="1:14" ht="13.5" thickBot="1">
      <c r="A403" s="219" t="s">
        <v>232</v>
      </c>
      <c r="M403" s="261">
        <f>M392</f>
        <v>0</v>
      </c>
      <c r="N403" s="260" t="s">
        <v>215</v>
      </c>
    </row>
    <row r="413" s="173" customFormat="1" ht="12.75">
      <c r="A413" s="172"/>
    </row>
    <row r="414" spans="1:25" ht="69" customHeight="1">
      <c r="A414" s="192" t="s">
        <v>161</v>
      </c>
      <c r="B414" s="193" t="s">
        <v>40</v>
      </c>
      <c r="C414" s="194" t="s">
        <v>0</v>
      </c>
      <c r="D414" s="195" t="s">
        <v>1</v>
      </c>
      <c r="E414" s="196" t="s">
        <v>174</v>
      </c>
      <c r="F414" s="197" t="s">
        <v>81</v>
      </c>
      <c r="G414" s="198" t="s">
        <v>56</v>
      </c>
      <c r="H414" s="199" t="s">
        <v>4</v>
      </c>
      <c r="I414" s="200" t="s">
        <v>5</v>
      </c>
      <c r="J414" s="201" t="s">
        <v>6</v>
      </c>
      <c r="K414" s="202" t="s">
        <v>237</v>
      </c>
      <c r="L414" s="203" t="s">
        <v>238</v>
      </c>
      <c r="M414" s="204" t="s">
        <v>239</v>
      </c>
      <c r="N414" s="205" t="s">
        <v>14</v>
      </c>
      <c r="O414" s="212" t="s">
        <v>216</v>
      </c>
      <c r="P414" s="220" t="s">
        <v>217</v>
      </c>
      <c r="Q414" s="206" t="s">
        <v>114</v>
      </c>
      <c r="R414" s="207" t="s">
        <v>113</v>
      </c>
      <c r="S414" s="208" t="s">
        <v>142</v>
      </c>
      <c r="T414" s="209" t="s">
        <v>80</v>
      </c>
      <c r="U414" s="210" t="s">
        <v>220</v>
      </c>
      <c r="V414" s="211" t="s">
        <v>196</v>
      </c>
      <c r="W414" s="192" t="s">
        <v>221</v>
      </c>
      <c r="X414" s="192" t="s">
        <v>222</v>
      </c>
      <c r="Y414" s="226" t="s">
        <v>218</v>
      </c>
    </row>
    <row r="415" spans="1:25" ht="12.75">
      <c r="A415" s="172" t="s">
        <v>162</v>
      </c>
      <c r="B415" s="171">
        <f>A4</f>
        <v>0</v>
      </c>
      <c r="C415" s="171">
        <f>B15</f>
        <v>110620</v>
      </c>
      <c r="D415" s="171">
        <f>C9</f>
        <v>0</v>
      </c>
      <c r="E415" s="171">
        <f>D14</f>
        <v>28240.000000000004</v>
      </c>
      <c r="F415" s="171">
        <f>E8</f>
        <v>0</v>
      </c>
      <c r="G415" s="171">
        <f>E15</f>
        <v>0</v>
      </c>
      <c r="H415" s="171">
        <f>F9</f>
        <v>23480</v>
      </c>
      <c r="I415" s="171">
        <f>G6</f>
        <v>0</v>
      </c>
      <c r="J415" s="171">
        <f>H8</f>
        <v>0</v>
      </c>
      <c r="K415" s="171">
        <f>I4</f>
        <v>336950</v>
      </c>
      <c r="L415" s="171">
        <f>J4</f>
        <v>519760</v>
      </c>
      <c r="M415" s="171">
        <f>K4</f>
        <v>2308540</v>
      </c>
      <c r="N415" s="171">
        <f>L10</f>
        <v>5380</v>
      </c>
      <c r="O415" s="171">
        <f>M16</f>
        <v>3332970</v>
      </c>
      <c r="P415" s="221">
        <f>N7</f>
        <v>3332970</v>
      </c>
      <c r="Q415" s="171">
        <f>O7</f>
        <v>0</v>
      </c>
      <c r="R415" s="171">
        <f>P4</f>
        <v>0</v>
      </c>
      <c r="S415" s="171">
        <f>Q4</f>
        <v>0</v>
      </c>
      <c r="T415" s="171">
        <f>R4</f>
        <v>0</v>
      </c>
      <c r="U415" s="302">
        <f aca="true" t="shared" si="0" ref="U415:U424">100*(O415/P415)</f>
        <v>100</v>
      </c>
      <c r="V415" s="171">
        <f>S4</f>
        <v>144</v>
      </c>
      <c r="W415" s="294">
        <f>M24</f>
        <v>23.145625</v>
      </c>
      <c r="X415" s="171">
        <v>22</v>
      </c>
      <c r="Y415" s="76"/>
    </row>
    <row r="416" spans="1:25" ht="12.75">
      <c r="A416" s="172" t="s">
        <v>163</v>
      </c>
      <c r="B416" s="171">
        <f>A31</f>
        <v>0</v>
      </c>
      <c r="C416" s="171">
        <f>B50</f>
        <v>108989.99999999999</v>
      </c>
      <c r="D416" s="171">
        <f>C36</f>
        <v>6000</v>
      </c>
      <c r="E416" s="171">
        <f>D39</f>
        <v>40720</v>
      </c>
      <c r="F416" s="171">
        <f>E35</f>
        <v>0</v>
      </c>
      <c r="G416" s="171">
        <f>E44</f>
        <v>0</v>
      </c>
      <c r="H416" s="171">
        <f>F34</f>
        <v>21460</v>
      </c>
      <c r="I416" s="171">
        <f>G33</f>
        <v>0</v>
      </c>
      <c r="J416" s="171">
        <f>H35</f>
        <v>0</v>
      </c>
      <c r="K416" s="171">
        <f>I31</f>
        <v>379000</v>
      </c>
      <c r="L416" s="171">
        <f>J31</f>
        <v>490000</v>
      </c>
      <c r="M416" s="171">
        <f>K31</f>
        <v>3160000</v>
      </c>
      <c r="N416" s="171">
        <f>L37</f>
        <v>1080</v>
      </c>
      <c r="O416" s="171">
        <f>M46</f>
        <v>4236610</v>
      </c>
      <c r="P416" s="221">
        <f>M48</f>
        <v>4236610</v>
      </c>
      <c r="Q416" s="171">
        <f>O34</f>
        <v>0</v>
      </c>
      <c r="R416" s="171">
        <f>P31</f>
        <v>0</v>
      </c>
      <c r="S416" s="171">
        <f>Q31</f>
        <v>0</v>
      </c>
      <c r="T416" s="171">
        <f>R31</f>
        <v>0</v>
      </c>
      <c r="U416" s="303">
        <f t="shared" si="0"/>
        <v>100</v>
      </c>
      <c r="V416" s="171">
        <f>S31</f>
        <v>159</v>
      </c>
      <c r="W416" s="294">
        <f>M54</f>
        <v>26.645345911949686</v>
      </c>
      <c r="X416" s="171">
        <v>22</v>
      </c>
      <c r="Y416" s="76"/>
    </row>
    <row r="417" spans="1:25" ht="12.75">
      <c r="A417" s="172" t="s">
        <v>164</v>
      </c>
      <c r="B417" s="171">
        <f>A64</f>
        <v>0</v>
      </c>
      <c r="C417" s="171">
        <f>B83</f>
        <v>128660</v>
      </c>
      <c r="D417" s="171">
        <f>C69</f>
        <v>8800</v>
      </c>
      <c r="E417" s="171">
        <f>D72</f>
        <v>16640</v>
      </c>
      <c r="F417" s="171">
        <f>E68</f>
        <v>0</v>
      </c>
      <c r="G417" s="171">
        <f>E77</f>
        <v>0</v>
      </c>
      <c r="H417" s="171">
        <f>F67</f>
        <v>41520</v>
      </c>
      <c r="I417" s="171">
        <f>G66</f>
        <v>2460</v>
      </c>
      <c r="J417" s="171">
        <f>H68</f>
        <v>7580</v>
      </c>
      <c r="K417" s="171">
        <f>I64</f>
        <v>494580</v>
      </c>
      <c r="L417" s="171">
        <f>J64</f>
        <v>737140</v>
      </c>
      <c r="M417" s="171">
        <f>K64</f>
        <v>4004060</v>
      </c>
      <c r="N417" s="171">
        <f>L70</f>
        <v>9200</v>
      </c>
      <c r="O417" s="171">
        <f>M79</f>
        <v>5450640</v>
      </c>
      <c r="P417" s="221">
        <f>N67</f>
        <v>5450640</v>
      </c>
      <c r="Q417" s="171">
        <f>O67</f>
        <v>0</v>
      </c>
      <c r="R417" s="171">
        <f>P64</f>
        <v>0</v>
      </c>
      <c r="S417" s="171">
        <v>0</v>
      </c>
      <c r="T417" s="171">
        <v>0</v>
      </c>
      <c r="U417" s="303">
        <f t="shared" si="0"/>
        <v>100</v>
      </c>
      <c r="V417" s="171">
        <f>S64</f>
        <v>256</v>
      </c>
      <c r="W417" s="295">
        <f>M87</f>
        <v>21.2915625</v>
      </c>
      <c r="X417" s="171">
        <v>22</v>
      </c>
      <c r="Y417" s="76"/>
    </row>
    <row r="418" spans="1:25" ht="12.75">
      <c r="A418" s="172" t="s">
        <v>165</v>
      </c>
      <c r="B418" s="171">
        <f>A97</f>
        <v>0</v>
      </c>
      <c r="C418" s="171">
        <f>B116</f>
        <v>97320</v>
      </c>
      <c r="D418" s="171">
        <f>C105</f>
        <v>7600.000000000001</v>
      </c>
      <c r="E418" s="171">
        <f>D105</f>
        <v>30060</v>
      </c>
      <c r="F418" s="171">
        <f>E101</f>
        <v>0</v>
      </c>
      <c r="G418" s="171">
        <f>E110</f>
        <v>0</v>
      </c>
      <c r="H418" s="171">
        <f>F100</f>
        <v>18040</v>
      </c>
      <c r="I418" s="171">
        <f>G99</f>
        <v>2720</v>
      </c>
      <c r="J418" s="171">
        <f>H101</f>
        <v>9360</v>
      </c>
      <c r="K418" s="171">
        <f>I97</f>
        <v>420280</v>
      </c>
      <c r="L418" s="171">
        <f>J97</f>
        <v>766520</v>
      </c>
      <c r="M418" s="171">
        <f>K97</f>
        <v>3806300</v>
      </c>
      <c r="N418" s="171">
        <f>L104</f>
        <v>6180.000000000001</v>
      </c>
      <c r="O418" s="171">
        <f>M112</f>
        <v>5240340</v>
      </c>
      <c r="P418" s="221">
        <f>N100</f>
        <v>5246340</v>
      </c>
      <c r="Q418" s="171">
        <f>O100</f>
        <v>6000</v>
      </c>
      <c r="R418" s="171">
        <f>P97</f>
        <v>0</v>
      </c>
      <c r="S418" s="171">
        <v>0</v>
      </c>
      <c r="T418" s="171">
        <v>0</v>
      </c>
      <c r="U418" s="302">
        <f t="shared" si="0"/>
        <v>99.88563455666237</v>
      </c>
      <c r="V418" s="171">
        <f>S97</f>
        <v>213.75</v>
      </c>
      <c r="W418" s="294">
        <f>M120</f>
        <v>24.544280701754385</v>
      </c>
      <c r="X418" s="171">
        <v>22</v>
      </c>
      <c r="Y418" s="76"/>
    </row>
    <row r="419" spans="1:25" ht="12.75">
      <c r="A419" s="172" t="s">
        <v>166</v>
      </c>
      <c r="B419" s="171">
        <f>A131</f>
        <v>0</v>
      </c>
      <c r="C419" s="171">
        <f>B150</f>
        <v>123780</v>
      </c>
      <c r="D419" s="171">
        <f>C139</f>
        <v>3180</v>
      </c>
      <c r="E419" s="171">
        <f>D139</f>
        <v>14260</v>
      </c>
      <c r="F419" s="171">
        <f>E135</f>
        <v>8260</v>
      </c>
      <c r="G419" s="171">
        <f>E144</f>
        <v>0</v>
      </c>
      <c r="H419" s="171">
        <f>F134</f>
        <v>33320</v>
      </c>
      <c r="I419" s="171">
        <f>G133</f>
        <v>2540</v>
      </c>
      <c r="J419" s="171">
        <f>H135</f>
        <v>7660</v>
      </c>
      <c r="K419" s="171">
        <f>I131</f>
        <v>5436160</v>
      </c>
      <c r="L419" s="171">
        <f>J131</f>
        <v>768300</v>
      </c>
      <c r="M419" s="171">
        <f>K131</f>
        <v>4130020</v>
      </c>
      <c r="N419" s="171">
        <f>L138</f>
        <v>12500</v>
      </c>
      <c r="O419" s="171">
        <f>M146</f>
        <v>10539980</v>
      </c>
      <c r="P419" s="221">
        <f>M148</f>
        <v>10544340</v>
      </c>
      <c r="Q419" s="171">
        <f>O134</f>
        <v>4360</v>
      </c>
      <c r="R419" s="171">
        <v>0</v>
      </c>
      <c r="S419" s="171">
        <v>0</v>
      </c>
      <c r="T419" s="171">
        <v>0</v>
      </c>
      <c r="U419" s="303">
        <f t="shared" si="0"/>
        <v>99.95865080223135</v>
      </c>
      <c r="V419" s="171">
        <f>S131</f>
        <v>0</v>
      </c>
      <c r="W419" s="294" t="e">
        <f>M154</f>
        <v>#DIV/0!</v>
      </c>
      <c r="X419" s="171">
        <v>22</v>
      </c>
      <c r="Y419" s="76"/>
    </row>
    <row r="420" spans="1:25" ht="12.75">
      <c r="A420" s="172" t="s">
        <v>167</v>
      </c>
      <c r="B420" s="171">
        <f>A164</f>
        <v>0</v>
      </c>
      <c r="C420" s="171">
        <f>B183</f>
        <v>0</v>
      </c>
      <c r="D420" s="171">
        <f>C172</f>
        <v>0</v>
      </c>
      <c r="E420" s="171">
        <f>D172</f>
        <v>0</v>
      </c>
      <c r="F420" s="171">
        <f>E168</f>
        <v>0</v>
      </c>
      <c r="G420" s="171">
        <f>E177</f>
        <v>0</v>
      </c>
      <c r="H420" s="171">
        <f>F167</f>
        <v>0</v>
      </c>
      <c r="I420" s="171">
        <f>G166</f>
        <v>0</v>
      </c>
      <c r="J420" s="171">
        <f>H168</f>
        <v>0</v>
      </c>
      <c r="K420" s="171">
        <f>I164</f>
        <v>0</v>
      </c>
      <c r="L420" s="171">
        <f>J164</f>
        <v>0</v>
      </c>
      <c r="M420" s="171">
        <f>K164</f>
        <v>0</v>
      </c>
      <c r="N420" s="171">
        <f>L171</f>
        <v>0</v>
      </c>
      <c r="O420" s="171">
        <f>M179</f>
        <v>0</v>
      </c>
      <c r="P420" s="221">
        <f>M181</f>
        <v>0</v>
      </c>
      <c r="Q420" s="171">
        <v>0</v>
      </c>
      <c r="R420" s="171">
        <v>0</v>
      </c>
      <c r="S420" s="171">
        <v>0</v>
      </c>
      <c r="T420" s="171">
        <v>0</v>
      </c>
      <c r="U420" s="302" t="e">
        <f t="shared" si="0"/>
        <v>#DIV/0!</v>
      </c>
      <c r="V420" s="171">
        <f>S164</f>
        <v>0</v>
      </c>
      <c r="W420" s="294" t="e">
        <f>M187</f>
        <v>#DIV/0!</v>
      </c>
      <c r="X420" s="171">
        <v>22</v>
      </c>
      <c r="Y420" s="76"/>
    </row>
    <row r="421" spans="1:25" ht="12.75">
      <c r="A421" s="172" t="s">
        <v>168</v>
      </c>
      <c r="B421" s="171">
        <f>A196</f>
        <v>0</v>
      </c>
      <c r="C421" s="171">
        <f>B215</f>
        <v>0</v>
      </c>
      <c r="D421" s="171">
        <f>C204</f>
        <v>0</v>
      </c>
      <c r="E421" s="171">
        <f>D204</f>
        <v>0</v>
      </c>
      <c r="F421" s="171">
        <f>E200</f>
        <v>0</v>
      </c>
      <c r="G421" s="171">
        <f>E209</f>
        <v>0</v>
      </c>
      <c r="H421" s="171">
        <f>F199</f>
        <v>0</v>
      </c>
      <c r="I421" s="171">
        <f>G198</f>
        <v>0</v>
      </c>
      <c r="J421" s="171">
        <f>H200</f>
        <v>0</v>
      </c>
      <c r="K421" s="171">
        <f>I196</f>
        <v>0</v>
      </c>
      <c r="L421" s="171">
        <f>J196</f>
        <v>0</v>
      </c>
      <c r="M421" s="171">
        <f>K196</f>
        <v>0</v>
      </c>
      <c r="N421" s="171">
        <f>L203</f>
        <v>0</v>
      </c>
      <c r="O421" s="171">
        <f>M213</f>
        <v>0</v>
      </c>
      <c r="P421" s="221">
        <f>M215</f>
        <v>0</v>
      </c>
      <c r="Q421" s="176">
        <f>O199</f>
        <v>0</v>
      </c>
      <c r="R421" s="171">
        <f>P196</f>
        <v>0</v>
      </c>
      <c r="S421" s="171">
        <f>Q196</f>
        <v>0</v>
      </c>
      <c r="T421" s="171">
        <f>R196</f>
        <v>0</v>
      </c>
      <c r="U421" s="303" t="e">
        <f t="shared" si="0"/>
        <v>#DIV/0!</v>
      </c>
      <c r="V421" s="171">
        <f>S196</f>
        <v>0</v>
      </c>
      <c r="W421" s="295" t="e">
        <f>M221</f>
        <v>#DIV/0!</v>
      </c>
      <c r="X421" s="171">
        <v>22</v>
      </c>
      <c r="Y421" s="76"/>
    </row>
    <row r="422" spans="1:25" ht="12.75">
      <c r="A422" s="172" t="s">
        <v>169</v>
      </c>
      <c r="B422" s="171">
        <v>0</v>
      </c>
      <c r="C422" s="171">
        <f>B249</f>
        <v>0</v>
      </c>
      <c r="D422" s="171">
        <f>C238</f>
        <v>0</v>
      </c>
      <c r="E422" s="171">
        <f>D238</f>
        <v>0</v>
      </c>
      <c r="F422" s="171">
        <f>E234</f>
        <v>0</v>
      </c>
      <c r="G422" s="171">
        <v>0</v>
      </c>
      <c r="H422" s="171">
        <f>F233</f>
        <v>0</v>
      </c>
      <c r="I422" s="171">
        <f>G232</f>
        <v>0</v>
      </c>
      <c r="J422" s="171">
        <v>0</v>
      </c>
      <c r="K422" s="171">
        <f>I230</f>
        <v>0</v>
      </c>
      <c r="L422" s="171">
        <f>J230</f>
        <v>0</v>
      </c>
      <c r="M422" s="171">
        <f>K230</f>
        <v>0</v>
      </c>
      <c r="N422" s="171">
        <f>L237</f>
        <v>0</v>
      </c>
      <c r="O422" s="171">
        <f>M247</f>
        <v>0</v>
      </c>
      <c r="P422" s="221">
        <f>N233</f>
        <v>0</v>
      </c>
      <c r="Q422" s="171">
        <v>0</v>
      </c>
      <c r="R422" s="171">
        <v>0</v>
      </c>
      <c r="S422" s="171">
        <v>0</v>
      </c>
      <c r="T422" s="171">
        <v>0</v>
      </c>
      <c r="U422" s="303" t="e">
        <f t="shared" si="0"/>
        <v>#DIV/0!</v>
      </c>
      <c r="V422" s="171">
        <f>S230</f>
        <v>0</v>
      </c>
      <c r="W422" s="295" t="e">
        <f>M255</f>
        <v>#DIV/0!</v>
      </c>
      <c r="X422" s="171">
        <v>22</v>
      </c>
      <c r="Y422" s="76"/>
    </row>
    <row r="423" spans="1:25" ht="12.75">
      <c r="A423" s="172" t="s">
        <v>170</v>
      </c>
      <c r="B423" s="171">
        <f>A265</f>
        <v>0</v>
      </c>
      <c r="C423" s="171">
        <f>B285</f>
        <v>0</v>
      </c>
      <c r="D423" s="171">
        <f>C273</f>
        <v>0</v>
      </c>
      <c r="E423" s="171">
        <f>D273</f>
        <v>0</v>
      </c>
      <c r="F423" s="171">
        <f>E269</f>
        <v>0</v>
      </c>
      <c r="G423" s="171">
        <f>E278</f>
        <v>0</v>
      </c>
      <c r="H423" s="171">
        <f>F268</f>
        <v>0</v>
      </c>
      <c r="I423" s="191">
        <f>G267</f>
        <v>0</v>
      </c>
      <c r="J423" s="171">
        <f>H269</f>
        <v>0</v>
      </c>
      <c r="K423" s="171">
        <f>I265</f>
        <v>0</v>
      </c>
      <c r="L423" s="171">
        <f>J265</f>
        <v>0</v>
      </c>
      <c r="M423" s="171">
        <f>K265</f>
        <v>0</v>
      </c>
      <c r="N423" s="171">
        <f>L272</f>
        <v>0</v>
      </c>
      <c r="O423" s="176">
        <f>M283</f>
        <v>0</v>
      </c>
      <c r="P423" s="284">
        <f>M285</f>
        <v>0</v>
      </c>
      <c r="Q423" s="171">
        <f>O268</f>
        <v>0</v>
      </c>
      <c r="R423" s="191">
        <f>P265</f>
        <v>0</v>
      </c>
      <c r="S423" s="171">
        <v>0</v>
      </c>
      <c r="T423" s="171">
        <v>0</v>
      </c>
      <c r="U423" s="303" t="e">
        <f t="shared" si="0"/>
        <v>#DIV/0!</v>
      </c>
      <c r="V423" s="171">
        <f>S265</f>
        <v>0</v>
      </c>
      <c r="W423" s="294" t="e">
        <f>M291</f>
        <v>#DIV/0!</v>
      </c>
      <c r="X423" s="171">
        <v>22</v>
      </c>
      <c r="Y423" s="76"/>
    </row>
    <row r="424" spans="1:25" ht="12.75">
      <c r="A424" s="172" t="s">
        <v>171</v>
      </c>
      <c r="B424" s="171">
        <f>A301</f>
        <v>0</v>
      </c>
      <c r="C424" s="171">
        <f>B321</f>
        <v>0</v>
      </c>
      <c r="D424" s="171">
        <f>C309</f>
        <v>0</v>
      </c>
      <c r="E424" s="171">
        <f>D309</f>
        <v>0</v>
      </c>
      <c r="F424" s="171">
        <f>E305</f>
        <v>0</v>
      </c>
      <c r="G424" s="171">
        <f>E314</f>
        <v>0</v>
      </c>
      <c r="H424" s="171">
        <f>F307</f>
        <v>0</v>
      </c>
      <c r="I424" s="191">
        <f>G303</f>
        <v>0</v>
      </c>
      <c r="J424" s="171">
        <f>H305</f>
        <v>0</v>
      </c>
      <c r="K424" s="171">
        <f>I301</f>
        <v>0</v>
      </c>
      <c r="L424" s="171">
        <f>J301</f>
        <v>0</v>
      </c>
      <c r="M424" s="171">
        <f>K301</f>
        <v>0</v>
      </c>
      <c r="N424" s="171">
        <f>L308</f>
        <v>0</v>
      </c>
      <c r="O424" s="300">
        <f>M319</f>
        <v>0</v>
      </c>
      <c r="P424" s="301">
        <f>M321</f>
        <v>0</v>
      </c>
      <c r="Q424" s="171">
        <f>O304</f>
        <v>0</v>
      </c>
      <c r="R424" s="191">
        <f>P301</f>
        <v>0</v>
      </c>
      <c r="S424" s="171">
        <f>Q301</f>
        <v>0</v>
      </c>
      <c r="T424" s="171">
        <f>R301</f>
        <v>0</v>
      </c>
      <c r="U424" s="303" t="e">
        <f t="shared" si="0"/>
        <v>#DIV/0!</v>
      </c>
      <c r="V424" s="171">
        <f>S301</f>
        <v>0</v>
      </c>
      <c r="W424" s="271" t="e">
        <f>M327</f>
        <v>#DIV/0!</v>
      </c>
      <c r="X424" s="171">
        <v>22</v>
      </c>
      <c r="Y424" s="76"/>
    </row>
    <row r="425" spans="1:25" ht="12.75">
      <c r="A425" s="172" t="s">
        <v>172</v>
      </c>
      <c r="B425" s="171">
        <f>A338</f>
        <v>0</v>
      </c>
      <c r="C425" s="171">
        <f>B358</f>
        <v>0</v>
      </c>
      <c r="D425" s="171">
        <f>C346</f>
        <v>0</v>
      </c>
      <c r="E425" s="171">
        <f>D346</f>
        <v>0</v>
      </c>
      <c r="F425" s="171">
        <f>E342</f>
        <v>0</v>
      </c>
      <c r="G425" s="171">
        <f>E351</f>
        <v>0</v>
      </c>
      <c r="H425" s="171">
        <f>F344</f>
        <v>0</v>
      </c>
      <c r="I425" s="191">
        <f>G340</f>
        <v>0</v>
      </c>
      <c r="J425" s="171">
        <f>H342</f>
        <v>0</v>
      </c>
      <c r="K425" s="171">
        <f>I338+I350</f>
        <v>0</v>
      </c>
      <c r="L425" s="171">
        <f>J338</f>
        <v>0</v>
      </c>
      <c r="M425" s="171">
        <f>K338</f>
        <v>0</v>
      </c>
      <c r="N425" s="171">
        <f>L345</f>
        <v>0</v>
      </c>
      <c r="O425" s="300">
        <f>M356</f>
        <v>0</v>
      </c>
      <c r="P425" s="301">
        <f>M358</f>
        <v>0</v>
      </c>
      <c r="Q425" s="171">
        <f>O341</f>
        <v>2000</v>
      </c>
      <c r="R425" s="191">
        <f>P338</f>
        <v>0</v>
      </c>
      <c r="S425" s="171">
        <v>0</v>
      </c>
      <c r="T425" s="171">
        <v>0</v>
      </c>
      <c r="U425" s="303" t="e">
        <f>M360</f>
        <v>#DIV/0!</v>
      </c>
      <c r="V425" s="171">
        <f>S338</f>
        <v>0</v>
      </c>
      <c r="W425" s="271" t="e">
        <f>M364</f>
        <v>#DIV/0!</v>
      </c>
      <c r="X425" s="171">
        <v>22</v>
      </c>
      <c r="Y425" s="76"/>
    </row>
    <row r="426" spans="1:25" ht="12.75">
      <c r="A426" s="172" t="s">
        <v>173</v>
      </c>
      <c r="B426" s="171">
        <v>0</v>
      </c>
      <c r="C426" s="171">
        <f>B394</f>
        <v>0</v>
      </c>
      <c r="D426" s="171">
        <f>C382</f>
        <v>0</v>
      </c>
      <c r="E426" s="171">
        <f>D382</f>
        <v>0</v>
      </c>
      <c r="F426" s="171">
        <f>E378</f>
        <v>0</v>
      </c>
      <c r="G426" s="171">
        <f>E387</f>
        <v>0</v>
      </c>
      <c r="H426" s="171">
        <f>F380</f>
        <v>0</v>
      </c>
      <c r="I426" s="191">
        <f>G376</f>
        <v>0</v>
      </c>
      <c r="J426" s="171">
        <f>H378</f>
        <v>0</v>
      </c>
      <c r="K426" s="171">
        <f>I374+I386</f>
        <v>0</v>
      </c>
      <c r="L426" s="171">
        <f>J374</f>
        <v>0</v>
      </c>
      <c r="M426" s="171">
        <f>K374</f>
        <v>0</v>
      </c>
      <c r="N426" s="171">
        <f>L381</f>
        <v>0</v>
      </c>
      <c r="O426" s="300">
        <f>M392</f>
        <v>0</v>
      </c>
      <c r="P426" s="301">
        <f>M394</f>
        <v>0</v>
      </c>
      <c r="Q426" s="171">
        <f>O377</f>
        <v>0</v>
      </c>
      <c r="R426" s="191">
        <f>P374</f>
        <v>0</v>
      </c>
      <c r="S426" s="171">
        <f>Q374</f>
        <v>0</v>
      </c>
      <c r="T426" s="171">
        <v>0</v>
      </c>
      <c r="U426" s="303" t="e">
        <f>M396</f>
        <v>#DIV/0!</v>
      </c>
      <c r="V426" s="171">
        <f>S374</f>
        <v>0</v>
      </c>
      <c r="W426" s="295" t="e">
        <f>M400</f>
        <v>#DIV/0!</v>
      </c>
      <c r="X426" s="171">
        <v>22</v>
      </c>
      <c r="Y426" s="76"/>
    </row>
    <row r="427" spans="1:25" ht="12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275"/>
      <c r="P427" s="274"/>
      <c r="Q427" s="76"/>
      <c r="R427" s="76"/>
      <c r="S427" s="76"/>
      <c r="T427" s="76"/>
      <c r="U427" s="302"/>
      <c r="V427" s="171"/>
      <c r="W427" s="271"/>
      <c r="X427" s="171"/>
      <c r="Y427" s="76"/>
    </row>
    <row r="428" spans="1:25" s="175" customFormat="1" ht="12.75">
      <c r="A428" s="174" t="s">
        <v>175</v>
      </c>
      <c r="B428" s="174">
        <f>B415+B416+B417+B418+B419+B420+B421+B422+B423+B424+B425+B426</f>
        <v>0</v>
      </c>
      <c r="C428" s="174">
        <f aca="true" t="shared" si="1" ref="C428:T428">C415+C416+C417+C418+C419+C420+C421+C422+C423+C424+C425+C426</f>
        <v>569370</v>
      </c>
      <c r="D428" s="174">
        <f t="shared" si="1"/>
        <v>25580</v>
      </c>
      <c r="E428" s="174">
        <f t="shared" si="1"/>
        <v>129920</v>
      </c>
      <c r="F428" s="174">
        <f t="shared" si="1"/>
        <v>8260</v>
      </c>
      <c r="G428" s="174">
        <f t="shared" si="1"/>
        <v>0</v>
      </c>
      <c r="H428" s="174">
        <f t="shared" si="1"/>
        <v>137820</v>
      </c>
      <c r="I428" s="174">
        <f t="shared" si="1"/>
        <v>7720</v>
      </c>
      <c r="J428" s="174">
        <f t="shared" si="1"/>
        <v>24600</v>
      </c>
      <c r="K428" s="174">
        <f t="shared" si="1"/>
        <v>7066970</v>
      </c>
      <c r="L428" s="174">
        <f t="shared" si="1"/>
        <v>3281720</v>
      </c>
      <c r="M428" s="174">
        <f t="shared" si="1"/>
        <v>17408920</v>
      </c>
      <c r="N428" s="174">
        <f t="shared" si="1"/>
        <v>34340</v>
      </c>
      <c r="O428" s="297">
        <f>SUM(O415:O427)</f>
        <v>28800540</v>
      </c>
      <c r="P428" s="298">
        <f>SUM(P415:P427)</f>
        <v>28810900</v>
      </c>
      <c r="Q428" s="174">
        <f t="shared" si="1"/>
        <v>12360</v>
      </c>
      <c r="R428" s="174">
        <f t="shared" si="1"/>
        <v>0</v>
      </c>
      <c r="S428" s="174">
        <f t="shared" si="1"/>
        <v>0</v>
      </c>
      <c r="T428" s="174">
        <f t="shared" si="1"/>
        <v>0</v>
      </c>
      <c r="U428" s="273">
        <f>100*(O428/P428)</f>
        <v>99.9640413871139</v>
      </c>
      <c r="V428" s="174"/>
      <c r="W428" s="272"/>
      <c r="X428" s="174"/>
      <c r="Y428" s="174"/>
    </row>
    <row r="429" spans="1:25" s="177" customFormat="1" ht="25.5">
      <c r="A429" s="178" t="s">
        <v>176</v>
      </c>
      <c r="B429" s="179">
        <f>B428/1000</f>
        <v>0</v>
      </c>
      <c r="C429" s="179">
        <f aca="true" t="shared" si="2" ref="C429:T429">C428/1000</f>
        <v>569.37</v>
      </c>
      <c r="D429" s="179">
        <f t="shared" si="2"/>
        <v>25.58</v>
      </c>
      <c r="E429" s="179">
        <f t="shared" si="2"/>
        <v>129.92</v>
      </c>
      <c r="F429" s="179">
        <f t="shared" si="2"/>
        <v>8.26</v>
      </c>
      <c r="G429" s="179">
        <f t="shared" si="2"/>
        <v>0</v>
      </c>
      <c r="H429" s="179">
        <f t="shared" si="2"/>
        <v>137.82</v>
      </c>
      <c r="I429" s="179">
        <f t="shared" si="2"/>
        <v>7.72</v>
      </c>
      <c r="J429" s="179">
        <f t="shared" si="2"/>
        <v>24.6</v>
      </c>
      <c r="K429" s="179">
        <f t="shared" si="2"/>
        <v>7066.97</v>
      </c>
      <c r="L429" s="179">
        <f t="shared" si="2"/>
        <v>3281.72</v>
      </c>
      <c r="M429" s="179">
        <f t="shared" si="2"/>
        <v>17408.92</v>
      </c>
      <c r="N429" s="179">
        <f t="shared" si="2"/>
        <v>34.34</v>
      </c>
      <c r="O429" s="246">
        <f t="shared" si="2"/>
        <v>28800.54</v>
      </c>
      <c r="P429" s="299">
        <f t="shared" si="2"/>
        <v>28810.9</v>
      </c>
      <c r="Q429" s="179">
        <f t="shared" si="2"/>
        <v>12.36</v>
      </c>
      <c r="R429" s="179">
        <f t="shared" si="2"/>
        <v>0</v>
      </c>
      <c r="S429" s="179">
        <f t="shared" si="2"/>
        <v>0</v>
      </c>
      <c r="T429" s="179">
        <f t="shared" si="2"/>
        <v>0</v>
      </c>
      <c r="U429" s="268">
        <f>100*(O429/P429)</f>
        <v>99.9640413871139</v>
      </c>
      <c r="V429" s="179">
        <f>V415+V416+V417+V418+V419+V420+V421+V422+V423+V424+V425+V426+V427+V428</f>
        <v>772.75</v>
      </c>
      <c r="W429" s="246">
        <f>P428/(1000*V429)</f>
        <v>37.28359754124879</v>
      </c>
      <c r="X429" s="179">
        <v>22</v>
      </c>
      <c r="Y429" s="227"/>
    </row>
    <row r="430" ht="12.75">
      <c r="P430" s="225" t="s">
        <v>219</v>
      </c>
    </row>
    <row r="431" ht="12.75">
      <c r="A431" s="180" t="s">
        <v>178</v>
      </c>
    </row>
    <row r="432" ht="12.75">
      <c r="A432" s="180" t="s">
        <v>180</v>
      </c>
    </row>
    <row r="434" ht="12.75">
      <c r="A434" s="180" t="s">
        <v>197</v>
      </c>
    </row>
  </sheetData>
  <sheetProtection/>
  <mergeCells count="4">
    <mergeCell ref="J262:K262"/>
    <mergeCell ref="J298:K298"/>
    <mergeCell ref="J335:K335"/>
    <mergeCell ref="J371:K371"/>
  </mergeCells>
  <printOptions/>
  <pageMargins left="0.7" right="0.7" top="0.75" bottom="0.75" header="0.3" footer="0.3"/>
  <pageSetup fitToHeight="1" fitToWidth="1" horizontalDpi="600" verticalDpi="600" orientation="landscape" paperSize="9" scale="1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I16" sqref="I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Variation - Appendix 4 - MONTHLY WASTE STATS 11839923</dc:title>
  <dc:subject/>
  <dc:creator>john.wells</dc:creator>
  <cp:keywords/>
  <dc:description/>
  <cp:lastModifiedBy>Latham, Jenni</cp:lastModifiedBy>
  <cp:lastPrinted>2018-06-04T08:56:33Z</cp:lastPrinted>
  <dcterms:created xsi:type="dcterms:W3CDTF">2011-04-04T08:06:36Z</dcterms:created>
  <dcterms:modified xsi:type="dcterms:W3CDTF">2018-06-05T11:26:56Z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cb1594ff73b435992550f571a78c1">
    <vt:lpwstr>EPR|0e5af97d-1a8c-4d8f-a20b-528a11cab1f6</vt:lpwstr>
  </property>
  <property fmtid="{D5CDD505-2E9C-101B-9397-08002B2CF9AE}" pid="4" name="EPRNumb">
    <vt:lpwstr>EPR/BO3559IY/V002</vt:lpwstr>
  </property>
  <property fmtid="{D5CDD505-2E9C-101B-9397-08002B2CF9AE}" pid="5" name="Ord">
    <vt:lpwstr>2700.00000000000</vt:lpwstr>
  </property>
  <property fmtid="{D5CDD505-2E9C-101B-9397-08002B2CF9AE}" pid="6" name="d3564be703db47eda46ec138bc1ba0">
    <vt:lpwstr>Application ＆ Associated Docs|5eadfd3c-6deb-44e1-b7e1-16accd427bec</vt:lpwstr>
  </property>
  <property fmtid="{D5CDD505-2E9C-101B-9397-08002B2CF9AE}" pid="7" name="c52c737aaa794145b5e1ab0b335800">
    <vt:lpwstr>Public Register|f1fcf6a6-5d97-4f1d-964e-a2f916eb1f18</vt:lpwstr>
  </property>
  <property fmtid="{D5CDD505-2E9C-101B-9397-08002B2CF9AE}" pid="8" name="PermitNumb">
    <vt:lpwstr>EPR-BO3559IY</vt:lpwstr>
  </property>
  <property fmtid="{D5CDD505-2E9C-101B-9397-08002B2CF9AE}" pid="9" name="OtherReferen">
    <vt:lpwstr>BO3559IY</vt:lpwstr>
  </property>
  <property fmtid="{D5CDD505-2E9C-101B-9397-08002B2CF9AE}" pid="10" name="FacilityAddre">
    <vt:lpwstr>THE WHITBREAD BEER CO   SAMLESBURY BREWERY  CUERDALE L  SAMLESBURY  PRESTON    RESTON   PR5 0XD</vt:lpwstr>
  </property>
  <property fmtid="{D5CDD505-2E9C-101B-9397-08002B2CF9AE}" pid="11" name="FacilityAddressPostco">
    <vt:lpwstr>PR5 0XD</vt:lpwstr>
  </property>
  <property fmtid="{D5CDD505-2E9C-101B-9397-08002B2CF9AE}" pid="12" name="Regi">
    <vt:lpwstr>10;#EPR|0e5af97d-1a8c-4d8f-a20b-528a11cab1f6</vt:lpwstr>
  </property>
  <property fmtid="{D5CDD505-2E9C-101B-9397-08002B2CF9AE}" pid="13" name="TypeofPerm">
    <vt:lpwstr>9;#N/A - Do not select for New Permits|0430e4c2-ee0a-4b2d-9af6-df735aafbcb2</vt:lpwstr>
  </property>
  <property fmtid="{D5CDD505-2E9C-101B-9397-08002B2CF9AE}" pid="14" name="DocumentDa">
    <vt:lpwstr>2021-04-27T01:00:00Z</vt:lpwstr>
  </property>
  <property fmtid="{D5CDD505-2E9C-101B-9397-08002B2CF9AE}" pid="15" name="EAReceivedDa">
    <vt:lpwstr>2021-06-04T01:00:00Z</vt:lpwstr>
  </property>
  <property fmtid="{D5CDD505-2E9C-101B-9397-08002B2CF9AE}" pid="16" name="DisclosureStat">
    <vt:lpwstr>181;#Public Register|f1fcf6a6-5d97-4f1d-964e-a2f916eb1f18</vt:lpwstr>
  </property>
  <property fmtid="{D5CDD505-2E9C-101B-9397-08002B2CF9AE}" pid="17" name="Customer/OperatorNa">
    <vt:lpwstr>Inbev UK Ltd</vt:lpwstr>
  </property>
  <property fmtid="{D5CDD505-2E9C-101B-9397-08002B2CF9AE}" pid="18" name="la34db7254a948be973d9738b9f07b">
    <vt:lpwstr>N/A - Do not select for New Permits|0430e4c2-ee0a-4b2d-9af6-df735aafbcb2</vt:lpwstr>
  </property>
  <property fmtid="{D5CDD505-2E9C-101B-9397-08002B2CF9AE}" pid="19" name="ActivityGroupi">
    <vt:lpwstr>12;#Application ＆ Associated Docs|5eadfd3c-6deb-44e1-b7e1-16accd427bec</vt:lpwstr>
  </property>
  <property fmtid="{D5CDD505-2E9C-101B-9397-08002B2CF9AE}" pid="20" name="ExternalAuth">
    <vt:lpwstr>AB Inbev UK Ltd</vt:lpwstr>
  </property>
  <property fmtid="{D5CDD505-2E9C-101B-9397-08002B2CF9AE}" pid="21" name="p517ccc45a7e4674ae144f9410147b">
    <vt:lpwstr>Installations|645f1c9c-65df-490a-9ce3-4a2aa7c5ff7f</vt:lpwstr>
  </property>
  <property fmtid="{D5CDD505-2E9C-101B-9397-08002B2CF9AE}" pid="22" name="RegulatedActivityCla">
    <vt:lpwstr>38;#Installations|645f1c9c-65df-490a-9ce3-4a2aa7c5ff7f</vt:lpwstr>
  </property>
  <property fmtid="{D5CDD505-2E9C-101B-9397-08002B2CF9AE}" pid="23" name="SiteNa">
    <vt:lpwstr>Samlesbury Brewery</vt:lpwstr>
  </property>
  <property fmtid="{D5CDD505-2E9C-101B-9397-08002B2CF9AE}" pid="24" name="TaxCatchA">
    <vt:lpwstr>181;#Public Register|f1fcf6a6-5d97-4f1d-964e-a2f916eb1f18;#12;#Application ＆ Associated Docs|5eadfd3c-6deb-44e1-b7e1-16accd427bec;#10;#EPR|0e5af97d-1a8c-4d8f-a20b-528a11cab1f6;#9;#N/A - Do not select for New Permits|0430e4c2-ee0a-4b2d-9af6-df735aafbcb2;#3</vt:lpwstr>
  </property>
</Properties>
</file>