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BEXD\Property Design\DE2 5140000s\5149237 Challonsleigh Farm\400 Documents\Permit Landfill\2020\WIP\Supporting Info\"/>
    </mc:Choice>
  </mc:AlternateContent>
  <xr:revisionPtr revIDLastSave="0" documentId="13_ncr:1_{7BD97547-6D21-4277-A527-5744FA1C31E6}" xr6:coauthVersionLast="46" xr6:coauthVersionMax="46" xr10:uidLastSave="{00000000-0000-0000-0000-000000000000}"/>
  <bookViews>
    <workbookView xWindow="28680" yWindow="2880" windowWidth="29040" windowHeight="15840" tabRatio="852" xr2:uid="{00000000-000D-0000-FFFF-FFFF00000000}"/>
  </bookViews>
  <sheets>
    <sheet name="Provision" sheetId="2" r:id="rId1"/>
    <sheet name="Back-up" sheetId="1" r:id="rId2"/>
    <sheet name="Environmental Monitoring" sheetId="9" r:id="rId3"/>
    <sheet name="Capping and Restoration" sheetId="8" r:id="rId4"/>
    <sheet name="Leachate Management" sheetId="7" r:id="rId5"/>
    <sheet name="Landfill Gas Management" sheetId="6" r:id="rId6"/>
    <sheet name="Surface Water Management" sheetId="5" r:id="rId7"/>
    <sheet name="Security" sheetId="4" r:id="rId8"/>
    <sheet name="Specified Events" sheetId="10" r:id="rId9"/>
    <sheet name="Site Reports" sheetId="12" r:id="rId10"/>
  </sheets>
  <definedNames>
    <definedName name="_xlnm.Print_Area" localSheetId="3">'Capping and Restoration'!$A$1:$I$14</definedName>
    <definedName name="_xlnm.Print_Area" localSheetId="2">'Environmental Monitoring'!$A$1:$I$45</definedName>
    <definedName name="_xlnm.Print_Area" localSheetId="5">'Landfill Gas Management'!$A$1:$J$21</definedName>
    <definedName name="_xlnm.Print_Area" localSheetId="4">'Leachate Management'!$A$1:$I$18</definedName>
    <definedName name="_xlnm.Print_Area" localSheetId="0">Provision!$A$1:$R$81</definedName>
    <definedName name="_xlnm.Print_Area" localSheetId="7">Security!$A$1:$I$11</definedName>
    <definedName name="_xlnm.Print_Area" localSheetId="9">'Site Reports'!$A$1:$H$17</definedName>
    <definedName name="_xlnm.Print_Area" localSheetId="8">'Specified Events'!$A$1:$E$38</definedName>
    <definedName name="_xlnm.Print_Area" localSheetId="6">'Surface Water Management'!$A$1:$J$13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2" l="1"/>
  <c r="H14" i="12"/>
  <c r="H11" i="12"/>
  <c r="H8" i="12"/>
  <c r="H5" i="12"/>
  <c r="E68" i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S55" i="1"/>
  <c r="G10" i="2" s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8" i="2"/>
  <c r="E9" i="2"/>
  <c r="E10" i="2"/>
  <c r="E7" i="2"/>
  <c r="D10" i="2"/>
  <c r="F10" i="2"/>
  <c r="P10" i="2"/>
  <c r="P11" i="2"/>
  <c r="P16" i="2"/>
  <c r="P15" i="2"/>
  <c r="P14" i="2"/>
  <c r="P13" i="2"/>
  <c r="P12" i="2"/>
  <c r="P17" i="2" l="1"/>
  <c r="E36" i="10"/>
  <c r="Z24" i="9" l="1"/>
  <c r="H24" i="9" s="1"/>
  <c r="Z32" i="9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Q26" i="2" s="1"/>
  <c r="S71" i="1"/>
  <c r="S69" i="1"/>
  <c r="S68" i="1"/>
  <c r="I22" i="2"/>
  <c r="J22" i="2"/>
  <c r="I23" i="2"/>
  <c r="J23" i="2"/>
  <c r="I24" i="2"/>
  <c r="J24" i="2"/>
  <c r="I25" i="2"/>
  <c r="J25" i="2"/>
  <c r="I26" i="2"/>
  <c r="J26" i="2"/>
  <c r="F8" i="2"/>
  <c r="F9" i="2" s="1"/>
  <c r="F11" i="2" s="1"/>
  <c r="F12" i="2" s="1"/>
  <c r="F13" i="2" s="1"/>
  <c r="F14" i="2" s="1"/>
  <c r="F15" i="2" s="1"/>
  <c r="F16" i="2" s="1"/>
  <c r="A63" i="1"/>
  <c r="E38" i="10"/>
  <c r="H14" i="8"/>
  <c r="E57" i="1"/>
  <c r="S57" i="1" s="1"/>
  <c r="K41" i="9"/>
  <c r="H43" i="9"/>
  <c r="S72" i="1"/>
  <c r="E70" i="1"/>
  <c r="N10" i="2" s="1"/>
  <c r="N14" i="2" s="1"/>
  <c r="E69" i="1"/>
  <c r="N26" i="2" l="1"/>
  <c r="O26" i="2" s="1"/>
  <c r="N18" i="2"/>
  <c r="N24" i="2"/>
  <c r="N11" i="2"/>
  <c r="N12" i="2"/>
  <c r="K24" i="2"/>
  <c r="Q20" i="2"/>
  <c r="Q19" i="2"/>
  <c r="Q18" i="2"/>
  <c r="Q10" i="2"/>
  <c r="Q25" i="2"/>
  <c r="Q17" i="2"/>
  <c r="Q13" i="2"/>
  <c r="Q12" i="2"/>
  <c r="Q23" i="2"/>
  <c r="Q15" i="2"/>
  <c r="Q21" i="2"/>
  <c r="K22" i="2"/>
  <c r="Q24" i="2"/>
  <c r="Q16" i="2"/>
  <c r="Q11" i="2"/>
  <c r="Q22" i="2"/>
  <c r="Q14" i="2"/>
  <c r="D9" i="2"/>
  <c r="N8" i="2"/>
  <c r="K23" i="2"/>
  <c r="K25" i="2"/>
  <c r="K26" i="2"/>
  <c r="E54" i="1"/>
  <c r="E53" i="1"/>
  <c r="S53" i="1" s="1"/>
  <c r="E52" i="1"/>
  <c r="H32" i="9"/>
  <c r="E13" i="1" s="1"/>
  <c r="E12" i="1"/>
  <c r="E9" i="1"/>
  <c r="N13" i="2" l="1"/>
  <c r="N9" i="2"/>
  <c r="P19" i="8"/>
  <c r="P15" i="8"/>
  <c r="P16" i="8" s="1"/>
  <c r="D11" i="2" l="1"/>
  <c r="P20" i="8"/>
  <c r="B17" i="2"/>
  <c r="B18" i="2" s="1"/>
  <c r="B19" i="2" s="1"/>
  <c r="C7" i="2"/>
  <c r="C8" i="2" s="1"/>
  <c r="C9" i="2" s="1"/>
  <c r="C10" i="2" s="1"/>
  <c r="C11" i="2" s="1"/>
  <c r="C12" i="2" s="1"/>
  <c r="C13" i="2" s="1"/>
  <c r="C14" i="2" s="1"/>
  <c r="C15" i="2" s="1"/>
  <c r="S13" i="1"/>
  <c r="D12" i="1"/>
  <c r="S12" i="1" s="1"/>
  <c r="D10" i="1"/>
  <c r="D11" i="1" s="1"/>
  <c r="D18" i="1"/>
  <c r="E6" i="1"/>
  <c r="E7" i="1" s="1"/>
  <c r="B27" i="1"/>
  <c r="D24" i="1"/>
  <c r="B26" i="1"/>
  <c r="J17" i="6"/>
  <c r="G43" i="1"/>
  <c r="H43" i="1"/>
  <c r="J16" i="2"/>
  <c r="K16" i="2" s="1"/>
  <c r="D6" i="1"/>
  <c r="D8" i="1" s="1"/>
  <c r="E10" i="1"/>
  <c r="E11" i="1" s="1"/>
  <c r="E18" i="1"/>
  <c r="E19" i="1" s="1"/>
  <c r="E20" i="1" s="1"/>
  <c r="F5" i="1"/>
  <c r="G5" i="1"/>
  <c r="H5" i="1"/>
  <c r="I5" i="1"/>
  <c r="J5" i="1"/>
  <c r="K5" i="1"/>
  <c r="L5" i="1"/>
  <c r="M5" i="1"/>
  <c r="N5" i="1"/>
  <c r="O5" i="1"/>
  <c r="P5" i="1"/>
  <c r="Q5" i="1"/>
  <c r="R5" i="1"/>
  <c r="F6" i="1"/>
  <c r="F7" i="1" s="1"/>
  <c r="G6" i="1"/>
  <c r="G8" i="1" s="1"/>
  <c r="H6" i="1"/>
  <c r="I6" i="1"/>
  <c r="I8" i="1" s="1"/>
  <c r="J6" i="1"/>
  <c r="K6" i="1"/>
  <c r="K7" i="1" s="1"/>
  <c r="L6" i="1"/>
  <c r="L7" i="1" s="1"/>
  <c r="M6" i="1"/>
  <c r="M7" i="1" s="1"/>
  <c r="N6" i="1"/>
  <c r="N8" i="1" s="1"/>
  <c r="O6" i="1"/>
  <c r="O7" i="1" s="1"/>
  <c r="P6" i="1"/>
  <c r="Q6" i="1"/>
  <c r="Q7" i="1" s="1"/>
  <c r="R6" i="1"/>
  <c r="R8" i="1" s="1"/>
  <c r="G9" i="1"/>
  <c r="F10" i="1"/>
  <c r="F11" i="1" s="1"/>
  <c r="G10" i="1"/>
  <c r="G11" i="1" s="1"/>
  <c r="H10" i="1"/>
  <c r="H11" i="1" s="1"/>
  <c r="I10" i="1"/>
  <c r="I11" i="1" s="1"/>
  <c r="J10" i="1"/>
  <c r="J11" i="1" s="1"/>
  <c r="K10" i="1"/>
  <c r="K11" i="1" s="1"/>
  <c r="L10" i="1"/>
  <c r="L11" i="1" s="1"/>
  <c r="M10" i="1"/>
  <c r="M11" i="1" s="1"/>
  <c r="N10" i="1"/>
  <c r="N11" i="1" s="1"/>
  <c r="O10" i="1"/>
  <c r="O11" i="1" s="1"/>
  <c r="P10" i="1"/>
  <c r="P11" i="1" s="1"/>
  <c r="Q10" i="1"/>
  <c r="Q11" i="1" s="1"/>
  <c r="R10" i="1"/>
  <c r="R11" i="1" s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F18" i="1"/>
  <c r="F19" i="1" s="1"/>
  <c r="F20" i="1" s="1"/>
  <c r="G18" i="1"/>
  <c r="G19" i="1" s="1"/>
  <c r="G20" i="1" s="1"/>
  <c r="H18" i="1"/>
  <c r="H19" i="1" s="1"/>
  <c r="H20" i="1" s="1"/>
  <c r="I18" i="1"/>
  <c r="I19" i="1" s="1"/>
  <c r="I20" i="1" s="1"/>
  <c r="J18" i="1"/>
  <c r="J19" i="1" s="1"/>
  <c r="J20" i="1" s="1"/>
  <c r="K18" i="1"/>
  <c r="K19" i="1" s="1"/>
  <c r="K20" i="1" s="1"/>
  <c r="L18" i="1"/>
  <c r="L19" i="1" s="1"/>
  <c r="L20" i="1" s="1"/>
  <c r="M18" i="1"/>
  <c r="M19" i="1" s="1"/>
  <c r="M20" i="1" s="1"/>
  <c r="N18" i="1"/>
  <c r="N19" i="1" s="1"/>
  <c r="N20" i="1" s="1"/>
  <c r="O18" i="1"/>
  <c r="O19" i="1" s="1"/>
  <c r="O20" i="1" s="1"/>
  <c r="P18" i="1"/>
  <c r="P19" i="1" s="1"/>
  <c r="P20" i="1" s="1"/>
  <c r="Q18" i="1"/>
  <c r="Q19" i="1" s="1"/>
  <c r="Q20" i="1" s="1"/>
  <c r="R18" i="1"/>
  <c r="R19" i="1" s="1"/>
  <c r="R20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B25" i="1"/>
  <c r="F34" i="1"/>
  <c r="F36" i="1" s="1"/>
  <c r="F37" i="1" s="1"/>
  <c r="G34" i="1"/>
  <c r="G36" i="1" s="1"/>
  <c r="G37" i="1" s="1"/>
  <c r="H34" i="1"/>
  <c r="H36" i="1" s="1"/>
  <c r="H37" i="1" s="1"/>
  <c r="I34" i="1"/>
  <c r="I36" i="1" s="1"/>
  <c r="I37" i="1" s="1"/>
  <c r="J34" i="1"/>
  <c r="J36" i="1" s="1"/>
  <c r="J37" i="1" s="1"/>
  <c r="K34" i="1"/>
  <c r="K36" i="1" s="1"/>
  <c r="K37" i="1" s="1"/>
  <c r="L34" i="1"/>
  <c r="L36" i="1" s="1"/>
  <c r="L37" i="1" s="1"/>
  <c r="M34" i="1"/>
  <c r="M36" i="1" s="1"/>
  <c r="M37" i="1" s="1"/>
  <c r="N34" i="1"/>
  <c r="N36" i="1" s="1"/>
  <c r="N37" i="1" s="1"/>
  <c r="O34" i="1"/>
  <c r="O36" i="1" s="1"/>
  <c r="O37" i="1" s="1"/>
  <c r="P34" i="1"/>
  <c r="P36" i="1" s="1"/>
  <c r="P37" i="1" s="1"/>
  <c r="Q34" i="1"/>
  <c r="Q36" i="1" s="1"/>
  <c r="Q37" i="1" s="1"/>
  <c r="R34" i="1"/>
  <c r="R36" i="1" s="1"/>
  <c r="R37" i="1" s="1"/>
  <c r="E5" i="1"/>
  <c r="D5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 s="1"/>
  <c r="I17" i="2" s="1"/>
  <c r="F43" i="1"/>
  <c r="I43" i="1"/>
  <c r="J43" i="1"/>
  <c r="K43" i="1"/>
  <c r="L43" i="1"/>
  <c r="M43" i="1"/>
  <c r="N43" i="1"/>
  <c r="O43" i="1"/>
  <c r="P43" i="1"/>
  <c r="Q43" i="1"/>
  <c r="R43" i="1"/>
  <c r="D43" i="1"/>
  <c r="D44" i="1" s="1"/>
  <c r="E43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F52" i="1"/>
  <c r="F53" i="1" s="1"/>
  <c r="F54" i="1" s="1"/>
  <c r="G52" i="1"/>
  <c r="G53" i="1" s="1"/>
  <c r="G54" i="1" s="1"/>
  <c r="H52" i="1"/>
  <c r="H53" i="1" s="1"/>
  <c r="H54" i="1" s="1"/>
  <c r="I52" i="1"/>
  <c r="I53" i="1" s="1"/>
  <c r="I54" i="1" s="1"/>
  <c r="J52" i="1"/>
  <c r="J53" i="1" s="1"/>
  <c r="J54" i="1" s="1"/>
  <c r="K52" i="1"/>
  <c r="K53" i="1" s="1"/>
  <c r="K54" i="1" s="1"/>
  <c r="L52" i="1"/>
  <c r="L53" i="1" s="1"/>
  <c r="L54" i="1" s="1"/>
  <c r="M52" i="1"/>
  <c r="M53" i="1" s="1"/>
  <c r="M54" i="1" s="1"/>
  <c r="N52" i="1"/>
  <c r="N53" i="1" s="1"/>
  <c r="N54" i="1" s="1"/>
  <c r="O52" i="1"/>
  <c r="O53" i="1" s="1"/>
  <c r="O54" i="1" s="1"/>
  <c r="P52" i="1"/>
  <c r="P53" i="1" s="1"/>
  <c r="P54" i="1" s="1"/>
  <c r="Q52" i="1"/>
  <c r="Q53" i="1" s="1"/>
  <c r="Q54" i="1" s="1"/>
  <c r="R52" i="1"/>
  <c r="R53" i="1" s="1"/>
  <c r="R54" i="1" s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J8" i="2"/>
  <c r="K8" i="2" s="1"/>
  <c r="S63" i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S38" i="1"/>
  <c r="S40" i="1" s="1"/>
  <c r="S52" i="1"/>
  <c r="D47" i="1"/>
  <c r="E47" i="1"/>
  <c r="E39" i="1"/>
  <c r="D39" i="1"/>
  <c r="E24" i="1"/>
  <c r="D17" i="1"/>
  <c r="E17" i="1"/>
  <c r="D52" i="1"/>
  <c r="D54" i="1" s="1"/>
  <c r="D34" i="1"/>
  <c r="D36" i="1" s="1"/>
  <c r="D37" i="1" s="1"/>
  <c r="E30" i="10"/>
  <c r="S61" i="1" s="1"/>
  <c r="E23" i="10"/>
  <c r="S60" i="1" s="1"/>
  <c r="E34" i="1"/>
  <c r="E36" i="1" s="1"/>
  <c r="E37" i="1" s="1"/>
  <c r="S34" i="1"/>
  <c r="J6" i="2"/>
  <c r="K6" i="2" s="1"/>
  <c r="C1" i="2"/>
  <c r="D1" i="2" s="1"/>
  <c r="E1" i="2" s="1"/>
  <c r="F1" i="2" s="1"/>
  <c r="J7" i="2"/>
  <c r="K7" i="2" s="1"/>
  <c r="D12" i="2" l="1"/>
  <c r="J26" i="1"/>
  <c r="J20" i="2"/>
  <c r="J17" i="2"/>
  <c r="J19" i="2"/>
  <c r="S64" i="1"/>
  <c r="O25" i="1"/>
  <c r="S36" i="1"/>
  <c r="M25" i="1"/>
  <c r="I20" i="2"/>
  <c r="P25" i="1"/>
  <c r="H25" i="1"/>
  <c r="S47" i="1"/>
  <c r="G6" i="2"/>
  <c r="H6" i="2" s="1"/>
  <c r="S54" i="1"/>
  <c r="S43" i="1"/>
  <c r="M27" i="1"/>
  <c r="L26" i="1"/>
  <c r="K27" i="1"/>
  <c r="Q8" i="1"/>
  <c r="M8" i="1"/>
  <c r="F8" i="1"/>
  <c r="F15" i="1" s="1"/>
  <c r="N7" i="1"/>
  <c r="S5" i="1"/>
  <c r="S18" i="1"/>
  <c r="O8" i="1"/>
  <c r="I7" i="1"/>
  <c r="H9" i="1"/>
  <c r="I9" i="1" s="1"/>
  <c r="J9" i="1" s="1"/>
  <c r="K9" i="1" s="1"/>
  <c r="L9" i="1" s="1"/>
  <c r="M9" i="1" s="1"/>
  <c r="G7" i="1"/>
  <c r="G15" i="1" s="1"/>
  <c r="D19" i="1"/>
  <c r="S17" i="1"/>
  <c r="I26" i="1"/>
  <c r="H26" i="1"/>
  <c r="G26" i="1"/>
  <c r="E26" i="1"/>
  <c r="R26" i="1"/>
  <c r="F27" i="1"/>
  <c r="Q26" i="1"/>
  <c r="M26" i="1"/>
  <c r="O26" i="1"/>
  <c r="P26" i="1"/>
  <c r="G25" i="1"/>
  <c r="K26" i="1"/>
  <c r="E25" i="1"/>
  <c r="D27" i="1"/>
  <c r="D26" i="1"/>
  <c r="N6" i="2"/>
  <c r="O6" i="2" s="1"/>
  <c r="S11" i="1"/>
  <c r="D45" i="1"/>
  <c r="E44" i="1"/>
  <c r="S6" i="1"/>
  <c r="J7" i="1"/>
  <c r="J8" i="1"/>
  <c r="R7" i="1"/>
  <c r="D7" i="1"/>
  <c r="N26" i="1"/>
  <c r="N25" i="1"/>
  <c r="F26" i="1"/>
  <c r="F25" i="1"/>
  <c r="F29" i="1" s="1"/>
  <c r="P7" i="1"/>
  <c r="P8" i="1"/>
  <c r="H7" i="1"/>
  <c r="H8" i="1"/>
  <c r="D25" i="1"/>
  <c r="I8" i="2"/>
  <c r="I12" i="2"/>
  <c r="I7" i="2"/>
  <c r="I9" i="2"/>
  <c r="I16" i="2"/>
  <c r="I14" i="2"/>
  <c r="I18" i="2"/>
  <c r="I11" i="2"/>
  <c r="I19" i="2"/>
  <c r="I6" i="2"/>
  <c r="I13" i="2"/>
  <c r="I21" i="2"/>
  <c r="I15" i="2"/>
  <c r="I10" i="2"/>
  <c r="N27" i="1"/>
  <c r="L25" i="1"/>
  <c r="K8" i="1"/>
  <c r="B20" i="2"/>
  <c r="J21" i="2"/>
  <c r="J18" i="2"/>
  <c r="I25" i="1"/>
  <c r="Q25" i="1"/>
  <c r="J25" i="1"/>
  <c r="R25" i="1"/>
  <c r="K25" i="1"/>
  <c r="S10" i="1"/>
  <c r="G27" i="1"/>
  <c r="O27" i="1"/>
  <c r="H27" i="1"/>
  <c r="P27" i="1"/>
  <c r="I27" i="1"/>
  <c r="Q27" i="1"/>
  <c r="J27" i="1"/>
  <c r="R27" i="1"/>
  <c r="L27" i="1"/>
  <c r="E27" i="1"/>
  <c r="L8" i="1"/>
  <c r="E8" i="1"/>
  <c r="E15" i="1" s="1"/>
  <c r="D13" i="2" l="1"/>
  <c r="G9" i="2"/>
  <c r="H29" i="1"/>
  <c r="L29" i="1"/>
  <c r="M29" i="1"/>
  <c r="G29" i="1"/>
  <c r="D20" i="1"/>
  <c r="S20" i="1" s="1"/>
  <c r="S19" i="1"/>
  <c r="K29" i="1"/>
  <c r="O29" i="1"/>
  <c r="M15" i="1"/>
  <c r="K15" i="1"/>
  <c r="L15" i="1"/>
  <c r="N9" i="1"/>
  <c r="O9" i="1" s="1"/>
  <c r="O15" i="1" s="1"/>
  <c r="I15" i="1"/>
  <c r="S8" i="1"/>
  <c r="E29" i="1"/>
  <c r="R29" i="1"/>
  <c r="D29" i="1"/>
  <c r="P29" i="1"/>
  <c r="K17" i="2"/>
  <c r="D46" i="1"/>
  <c r="K20" i="2"/>
  <c r="K21" i="2"/>
  <c r="N29" i="1"/>
  <c r="I29" i="1"/>
  <c r="J29" i="1"/>
  <c r="Q29" i="1"/>
  <c r="B21" i="2"/>
  <c r="B22" i="2" s="1"/>
  <c r="B23" i="2" s="1"/>
  <c r="B24" i="2" s="1"/>
  <c r="B25" i="2" s="1"/>
  <c r="B26" i="2" s="1"/>
  <c r="H15" i="1"/>
  <c r="K19" i="2"/>
  <c r="J15" i="1"/>
  <c r="K18" i="2"/>
  <c r="S7" i="1"/>
  <c r="D15" i="1"/>
  <c r="E45" i="1"/>
  <c r="E46" i="1" s="1"/>
  <c r="E49" i="1" s="1"/>
  <c r="L7" i="2" s="1"/>
  <c r="M7" i="2" s="1"/>
  <c r="F44" i="1"/>
  <c r="D14" i="2" l="1"/>
  <c r="D6" i="2"/>
  <c r="E6" i="2" s="1"/>
  <c r="N15" i="2"/>
  <c r="F17" i="2"/>
  <c r="N15" i="1"/>
  <c r="F6" i="2"/>
  <c r="P9" i="1"/>
  <c r="Q9" i="1" s="1"/>
  <c r="R9" i="1" s="1"/>
  <c r="R15" i="1" s="1"/>
  <c r="D49" i="1"/>
  <c r="L6" i="2" s="1"/>
  <c r="M6" i="2" s="1"/>
  <c r="G44" i="1"/>
  <c r="F45" i="1"/>
  <c r="D15" i="2" l="1"/>
  <c r="R6" i="2"/>
  <c r="G11" i="2"/>
  <c r="N16" i="2"/>
  <c r="P15" i="1"/>
  <c r="Q15" i="1"/>
  <c r="S9" i="1"/>
  <c r="S15" i="1" s="1"/>
  <c r="F46" i="1"/>
  <c r="G45" i="1"/>
  <c r="G46" i="1" s="1"/>
  <c r="G49" i="1" s="1"/>
  <c r="L9" i="2" s="1"/>
  <c r="M9" i="2" s="1"/>
  <c r="H44" i="1"/>
  <c r="D16" i="2" l="1"/>
  <c r="G12" i="2"/>
  <c r="N17" i="2"/>
  <c r="F49" i="1"/>
  <c r="L8" i="2" s="1"/>
  <c r="M8" i="2" s="1"/>
  <c r="H45" i="1"/>
  <c r="H46" i="1" s="1"/>
  <c r="H49" i="1" s="1"/>
  <c r="L10" i="2" s="1"/>
  <c r="M10" i="2" s="1"/>
  <c r="I44" i="1"/>
  <c r="D17" i="2" l="1"/>
  <c r="N19" i="2"/>
  <c r="G13" i="2"/>
  <c r="I45" i="1"/>
  <c r="I46" i="1" s="1"/>
  <c r="I49" i="1" s="1"/>
  <c r="L11" i="2" s="1"/>
  <c r="J44" i="1"/>
  <c r="D18" i="2" l="1"/>
  <c r="N20" i="2"/>
  <c r="G14" i="2"/>
  <c r="J45" i="1"/>
  <c r="K44" i="1"/>
  <c r="L17" i="2"/>
  <c r="M11" i="2"/>
  <c r="D19" i="2" l="1"/>
  <c r="N21" i="2"/>
  <c r="G15" i="2"/>
  <c r="M17" i="2"/>
  <c r="L18" i="2"/>
  <c r="L44" i="1"/>
  <c r="K45" i="1"/>
  <c r="K46" i="1" s="1"/>
  <c r="K49" i="1" s="1"/>
  <c r="L13" i="2" s="1"/>
  <c r="M13" i="2" s="1"/>
  <c r="J46" i="1"/>
  <c r="D20" i="2" l="1"/>
  <c r="G16" i="2"/>
  <c r="N22" i="2"/>
  <c r="J49" i="1"/>
  <c r="L12" i="2" s="1"/>
  <c r="M12" i="2" s="1"/>
  <c r="L45" i="1"/>
  <c r="L46" i="1" s="1"/>
  <c r="L49" i="1" s="1"/>
  <c r="L14" i="2" s="1"/>
  <c r="M14" i="2" s="1"/>
  <c r="M44" i="1"/>
  <c r="M18" i="2"/>
  <c r="L19" i="2"/>
  <c r="D21" i="2" l="1"/>
  <c r="G17" i="2"/>
  <c r="N23" i="2"/>
  <c r="M45" i="1"/>
  <c r="M46" i="1" s="1"/>
  <c r="M49" i="1" s="1"/>
  <c r="L15" i="2" s="1"/>
  <c r="M15" i="2" s="1"/>
  <c r="N44" i="1"/>
  <c r="M19" i="2"/>
  <c r="L20" i="2"/>
  <c r="M20" i="2" s="1"/>
  <c r="D22" i="2" l="1"/>
  <c r="G18" i="2"/>
  <c r="N45" i="1"/>
  <c r="N46" i="1" s="1"/>
  <c r="N49" i="1" s="1"/>
  <c r="O44" i="1"/>
  <c r="L21" i="2"/>
  <c r="L22" i="2" l="1"/>
  <c r="M22" i="2" s="1"/>
  <c r="M21" i="2"/>
  <c r="D23" i="2"/>
  <c r="G19" i="2"/>
  <c r="N25" i="2"/>
  <c r="O45" i="1"/>
  <c r="O46" i="1" s="1"/>
  <c r="O49" i="1" s="1"/>
  <c r="P44" i="1"/>
  <c r="O22" i="2" l="1"/>
  <c r="O10" i="2"/>
  <c r="L23" i="2"/>
  <c r="M23" i="2" s="1"/>
  <c r="D24" i="2"/>
  <c r="O20" i="2"/>
  <c r="O21" i="2"/>
  <c r="O16" i="2"/>
  <c r="O18" i="2"/>
  <c r="O24" i="2"/>
  <c r="O17" i="2"/>
  <c r="L24" i="2"/>
  <c r="M24" i="2" s="1"/>
  <c r="G20" i="2"/>
  <c r="O25" i="2"/>
  <c r="O14" i="2"/>
  <c r="O11" i="2"/>
  <c r="O13" i="2"/>
  <c r="O12" i="2"/>
  <c r="O15" i="2"/>
  <c r="O19" i="2"/>
  <c r="O23" i="2"/>
  <c r="P45" i="1"/>
  <c r="P46" i="1" s="1"/>
  <c r="P49" i="1" s="1"/>
  <c r="Q44" i="1"/>
  <c r="D25" i="2" l="1"/>
  <c r="G21" i="2"/>
  <c r="L25" i="2"/>
  <c r="M25" i="2" s="1"/>
  <c r="Q45" i="1"/>
  <c r="Q46" i="1" s="1"/>
  <c r="Q49" i="1" s="1"/>
  <c r="R44" i="1"/>
  <c r="D26" i="2" l="1"/>
  <c r="G22" i="2"/>
  <c r="L26" i="2"/>
  <c r="M26" i="2" s="1"/>
  <c r="S44" i="1"/>
  <c r="R45" i="1"/>
  <c r="G23" i="2" l="1"/>
  <c r="R46" i="1"/>
  <c r="S45" i="1"/>
  <c r="G24" i="2" l="1"/>
  <c r="R49" i="1"/>
  <c r="L16" i="2" s="1"/>
  <c r="M16" i="2" s="1"/>
  <c r="S46" i="1"/>
  <c r="S49" i="1" s="1"/>
  <c r="G25" i="2" l="1"/>
  <c r="G26" i="2" l="1"/>
  <c r="R19" i="2" l="1"/>
  <c r="R23" i="2" l="1"/>
  <c r="R25" i="2"/>
  <c r="R22" i="2"/>
  <c r="R26" i="2"/>
  <c r="R8" i="2"/>
  <c r="R7" i="2"/>
  <c r="R9" i="2"/>
  <c r="R11" i="2"/>
  <c r="R10" i="2"/>
  <c r="R12" i="2"/>
  <c r="R13" i="2"/>
  <c r="R14" i="2"/>
  <c r="R15" i="2"/>
  <c r="R17" i="2"/>
  <c r="R16" i="2"/>
  <c r="R24" i="2"/>
  <c r="R21" i="2"/>
  <c r="R20" i="2"/>
  <c r="R18" i="2"/>
</calcChain>
</file>

<file path=xl/sharedStrings.xml><?xml version="1.0" encoding="utf-8"?>
<sst xmlns="http://schemas.openxmlformats.org/spreadsheetml/2006/main" count="363" uniqueCount="265">
  <si>
    <t>ENVIRONMENTAL MONITORING</t>
  </si>
  <si>
    <t>CAPPING AND RESTORATION</t>
  </si>
  <si>
    <r>
      <t>/m</t>
    </r>
    <r>
      <rPr>
        <vertAlign val="superscript"/>
        <sz val="10"/>
        <rFont val="Arial"/>
        <family val="2"/>
      </rPr>
      <t>2</t>
    </r>
  </si>
  <si>
    <t>Sub Total Capping and Restoration</t>
  </si>
  <si>
    <r>
      <t>/m</t>
    </r>
    <r>
      <rPr>
        <vertAlign val="superscript"/>
        <sz val="10"/>
        <rFont val="Arial"/>
        <family val="2"/>
      </rPr>
      <t>3</t>
    </r>
  </si>
  <si>
    <t>Post Closure</t>
  </si>
  <si>
    <t>SURFACE WATER MANAGEMENT</t>
  </si>
  <si>
    <t>PHASE OF SITE'S LIFE</t>
  </si>
  <si>
    <t xml:space="preserve">Sub- Total Annual Environmental Monitoring </t>
  </si>
  <si>
    <t>/year</t>
  </si>
  <si>
    <t>/No</t>
  </si>
  <si>
    <t>Quantity</t>
  </si>
  <si>
    <t>Year</t>
  </si>
  <si>
    <t>Active</t>
  </si>
  <si>
    <t>Annual</t>
  </si>
  <si>
    <t>Cumulative</t>
  </si>
  <si>
    <t xml:space="preserve">One-Off </t>
  </si>
  <si>
    <t>Annual Surface</t>
  </si>
  <si>
    <t xml:space="preserve">Cumulative </t>
  </si>
  <si>
    <t>Annual Post</t>
  </si>
  <si>
    <t>Cumulative Future</t>
  </si>
  <si>
    <t>Financial</t>
  </si>
  <si>
    <t>Post</t>
  </si>
  <si>
    <t>Landfill</t>
  </si>
  <si>
    <t>Environmental</t>
  </si>
  <si>
    <t xml:space="preserve"> Future</t>
  </si>
  <si>
    <t xml:space="preserve">Capping and </t>
  </si>
  <si>
    <t xml:space="preserve">Water </t>
  </si>
  <si>
    <t>Future</t>
  </si>
  <si>
    <t xml:space="preserve"> Cap</t>
  </si>
  <si>
    <t>Post Capping</t>
  </si>
  <si>
    <t>Monitoring</t>
  </si>
  <si>
    <t>Closure</t>
  </si>
  <si>
    <t>Phase/</t>
  </si>
  <si>
    <t xml:space="preserve">Restoration  of </t>
  </si>
  <si>
    <t>Drainage</t>
  </si>
  <si>
    <t>Leachate</t>
  </si>
  <si>
    <t>Cell</t>
  </si>
  <si>
    <t>Maintenance</t>
  </si>
  <si>
    <t xml:space="preserve">Costs </t>
  </si>
  <si>
    <t>NOTES</t>
  </si>
  <si>
    <t>SW Drainage</t>
  </si>
  <si>
    <t>SECURITY</t>
  </si>
  <si>
    <t>Security and</t>
  </si>
  <si>
    <t>SPECIFIED EVENTS</t>
  </si>
  <si>
    <t>Management and CQA</t>
  </si>
  <si>
    <t xml:space="preserve">Specified </t>
  </si>
  <si>
    <t>Events</t>
  </si>
  <si>
    <t xml:space="preserve">Provision per </t>
  </si>
  <si>
    <t>Geomembrane Cap</t>
  </si>
  <si>
    <t>m</t>
  </si>
  <si>
    <t>LEACHATE MANAGEMENT</t>
  </si>
  <si>
    <r>
      <t>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/annum</t>
    </r>
  </si>
  <si>
    <t>/annum</t>
  </si>
  <si>
    <t>One-off provisions to be deleted, following review,once installations carried out.</t>
  </si>
  <si>
    <t>Total</t>
  </si>
  <si>
    <t>Assumes leachate management and environmental monitoring for 60 years post site closure</t>
  </si>
  <si>
    <t>Total Capped Area</t>
  </si>
  <si>
    <t>LANDFILL GAS MANAGEMENT</t>
  </si>
  <si>
    <t>Annual Replacement Cost</t>
  </si>
  <si>
    <t>LFG</t>
  </si>
  <si>
    <t xml:space="preserve">LFG </t>
  </si>
  <si>
    <t>Management</t>
  </si>
  <si>
    <t>Annual Environmental Performance Report</t>
  </si>
  <si>
    <t>One-Off</t>
  </si>
  <si>
    <t>Treatment</t>
  </si>
  <si>
    <t>Plant</t>
  </si>
  <si>
    <t>Monitoring costs reduced to 60%, 40% and then 20% of maximum levels after 10, 20 and 30 years post-closure respectively</t>
  </si>
  <si>
    <t>total</t>
  </si>
  <si>
    <t>Monitoring Costs</t>
  </si>
  <si>
    <t>Active Cells</t>
  </si>
  <si>
    <t xml:space="preserve"> Man Costs</t>
  </si>
  <si>
    <t xml:space="preserve">Phase or Year </t>
  </si>
  <si>
    <t>SITE REPORTS</t>
  </si>
  <si>
    <t>Leachate Samples</t>
  </si>
  <si>
    <t>Repair/Maintenance of Cap</t>
  </si>
  <si>
    <t>Surface Water Testing Cost</t>
  </si>
  <si>
    <t>Groundwater Wells</t>
  </si>
  <si>
    <t xml:space="preserve">Technician Visits and LFG Monitoring </t>
  </si>
  <si>
    <t>Restoration Soils - From Stock ?</t>
  </si>
  <si>
    <t>Cultivation &amp; Seeding</t>
  </si>
  <si>
    <t>Long Term Leachate Through Cap</t>
  </si>
  <si>
    <t xml:space="preserve">Annual Long Term Disposal </t>
  </si>
  <si>
    <t>Replacement of Leachate Pumps</t>
  </si>
  <si>
    <t>Maintenance/Replacement of Flare</t>
  </si>
  <si>
    <t>Total Length of Drain</t>
  </si>
  <si>
    <t>Maintenance of Fences and Gates</t>
  </si>
  <si>
    <t xml:space="preserve">Leachate Head Rise above Trigger Levels </t>
  </si>
  <si>
    <t>of Site Specific Risk Assessment.</t>
  </si>
  <si>
    <t xml:space="preserve">Any Other Specific Provision as a Result </t>
  </si>
  <si>
    <t>On the existing landfill?</t>
  </si>
  <si>
    <t xml:space="preserve">How many are - </t>
  </si>
  <si>
    <t>On cells</t>
  </si>
  <si>
    <t xml:space="preserve">How many do you take - </t>
  </si>
  <si>
    <t xml:space="preserve">Leachate Testing Cost </t>
  </si>
  <si>
    <t>What is your Composite Samples unit cost?</t>
  </si>
  <si>
    <t>What is your List 1 Substances unit cost?</t>
  </si>
  <si>
    <t>What is your sample location/annum unit cost?</t>
  </si>
  <si>
    <t>What is the unit cost of each survey?</t>
  </si>
  <si>
    <t>How many visits per annum does the technician make?</t>
  </si>
  <si>
    <t>What is the unit cost of each visit?</t>
  </si>
  <si>
    <t>Landfill Gas/Monitoring Wells</t>
  </si>
  <si>
    <t xml:space="preserve">How many Gas Wells are - </t>
  </si>
  <si>
    <t xml:space="preserve">How many Monitoring Wells are - </t>
  </si>
  <si>
    <t>What is the Maximum Area (in square metres) to be Restored ?</t>
  </si>
  <si>
    <t>What is the unit cost of each cubic metre? (No £ sign!)</t>
  </si>
  <si>
    <t>What is the total capped area?</t>
  </si>
  <si>
    <t>What is your long term infiltration in mm/annum?</t>
  </si>
  <si>
    <t>What does each pump cost?</t>
  </si>
  <si>
    <t>One off Leachate Treatment Plant Provison</t>
  </si>
  <si>
    <t>How much do you expect this to cost? (No £ sign!)</t>
  </si>
  <si>
    <t xml:space="preserve">At what yearly interval do you replace your leachate pumps? </t>
  </si>
  <si>
    <t>How many Gas Abstraction Wells have you in use?</t>
  </si>
  <si>
    <t>What is the total cost of your flare?</t>
  </si>
  <si>
    <t>What percentage of cost do you allow for maintenance? (No %!)</t>
  </si>
  <si>
    <t>What is the total length of drains, in metres?</t>
  </si>
  <si>
    <t>How many additional monitoring visits would you expect to be needed?</t>
  </si>
  <si>
    <t>What would be the cost of each visit? (No £ sign!)</t>
  </si>
  <si>
    <t>Additional Monitoring</t>
  </si>
  <si>
    <t>How many additional groundwater tests would you expect to be needed in one year?</t>
  </si>
  <si>
    <t>Additional groundwater testing</t>
  </si>
  <si>
    <t>How many additional leachate abstraction wells will be needed?</t>
  </si>
  <si>
    <t>What would be the cost of each well? (No £ sign!)</t>
  </si>
  <si>
    <t>Additional leachate abstraction wells required</t>
  </si>
  <si>
    <t>Additional pumps required</t>
  </si>
  <si>
    <t>How many additional pumps will be needed?</t>
  </si>
  <si>
    <t>What would be the cost of each pump? (No £ sign!)</t>
  </si>
  <si>
    <t>Specify expected cost in £'s (No £ sign!)</t>
  </si>
  <si>
    <t>How much soil will need to be stripped (in cubic metres)?</t>
  </si>
  <si>
    <t>How much cap will need to be replaced (in cubic metres)?</t>
  </si>
  <si>
    <t>How much soil will need to be replaced (in cubic metres)?</t>
  </si>
  <si>
    <t>Settlement- Yearly Surveys</t>
  </si>
  <si>
    <t>What is your long term disposal cost per cubic metre?</t>
  </si>
  <si>
    <t xml:space="preserve">How many wells do you have -  </t>
  </si>
  <si>
    <t>What is the unit cost of each well?</t>
  </si>
  <si>
    <t>What percentage of wells are replaced each year, on average?</t>
  </si>
  <si>
    <t>Leachate Pump and Wells</t>
  </si>
  <si>
    <t xml:space="preserve">What is your well replacement cost per metre (No £ sign!) </t>
  </si>
  <si>
    <t>How deep are your wells? In metres.</t>
  </si>
  <si>
    <t>Therefore each well costs</t>
  </si>
  <si>
    <t>This gives a total cost of:</t>
  </si>
  <si>
    <t>Unit Cost?</t>
  </si>
  <si>
    <t>Total Specified Occurrences</t>
  </si>
  <si>
    <t>Leachate Testing Cost</t>
  </si>
  <si>
    <t>Leachate List 1 Substances</t>
  </si>
  <si>
    <t xml:space="preserve">Groundwater Testing Cost </t>
  </si>
  <si>
    <t>Number of Gas Wells in Use</t>
  </si>
  <si>
    <t>Total Number of  Monitoring Wells in Use</t>
  </si>
  <si>
    <t xml:space="preserve">Total Replacement Cost </t>
  </si>
  <si>
    <t>Max Area to be Restored</t>
  </si>
  <si>
    <t xml:space="preserve">Restoration Soils from Stock </t>
  </si>
  <si>
    <t>Long Term Leachate Infiltration Through Cap</t>
  </si>
  <si>
    <t>One off LTP Provison</t>
  </si>
  <si>
    <t>Sub Total Leachate Management Costs</t>
  </si>
  <si>
    <t>Number of Gas Abstraction Wells in Use per Cell</t>
  </si>
  <si>
    <t>Total Number of Gas Wells</t>
  </si>
  <si>
    <t>Sub Total Annual LFG Management Costs</t>
  </si>
  <si>
    <t xml:space="preserve">Leachate Head Rise Above Trigger Levels </t>
  </si>
  <si>
    <t>Back up information on worksheet Back-Up</t>
  </si>
  <si>
    <r>
      <t xml:space="preserve">Figures in </t>
    </r>
    <r>
      <rPr>
        <sz val="8"/>
        <color indexed="10"/>
        <rFont val="Arial"/>
        <family val="2"/>
      </rPr>
      <t>red</t>
    </r>
    <r>
      <rPr>
        <sz val="8"/>
        <rFont val="Arial"/>
        <family val="2"/>
      </rPr>
      <t xml:space="preserve"> contribute towards financial provision. </t>
    </r>
  </si>
  <si>
    <r>
      <t xml:space="preserve">Costs in </t>
    </r>
    <r>
      <rPr>
        <sz val="8"/>
        <color indexed="12"/>
        <rFont val="Arial"/>
        <family val="2"/>
      </rPr>
      <t>blue</t>
    </r>
    <r>
      <rPr>
        <sz val="8"/>
        <rFont val="Arial"/>
        <family val="2"/>
      </rPr>
      <t xml:space="preserve"> are annual numbers and contribute towards cumulative provision shown in red</t>
    </r>
  </si>
  <si>
    <t>N/A</t>
  </si>
  <si>
    <t>Site not capped only restored with soils</t>
  </si>
  <si>
    <t xml:space="preserve">How many samples do you take each quarter? </t>
  </si>
  <si>
    <t>What is the unit cost of each sample?</t>
  </si>
  <si>
    <t>Expected cost of your annual performance report?</t>
  </si>
  <si>
    <t>Closure Plan - review every 4 years</t>
  </si>
  <si>
    <t>Closure Report</t>
  </si>
  <si>
    <t>Expected cost of final site closure report</t>
  </si>
  <si>
    <t>Permit Surrender Report</t>
  </si>
  <si>
    <t>Expected cost of environmental permit surrender report</t>
  </si>
  <si>
    <t>Annual reporting</t>
  </si>
  <si>
    <t>GS8 species rich grassland at:</t>
  </si>
  <si>
    <t>g/m2</t>
  </si>
  <si>
    <t>m2</t>
  </si>
  <si>
    <t>g</t>
  </si>
  <si>
    <t>kg</t>
  </si>
  <si>
    <t>Boston Seeds max price</t>
  </si>
  <si>
    <t>20kg</t>
  </si>
  <si>
    <t>What is the unit cost of each square metre? (No £ sign!)</t>
  </si>
  <si>
    <t>Delivery</t>
  </si>
  <si>
    <t>£50 (i.e. Chemtest quote Q20-21378-1 +20%) per sample + 1hr staff time per sample for sampling, CoC etc.</t>
  </si>
  <si>
    <t>Estimate</t>
  </si>
  <si>
    <t>Included in below</t>
  </si>
  <si>
    <t>At perimeter locations</t>
  </si>
  <si>
    <t>per visit, quarterly ?</t>
  </si>
  <si>
    <t>LEACHATE MANAGEMENT - not applicable for Challonsleigh Farm Inert Landfill</t>
  </si>
  <si>
    <t>N/A - soils on site</t>
  </si>
  <si>
    <t>Seed cost /m2</t>
  </si>
  <si>
    <t>NOT APPLICABLE TO CHALLONSLEIGH FARM INERT LANDFILL</t>
  </si>
  <si>
    <t>Up to one week @ £60/hr</t>
  </si>
  <si>
    <t>Up to two weeks each review @ £60/hr</t>
  </si>
  <si>
    <t>Up to one day each review @£60/hr</t>
  </si>
  <si>
    <t>Not expected</t>
  </si>
  <si>
    <t>perimeter drains</t>
  </si>
  <si>
    <t>Allowance for inpection of drains</t>
  </si>
  <si>
    <t>No. of inspection visits per year</t>
  </si>
  <si>
    <t>Duration of inspection visit, day</t>
  </si>
  <si>
    <t>How much does an inspection visit cost</t>
  </si>
  <si>
    <t>Allowance for potential drain clearance, plant and personnel</t>
  </si>
  <si>
    <t>Allowance for inspection visits</t>
  </si>
  <si>
    <t>Overall with allowance for plant /m2</t>
  </si>
  <si>
    <t>Allowance for potential clean out of drains</t>
  </si>
  <si>
    <t>Total No of Gas Monitoring Wells</t>
  </si>
  <si>
    <t>How many Gas Monitoring Wells have you in use?</t>
  </si>
  <si>
    <t xml:space="preserve">At perimeter locations </t>
  </si>
  <si>
    <t>LANDFILL GAS MANAGEMENT - not applicable for Challonsleigh Farm Inert Landfill</t>
  </si>
  <si>
    <t>Closure Plan - review every four years</t>
  </si>
  <si>
    <t>Justification for Challonsleigh Farm Inert Landfill</t>
  </si>
  <si>
    <t>Not applicable as inert waste landfill</t>
  </si>
  <si>
    <t>For groundwater monitoring</t>
  </si>
  <si>
    <t>Likely annual permit requirement</t>
  </si>
  <si>
    <t>None for inert landfill</t>
  </si>
  <si>
    <t>Upstream and downstream of discharge</t>
  </si>
  <si>
    <t>Not applicable to inert landfill</t>
  </si>
  <si>
    <t>Quarterly</t>
  </si>
  <si>
    <t>up to two site staff for half day each</t>
  </si>
  <si>
    <t>Nominal allowance for mechanical plant and operator</t>
  </si>
  <si>
    <t>Site boundary, m</t>
  </si>
  <si>
    <t>Site access gates, no.</t>
  </si>
  <si>
    <t>Other fencing, approximately, m</t>
  </si>
  <si>
    <t>Protective tree fencing</t>
  </si>
  <si>
    <t>Allowance for maintenance of security fences and gates</t>
  </si>
  <si>
    <t>Nominal allowance</t>
  </si>
  <si>
    <t>Maintenance of Fences and Gates - indicative quantities</t>
  </si>
  <si>
    <t>Not applicable/expected for inert landfill</t>
  </si>
  <si>
    <t>Indicative for final perimeter drainage</t>
  </si>
  <si>
    <t>Any Other Specific Provision as a Result of Site Specific Risk Assessment:</t>
  </si>
  <si>
    <t>Indicative based on BoQ for gi in 2020</t>
  </si>
  <si>
    <t>Historical Landfill being filled over, incorporated into new landfill</t>
  </si>
  <si>
    <t>Estimate based on man time to carry out</t>
  </si>
  <si>
    <t>Estimate max. working area of anyone time as:</t>
  </si>
  <si>
    <t>Based on one tenth landfill area of circa 13.65 ha</t>
  </si>
  <si>
    <t>estimate to give nominal  £3000</t>
  </si>
  <si>
    <t>Nominal allowance, staff and materials</t>
  </si>
  <si>
    <t>Based on BoQ for gi 2020, cost for General items, roatary drilling, inspection pit, instrumentation, monitoring during fieldwork =</t>
  </si>
  <si>
    <t>Possible requirement for in-waste gas wells</t>
  </si>
  <si>
    <t>Nominal allowance max. (unlikely) area unrestored</t>
  </si>
  <si>
    <t>BHL01, BHL02, BHL03, BHL04, BHL05, BHL06, BHL08 which is also in historical landfill</t>
  </si>
  <si>
    <t>Landfill During Operation</t>
  </si>
  <si>
    <t>Expected cost for review</t>
  </si>
  <si>
    <t xml:space="preserve">Expected cost for review/updates </t>
  </si>
  <si>
    <t>Closure Report, assume year 12</t>
  </si>
  <si>
    <t>Permit Surrender Report, assume 10 yrs after filling stops</t>
  </si>
  <si>
    <t>Reporting</t>
  </si>
  <si>
    <t xml:space="preserve">Years to </t>
  </si>
  <si>
    <t>Permit</t>
  </si>
  <si>
    <t>Surrender</t>
  </si>
  <si>
    <t>none at present as restored / vegetated</t>
  </si>
  <si>
    <t>On the historical landfill?</t>
  </si>
  <si>
    <t>£50 (i.e. Chemtest quote Q20-21378-1 +20%) + 7.5 hrs £50/hr staff time per sample for travel, sampling, CoC, despatch etc., 35 miles rtn at 45p per mile =</t>
  </si>
  <si>
    <t>£50 for hire of gas meter, 7.5 hrs £50/hr staff time per sample for travel, sampling, &amp; to help with gw sampling =</t>
  </si>
  <si>
    <t>For groundwater monitoring quarterly</t>
  </si>
  <si>
    <t>For quarterly monitoring of the River Yealm to which runoff will discharge</t>
  </si>
  <si>
    <t>Post Closure - all restored so not required</t>
  </si>
  <si>
    <t xml:space="preserve">Reports &amp; </t>
  </si>
  <si>
    <t>Based BoQ for gi 2020, cost for 10m well  General items, roatary drilling, inspection pit, instrumentation, monitoring during fieldwork =</t>
  </si>
  <si>
    <t>Maximum estimated prior to progressive restoration</t>
  </si>
  <si>
    <t>Costs incl Topo</t>
  </si>
  <si>
    <t>Allow for 2 no. for up to 1.25 ha to be restored</t>
  </si>
  <si>
    <t>Possible requirement for in-waste gas wells, for up to 1.25 ha to be restored</t>
  </si>
  <si>
    <t>Hdrogeological Risk Assessment 6 yearly reviews</t>
  </si>
  <si>
    <t>Six yearly hydrological reviews</t>
  </si>
  <si>
    <t xml:space="preserve"> Reviews</t>
  </si>
  <si>
    <t>Up to three weeks @ £60/hr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</si>
</sst>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[$£-809]#,##0"/>
    <numFmt numFmtId="167" formatCode="_-* #,##0_-;\-* #,##0_-;_-* &quot;-&quot;??_-;_-@_-"/>
    <numFmt numFmtId="168" formatCode="[$£-809]#,##0.00"/>
    <numFmt numFmtId="169" formatCode="#,##0_ ;\-#,##0\ "/>
    <numFmt numFmtId="170" formatCode="_-[$£-809]* #,##0.00_-;\-[$£-809]* #,##0.00_-;_-[$£-809]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/>
    <xf numFmtId="0" fontId="9" fillId="0" borderId="0" xfId="0" applyFont="1"/>
    <xf numFmtId="0" fontId="0" fillId="0" borderId="0" xfId="0" applyBorder="1"/>
    <xf numFmtId="164" fontId="2" fillId="0" borderId="0" xfId="0" applyNumberFormat="1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Alignment="1">
      <alignment horizontal="left"/>
    </xf>
    <xf numFmtId="0" fontId="9" fillId="0" borderId="0" xfId="0" applyFont="1" applyBorder="1"/>
    <xf numFmtId="1" fontId="0" fillId="0" borderId="0" xfId="0" applyNumberForma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/>
    <xf numFmtId="1" fontId="1" fillId="0" borderId="0" xfId="0" applyNumberFormat="1" applyFont="1"/>
    <xf numFmtId="1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7" fillId="0" borderId="2" xfId="0" applyFont="1" applyBorder="1"/>
    <xf numFmtId="0" fontId="2" fillId="0" borderId="4" xfId="0" applyFont="1" applyBorder="1"/>
    <xf numFmtId="0" fontId="0" fillId="0" borderId="0" xfId="0" applyFill="1"/>
    <xf numFmtId="0" fontId="2" fillId="0" borderId="5" xfId="0" applyFont="1" applyBorder="1"/>
    <xf numFmtId="0" fontId="2" fillId="0" borderId="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wrapText="1"/>
    </xf>
    <xf numFmtId="1" fontId="1" fillId="0" borderId="4" xfId="0" applyNumberFormat="1" applyFont="1" applyBorder="1"/>
    <xf numFmtId="164" fontId="1" fillId="0" borderId="8" xfId="0" applyNumberFormat="1" applyFont="1" applyBorder="1"/>
    <xf numFmtId="0" fontId="2" fillId="0" borderId="4" xfId="0" applyFont="1" applyFill="1" applyBorder="1"/>
    <xf numFmtId="165" fontId="1" fillId="0" borderId="8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Alignment="1">
      <alignment horizontal="center"/>
    </xf>
    <xf numFmtId="1" fontId="2" fillId="0" borderId="0" xfId="0" applyNumberFormat="1" applyFont="1" applyBorder="1"/>
    <xf numFmtId="0" fontId="7" fillId="0" borderId="0" xfId="0" applyFont="1" applyFill="1" applyAlignment="1">
      <alignment horizontal="justify"/>
    </xf>
    <xf numFmtId="0" fontId="0" fillId="0" borderId="0" xfId="0" applyAlignment="1"/>
    <xf numFmtId="0" fontId="0" fillId="0" borderId="0" xfId="0" applyFill="1" applyBorder="1" applyAlignment="1"/>
    <xf numFmtId="0" fontId="7" fillId="0" borderId="0" xfId="0" applyFont="1" applyFill="1" applyAlignment="1"/>
    <xf numFmtId="0" fontId="0" fillId="0" borderId="0" xfId="0" applyFill="1" applyAlignment="1"/>
    <xf numFmtId="0" fontId="7" fillId="0" borderId="0" xfId="0" applyFont="1" applyBorder="1" applyAlignment="1"/>
    <xf numFmtId="0" fontId="2" fillId="0" borderId="0" xfId="0" applyFont="1" applyBorder="1" applyAlignment="1"/>
    <xf numFmtId="43" fontId="0" fillId="0" borderId="0" xfId="1" applyFont="1"/>
    <xf numFmtId="1" fontId="1" fillId="0" borderId="8" xfId="0" applyNumberFormat="1" applyFont="1" applyFill="1" applyBorder="1" applyAlignment="1">
      <alignment horizontal="right"/>
    </xf>
    <xf numFmtId="167" fontId="0" fillId="0" borderId="0" xfId="1" applyNumberFormat="1" applyFont="1"/>
    <xf numFmtId="164" fontId="4" fillId="0" borderId="14" xfId="1" applyNumberFormat="1" applyFont="1" applyFill="1" applyBorder="1"/>
    <xf numFmtId="164" fontId="4" fillId="0" borderId="14" xfId="0" applyNumberFormat="1" applyFont="1" applyBorder="1"/>
    <xf numFmtId="167" fontId="0" fillId="0" borderId="0" xfId="1" applyNumberFormat="1" applyFont="1" applyBorder="1" applyAlignment="1"/>
    <xf numFmtId="164" fontId="4" fillId="0" borderId="0" xfId="1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6" fontId="2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6" fontId="9" fillId="0" borderId="1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6" fontId="2" fillId="0" borderId="15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8" fontId="9" fillId="0" borderId="0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NumberFormat="1" applyFont="1" applyFill="1"/>
    <xf numFmtId="167" fontId="0" fillId="2" borderId="0" xfId="1" applyNumberFormat="1" applyFont="1" applyFill="1"/>
    <xf numFmtId="169" fontId="0" fillId="2" borderId="0" xfId="1" applyNumberFormat="1" applyFont="1" applyFill="1"/>
    <xf numFmtId="7" fontId="0" fillId="2" borderId="0" xfId="1" applyNumberFormat="1" applyFont="1" applyFill="1"/>
    <xf numFmtId="164" fontId="0" fillId="2" borderId="0" xfId="1" applyNumberFormat="1" applyFont="1" applyFill="1"/>
    <xf numFmtId="3" fontId="0" fillId="2" borderId="0" xfId="1" applyNumberFormat="1" applyFont="1" applyFill="1"/>
    <xf numFmtId="164" fontId="0" fillId="0" borderId="0" xfId="0" applyNumberFormat="1" applyFill="1"/>
    <xf numFmtId="43" fontId="0" fillId="2" borderId="0" xfId="1" applyFont="1" applyFill="1"/>
    <xf numFmtId="164" fontId="0" fillId="2" borderId="0" xfId="0" applyNumberFormat="1" applyFill="1"/>
    <xf numFmtId="0" fontId="0" fillId="2" borderId="0" xfId="0" applyFill="1" applyAlignme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7" fontId="7" fillId="2" borderId="0" xfId="1" applyNumberFormat="1" applyFont="1" applyFill="1" applyAlignment="1"/>
    <xf numFmtId="0" fontId="7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Border="1"/>
    <xf numFmtId="7" fontId="7" fillId="2" borderId="0" xfId="1" applyNumberFormat="1" applyFont="1" applyFill="1"/>
    <xf numFmtId="164" fontId="0" fillId="2" borderId="0" xfId="0" applyNumberFormat="1" applyFill="1" applyAlignment="1"/>
    <xf numFmtId="0" fontId="0" fillId="0" borderId="0" xfId="0" applyFont="1" applyBorder="1"/>
    <xf numFmtId="164" fontId="0" fillId="3" borderId="0" xfId="0" applyNumberFormat="1" applyFill="1"/>
    <xf numFmtId="170" fontId="0" fillId="0" borderId="0" xfId="0" applyNumberFormat="1"/>
    <xf numFmtId="170" fontId="0" fillId="0" borderId="27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7" fontId="1" fillId="0" borderId="0" xfId="1" applyNumberFormat="1" applyFont="1"/>
    <xf numFmtId="0" fontId="1" fillId="0" borderId="4" xfId="0" applyFont="1" applyBorder="1"/>
    <xf numFmtId="168" fontId="1" fillId="0" borderId="0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7" fontId="1" fillId="0" borderId="0" xfId="1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0" xfId="0" applyNumberFormat="1" applyFont="1"/>
    <xf numFmtId="164" fontId="1" fillId="0" borderId="8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  <xf numFmtId="164" fontId="1" fillId="0" borderId="28" xfId="0" applyNumberFormat="1" applyFont="1" applyBorder="1" applyAlignment="1">
      <alignment horizontal="right"/>
    </xf>
    <xf numFmtId="167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1" fillId="0" borderId="8" xfId="0" applyFont="1" applyBorder="1"/>
    <xf numFmtId="167" fontId="1" fillId="0" borderId="8" xfId="1" applyNumberFormat="1" applyFont="1" applyBorder="1"/>
    <xf numFmtId="167" fontId="1" fillId="0" borderId="0" xfId="1" applyNumberFormat="1" applyFont="1" applyBorder="1" applyAlignment="1">
      <alignment horizontal="right"/>
    </xf>
    <xf numFmtId="167" fontId="1" fillId="0" borderId="0" xfId="1" applyNumberFormat="1" applyFont="1" applyBorder="1"/>
    <xf numFmtId="0" fontId="1" fillId="0" borderId="4" xfId="0" applyFont="1" applyBorder="1" applyAlignment="1">
      <alignment horizontal="left"/>
    </xf>
    <xf numFmtId="164" fontId="1" fillId="0" borderId="8" xfId="1" applyNumberFormat="1" applyFont="1" applyBorder="1"/>
    <xf numFmtId="165" fontId="1" fillId="0" borderId="8" xfId="0" applyNumberFormat="1" applyFont="1" applyBorder="1"/>
    <xf numFmtId="9" fontId="1" fillId="0" borderId="0" xfId="0" applyNumberFormat="1" applyFont="1" applyFill="1" applyBorder="1"/>
    <xf numFmtId="167" fontId="1" fillId="0" borderId="0" xfId="0" applyNumberFormat="1" applyFont="1" applyBorder="1" applyAlignment="1">
      <alignment horizontal="right"/>
    </xf>
    <xf numFmtId="7" fontId="1" fillId="0" borderId="8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1" fillId="0" borderId="8" xfId="0" applyNumberFormat="1" applyFont="1" applyFill="1" applyBorder="1" applyAlignment="1">
      <alignment horizontal="right"/>
    </xf>
    <xf numFmtId="0" fontId="1" fillId="0" borderId="9" xfId="0" applyFont="1" applyBorder="1"/>
    <xf numFmtId="164" fontId="1" fillId="0" borderId="10" xfId="0" applyNumberFormat="1" applyFont="1" applyBorder="1"/>
    <xf numFmtId="0" fontId="1" fillId="0" borderId="10" xfId="0" applyFont="1" applyBorder="1"/>
    <xf numFmtId="165" fontId="1" fillId="0" borderId="10" xfId="0" applyNumberFormat="1" applyFont="1" applyBorder="1" applyAlignment="1">
      <alignment horizontal="center"/>
    </xf>
    <xf numFmtId="164" fontId="1" fillId="0" borderId="15" xfId="0" applyNumberFormat="1" applyFont="1" applyBorder="1"/>
    <xf numFmtId="0" fontId="1" fillId="0" borderId="1" xfId="0" applyFont="1" applyBorder="1"/>
    <xf numFmtId="0" fontId="2" fillId="0" borderId="0" xfId="0" applyFont="1"/>
    <xf numFmtId="164" fontId="1" fillId="0" borderId="27" xfId="0" applyNumberFormat="1" applyFont="1" applyBorder="1" applyAlignment="1">
      <alignment horizontal="right"/>
    </xf>
    <xf numFmtId="164" fontId="1" fillId="0" borderId="29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1" fillId="0" borderId="29" xfId="0" applyNumberFormat="1" applyFont="1" applyBorder="1"/>
    <xf numFmtId="0" fontId="1" fillId="2" borderId="0" xfId="0" applyFont="1" applyFill="1"/>
    <xf numFmtId="0" fontId="1" fillId="0" borderId="0" xfId="0" applyFont="1" applyBorder="1" applyAlignment="1"/>
    <xf numFmtId="164" fontId="0" fillId="0" borderId="27" xfId="0" applyNumberFormat="1" applyBorder="1"/>
    <xf numFmtId="0" fontId="17" fillId="0" borderId="0" xfId="0" applyFont="1"/>
    <xf numFmtId="0" fontId="17" fillId="0" borderId="0" xfId="0" applyFont="1" applyFill="1"/>
    <xf numFmtId="164" fontId="17" fillId="2" borderId="30" xfId="1" applyNumberFormat="1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6" fontId="9" fillId="0" borderId="0" xfId="0" applyNumberFormat="1" applyFont="1" applyBorder="1" applyAlignment="1">
      <alignment horizontal="center" vertical="center"/>
    </xf>
    <xf numFmtId="6" fontId="4" fillId="0" borderId="0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3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6" fontId="9" fillId="0" borderId="3" xfId="0" applyNumberFormat="1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164" fontId="0" fillId="0" borderId="0" xfId="0" applyNumberFormat="1" applyBorder="1"/>
    <xf numFmtId="168" fontId="1" fillId="0" borderId="29" xfId="0" applyNumberFormat="1" applyFont="1" applyBorder="1" applyAlignment="1">
      <alignment horizontal="right"/>
    </xf>
    <xf numFmtId="164" fontId="2" fillId="0" borderId="6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3"/>
  <sheetViews>
    <sheetView tabSelected="1" zoomScale="93" zoomScaleNormal="93" zoomScaleSheetLayoutView="100" workbookViewId="0">
      <selection activeCell="C7" sqref="C7"/>
    </sheetView>
  </sheetViews>
  <sheetFormatPr defaultColWidth="9.140625" defaultRowHeight="12.75" x14ac:dyDescent="0.2"/>
  <cols>
    <col min="1" max="1" width="10" style="15" customWidth="1"/>
    <col min="2" max="2" width="9" style="15" customWidth="1"/>
    <col min="3" max="3" width="14.85546875" style="15" customWidth="1"/>
    <col min="4" max="4" width="14.28515625" style="16" bestFit="1" customWidth="1"/>
    <col min="5" max="5" width="16.140625" style="17" bestFit="1" customWidth="1"/>
    <col min="6" max="6" width="14.85546875" style="17" bestFit="1" customWidth="1"/>
    <col min="7" max="7" width="15.140625" style="16" bestFit="1" customWidth="1"/>
    <col min="8" max="8" width="13.140625" style="17" bestFit="1" customWidth="1"/>
    <col min="9" max="9" width="10.28515625" style="17" bestFit="1" customWidth="1"/>
    <col min="10" max="10" width="11.85546875" style="16" bestFit="1" customWidth="1"/>
    <col min="11" max="11" width="18" style="17" bestFit="1" customWidth="1"/>
    <col min="12" max="13" width="12.85546875" style="17" bestFit="1" customWidth="1"/>
    <col min="14" max="14" width="14.5703125" style="17" customWidth="1"/>
    <col min="15" max="15" width="16.42578125" style="17" customWidth="1"/>
    <col min="16" max="16" width="13.5703125" style="17" customWidth="1"/>
    <col min="17" max="17" width="15.140625" style="17" customWidth="1"/>
    <col min="18" max="18" width="17.42578125" style="20" customWidth="1"/>
    <col min="19" max="16384" width="9.140625" style="19"/>
  </cols>
  <sheetData>
    <row r="1" spans="1:255" ht="13.5" thickBot="1" x14ac:dyDescent="0.25">
      <c r="A1" s="15">
        <v>1</v>
      </c>
      <c r="B1" s="15">
        <v>1</v>
      </c>
      <c r="C1" s="15">
        <f>B1+1</f>
        <v>2</v>
      </c>
      <c r="D1" s="15">
        <f>C1+1</f>
        <v>3</v>
      </c>
      <c r="E1" s="15">
        <f>D1+1</f>
        <v>4</v>
      </c>
      <c r="F1" s="15">
        <f>E1+1</f>
        <v>5</v>
      </c>
      <c r="G1" s="15">
        <v>6</v>
      </c>
      <c r="H1" s="15">
        <v>7</v>
      </c>
      <c r="I1" s="15"/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/>
      <c r="P1" s="15">
        <v>13</v>
      </c>
      <c r="Q1" s="15">
        <v>14</v>
      </c>
      <c r="R1" s="15">
        <v>15</v>
      </c>
    </row>
    <row r="2" spans="1:255" ht="16.5" customHeight="1" x14ac:dyDescent="0.2">
      <c r="A2" s="62" t="s">
        <v>245</v>
      </c>
      <c r="B2" s="62" t="s">
        <v>12</v>
      </c>
      <c r="C2" s="63" t="s">
        <v>13</v>
      </c>
      <c r="D2" s="64" t="s">
        <v>14</v>
      </c>
      <c r="E2" s="65" t="s">
        <v>15</v>
      </c>
      <c r="F2" s="65" t="s">
        <v>16</v>
      </c>
      <c r="G2" s="64" t="s">
        <v>17</v>
      </c>
      <c r="H2" s="65" t="s">
        <v>18</v>
      </c>
      <c r="I2" s="65" t="s">
        <v>64</v>
      </c>
      <c r="J2" s="64" t="s">
        <v>19</v>
      </c>
      <c r="K2" s="65" t="s">
        <v>20</v>
      </c>
      <c r="L2" s="64" t="s">
        <v>14</v>
      </c>
      <c r="M2" s="65" t="s">
        <v>18</v>
      </c>
      <c r="N2" s="64" t="s">
        <v>14</v>
      </c>
      <c r="O2" s="65" t="s">
        <v>15</v>
      </c>
      <c r="P2" s="66" t="s">
        <v>46</v>
      </c>
      <c r="Q2" s="66" t="s">
        <v>18</v>
      </c>
      <c r="R2" s="67" t="s">
        <v>55</v>
      </c>
    </row>
    <row r="3" spans="1:255" x14ac:dyDescent="0.2">
      <c r="A3" s="68" t="s">
        <v>246</v>
      </c>
      <c r="B3" s="68" t="s">
        <v>22</v>
      </c>
      <c r="C3" s="69" t="s">
        <v>23</v>
      </c>
      <c r="D3" s="70" t="s">
        <v>24</v>
      </c>
      <c r="E3" s="71" t="s">
        <v>25</v>
      </c>
      <c r="F3" s="71" t="s">
        <v>26</v>
      </c>
      <c r="G3" s="70" t="s">
        <v>27</v>
      </c>
      <c r="H3" s="71" t="s">
        <v>28</v>
      </c>
      <c r="I3" s="71" t="s">
        <v>36</v>
      </c>
      <c r="J3" s="70" t="s">
        <v>29</v>
      </c>
      <c r="K3" s="71" t="s">
        <v>30</v>
      </c>
      <c r="L3" s="70" t="s">
        <v>60</v>
      </c>
      <c r="M3" s="72" t="s">
        <v>61</v>
      </c>
      <c r="N3" s="70" t="s">
        <v>255</v>
      </c>
      <c r="O3" s="72" t="s">
        <v>244</v>
      </c>
      <c r="P3" s="72" t="s">
        <v>47</v>
      </c>
      <c r="Q3" s="72" t="s">
        <v>43</v>
      </c>
      <c r="R3" s="73" t="s">
        <v>21</v>
      </c>
    </row>
    <row r="4" spans="1:255" x14ac:dyDescent="0.2">
      <c r="A4" s="68" t="s">
        <v>247</v>
      </c>
      <c r="B4" s="68" t="s">
        <v>32</v>
      </c>
      <c r="C4" s="69" t="s">
        <v>33</v>
      </c>
      <c r="D4" s="70" t="s">
        <v>31</v>
      </c>
      <c r="E4" s="71" t="s">
        <v>24</v>
      </c>
      <c r="F4" s="74" t="s">
        <v>34</v>
      </c>
      <c r="G4" s="70" t="s">
        <v>35</v>
      </c>
      <c r="H4" s="71" t="s">
        <v>41</v>
      </c>
      <c r="I4" s="71" t="s">
        <v>65</v>
      </c>
      <c r="J4" s="70" t="s">
        <v>36</v>
      </c>
      <c r="K4" s="71" t="s">
        <v>36</v>
      </c>
      <c r="L4" s="70" t="s">
        <v>62</v>
      </c>
      <c r="M4" s="72" t="s">
        <v>62</v>
      </c>
      <c r="N4" s="70" t="s">
        <v>263</v>
      </c>
      <c r="O4" s="72"/>
      <c r="P4" s="72"/>
      <c r="Q4" s="72" t="s">
        <v>38</v>
      </c>
      <c r="R4" s="73" t="s">
        <v>48</v>
      </c>
    </row>
    <row r="5" spans="1:255" ht="13.5" thickBot="1" x14ac:dyDescent="0.25">
      <c r="A5" s="41"/>
      <c r="B5" s="41"/>
      <c r="C5" s="75" t="s">
        <v>37</v>
      </c>
      <c r="D5" s="76" t="s">
        <v>258</v>
      </c>
      <c r="E5" s="77" t="s">
        <v>69</v>
      </c>
      <c r="F5" s="77" t="s">
        <v>70</v>
      </c>
      <c r="G5" s="76" t="s">
        <v>38</v>
      </c>
      <c r="H5" s="77" t="s">
        <v>38</v>
      </c>
      <c r="I5" s="77" t="s">
        <v>66</v>
      </c>
      <c r="J5" s="76" t="s">
        <v>39</v>
      </c>
      <c r="K5" s="77" t="s">
        <v>71</v>
      </c>
      <c r="L5" s="42"/>
      <c r="M5" s="43"/>
      <c r="N5" s="76"/>
      <c r="O5" s="43"/>
      <c r="P5" s="78"/>
      <c r="Q5" s="78"/>
      <c r="R5" s="79" t="s">
        <v>72</v>
      </c>
    </row>
    <row r="6" spans="1:255" ht="12.75" customHeight="1" x14ac:dyDescent="0.2">
      <c r="A6" s="80"/>
      <c r="B6" s="80"/>
      <c r="C6" s="186">
        <v>2022</v>
      </c>
      <c r="D6" s="81">
        <f>('Back-up'!D15+'Back-up'!D20)</f>
        <v>0</v>
      </c>
      <c r="E6" s="82">
        <f>(D6*10)</f>
        <v>0</v>
      </c>
      <c r="F6" s="82">
        <f>'Back-up'!$D$29</f>
        <v>0</v>
      </c>
      <c r="G6" s="81">
        <f>'Back-up'!D54</f>
        <v>0</v>
      </c>
      <c r="H6" s="82">
        <f t="shared" ref="H6" si="0">G6*60</f>
        <v>0</v>
      </c>
      <c r="I6" s="82">
        <f>+'Back-up'!$S$39</f>
        <v>0</v>
      </c>
      <c r="J6" s="83">
        <f>'Back-up'!D40</f>
        <v>0</v>
      </c>
      <c r="K6" s="84">
        <f t="shared" ref="K6:K16" si="1">J6*60</f>
        <v>0</v>
      </c>
      <c r="L6" s="83">
        <f>'Back-up'!D49</f>
        <v>0</v>
      </c>
      <c r="M6" s="82">
        <f t="shared" ref="M6:M16" si="2">60*L6</f>
        <v>0</v>
      </c>
      <c r="N6" s="83">
        <f>10*'Back-up'!D$72</f>
        <v>0</v>
      </c>
      <c r="O6" s="82">
        <f t="shared" ref="O6" si="3">N6*60</f>
        <v>0</v>
      </c>
      <c r="P6" s="84">
        <v>0</v>
      </c>
      <c r="Q6" s="84">
        <v>0</v>
      </c>
      <c r="R6" s="85">
        <f>E6+F6+H6+I6+K6+M6+O6+P6+Q6</f>
        <v>0</v>
      </c>
    </row>
    <row r="7" spans="1:255" s="193" customFormat="1" ht="12.75" customHeight="1" x14ac:dyDescent="0.2">
      <c r="A7" s="187">
        <v>20</v>
      </c>
      <c r="B7" s="187"/>
      <c r="C7" s="186">
        <f>C6+1</f>
        <v>2023</v>
      </c>
      <c r="D7" s="188">
        <v>0</v>
      </c>
      <c r="E7" s="189">
        <f>D7*A7</f>
        <v>0</v>
      </c>
      <c r="F7" s="189">
        <v>0</v>
      </c>
      <c r="G7" s="188">
        <v>0</v>
      </c>
      <c r="H7" s="189">
        <f>G7*A7</f>
        <v>0</v>
      </c>
      <c r="I7" s="189">
        <f>+'Back-up'!$S$39</f>
        <v>0</v>
      </c>
      <c r="J7" s="190">
        <f>'Back-up'!E40</f>
        <v>0</v>
      </c>
      <c r="K7" s="191">
        <f t="shared" si="1"/>
        <v>0</v>
      </c>
      <c r="L7" s="190">
        <f>'Back-up'!E49</f>
        <v>0</v>
      </c>
      <c r="M7" s="189">
        <f t="shared" si="2"/>
        <v>0</v>
      </c>
      <c r="N7" s="190">
        <v>0</v>
      </c>
      <c r="O7" s="189">
        <v>0</v>
      </c>
      <c r="P7" s="191">
        <v>0</v>
      </c>
      <c r="Q7" s="191">
        <v>0</v>
      </c>
      <c r="R7" s="85">
        <f t="shared" ref="R7:R26" si="4">E7+F7+H7+I7+K7+M7+O7+P7+Q7</f>
        <v>0</v>
      </c>
    </row>
    <row r="8" spans="1:255" s="193" customFormat="1" ht="12.75" customHeight="1" x14ac:dyDescent="0.2">
      <c r="A8" s="187">
        <f t="shared" ref="A8:A26" si="5">A7-1</f>
        <v>19</v>
      </c>
      <c r="B8" s="187"/>
      <c r="C8" s="186">
        <f t="shared" ref="C8:C15" si="6">C7+1</f>
        <v>2024</v>
      </c>
      <c r="D8" s="188">
        <v>0</v>
      </c>
      <c r="E8" s="189">
        <f t="shared" ref="E8:E26" si="7">D8*A8</f>
        <v>0</v>
      </c>
      <c r="F8" s="189">
        <f>F7</f>
        <v>0</v>
      </c>
      <c r="G8" s="188">
        <v>0</v>
      </c>
      <c r="H8" s="189">
        <f t="shared" ref="H8:H26" si="8">G8*A8</f>
        <v>0</v>
      </c>
      <c r="I8" s="189">
        <f>+'Back-up'!$S$39</f>
        <v>0</v>
      </c>
      <c r="J8" s="190">
        <f>'Back-up'!F40</f>
        <v>0</v>
      </c>
      <c r="K8" s="191">
        <f t="shared" si="1"/>
        <v>0</v>
      </c>
      <c r="L8" s="190">
        <f>'Back-up'!F49</f>
        <v>0</v>
      </c>
      <c r="M8" s="189">
        <f t="shared" si="2"/>
        <v>0</v>
      </c>
      <c r="N8" s="190">
        <f>N7</f>
        <v>0</v>
      </c>
      <c r="O8" s="189">
        <v>0</v>
      </c>
      <c r="P8" s="191">
        <v>0</v>
      </c>
      <c r="Q8" s="191">
        <v>0</v>
      </c>
      <c r="R8" s="85">
        <f t="shared" ref="R8:R17" si="9">E8+F8+H8+I8+K8+M8+O8+P8+Q8</f>
        <v>0</v>
      </c>
    </row>
    <row r="9" spans="1:255" s="193" customFormat="1" ht="12.75" customHeight="1" x14ac:dyDescent="0.2">
      <c r="A9" s="187">
        <f t="shared" si="5"/>
        <v>18</v>
      </c>
      <c r="B9" s="187"/>
      <c r="C9" s="186">
        <f t="shared" si="6"/>
        <v>2025</v>
      </c>
      <c r="D9" s="188">
        <f t="shared" ref="D9:D26" si="10">D8</f>
        <v>0</v>
      </c>
      <c r="E9" s="189">
        <f t="shared" si="7"/>
        <v>0</v>
      </c>
      <c r="F9" s="189">
        <f t="shared" ref="F9:F16" si="11">F8</f>
        <v>0</v>
      </c>
      <c r="G9" s="188">
        <f t="shared" ref="G9:G21" si="12">G8</f>
        <v>0</v>
      </c>
      <c r="H9" s="189">
        <f t="shared" si="8"/>
        <v>0</v>
      </c>
      <c r="I9" s="189">
        <f>+'Back-up'!$S$39</f>
        <v>0</v>
      </c>
      <c r="J9" s="190">
        <f>'Back-up'!G40</f>
        <v>0</v>
      </c>
      <c r="K9" s="191">
        <f t="shared" si="1"/>
        <v>0</v>
      </c>
      <c r="L9" s="190">
        <f>'Back-up'!G49</f>
        <v>0</v>
      </c>
      <c r="M9" s="189">
        <f t="shared" si="2"/>
        <v>0</v>
      </c>
      <c r="N9" s="190">
        <f>N8</f>
        <v>0</v>
      </c>
      <c r="O9" s="189">
        <v>0</v>
      </c>
      <c r="P9" s="191">
        <v>0</v>
      </c>
      <c r="Q9" s="191">
        <v>0</v>
      </c>
      <c r="R9" s="85">
        <f t="shared" si="9"/>
        <v>0</v>
      </c>
    </row>
    <row r="10" spans="1:255" s="193" customFormat="1" ht="12.75" customHeight="1" x14ac:dyDescent="0.2">
      <c r="A10" s="187">
        <f t="shared" si="5"/>
        <v>17</v>
      </c>
      <c r="B10" s="187"/>
      <c r="C10" s="186">
        <f t="shared" si="6"/>
        <v>2026</v>
      </c>
      <c r="D10" s="188">
        <f>'Back-up'!S15</f>
        <v>5876</v>
      </c>
      <c r="E10" s="189">
        <f t="shared" si="7"/>
        <v>99892</v>
      </c>
      <c r="F10" s="189">
        <f>'Back-up'!E29</f>
        <v>3000</v>
      </c>
      <c r="G10" s="188">
        <f>'Back-up'!S55</f>
        <v>1550</v>
      </c>
      <c r="H10" s="189">
        <f t="shared" si="8"/>
        <v>26350</v>
      </c>
      <c r="I10" s="189">
        <f>+'Back-up'!$S$39</f>
        <v>0</v>
      </c>
      <c r="J10" s="190">
        <f>'Back-up'!H40</f>
        <v>0</v>
      </c>
      <c r="K10" s="191">
        <f t="shared" si="1"/>
        <v>0</v>
      </c>
      <c r="L10" s="190">
        <f>'Back-up'!H49</f>
        <v>0</v>
      </c>
      <c r="M10" s="189">
        <f t="shared" si="2"/>
        <v>0</v>
      </c>
      <c r="N10" s="190">
        <f>'Back-up'!E68+'Back-up'!E70</f>
        <v>2880</v>
      </c>
      <c r="O10" s="189">
        <f t="shared" ref="O10:O26" si="13">SUM(N10:N29)</f>
        <v>70560</v>
      </c>
      <c r="P10" s="191">
        <f>'Back-up'!S64</f>
        <v>5055</v>
      </c>
      <c r="Q10" s="191">
        <f>A10*'Back-up'!E$57</f>
        <v>13600</v>
      </c>
      <c r="R10" s="85">
        <f t="shared" si="9"/>
        <v>218457</v>
      </c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</row>
    <row r="11" spans="1:255" s="196" customFormat="1" ht="12.75" customHeight="1" thickBot="1" x14ac:dyDescent="0.25">
      <c r="A11" s="187">
        <f t="shared" si="5"/>
        <v>16</v>
      </c>
      <c r="B11" s="187"/>
      <c r="C11" s="186">
        <f t="shared" si="6"/>
        <v>2027</v>
      </c>
      <c r="D11" s="188">
        <f t="shared" si="10"/>
        <v>5876</v>
      </c>
      <c r="E11" s="189">
        <f t="shared" si="7"/>
        <v>94016</v>
      </c>
      <c r="F11" s="189">
        <f t="shared" si="11"/>
        <v>3000</v>
      </c>
      <c r="G11" s="188">
        <f t="shared" si="12"/>
        <v>1550</v>
      </c>
      <c r="H11" s="189">
        <f t="shared" si="8"/>
        <v>24800</v>
      </c>
      <c r="I11" s="189">
        <f>+'Back-up'!$S$39</f>
        <v>0</v>
      </c>
      <c r="J11" s="190">
        <f>'Back-up'!I40</f>
        <v>0</v>
      </c>
      <c r="K11" s="191">
        <f t="shared" si="1"/>
        <v>0</v>
      </c>
      <c r="L11" s="190">
        <f>'Back-up'!I49</f>
        <v>0</v>
      </c>
      <c r="M11" s="189">
        <f t="shared" si="2"/>
        <v>0</v>
      </c>
      <c r="N11" s="190">
        <f>'Back-up'!S68</f>
        <v>2400</v>
      </c>
      <c r="O11" s="189">
        <f t="shared" si="13"/>
        <v>67680</v>
      </c>
      <c r="P11" s="191">
        <f>'Back-up'!S64</f>
        <v>5055</v>
      </c>
      <c r="Q11" s="191">
        <f>A11*'Back-up'!E$57</f>
        <v>12800</v>
      </c>
      <c r="R11" s="85">
        <f t="shared" si="9"/>
        <v>207351</v>
      </c>
      <c r="S11" s="194"/>
      <c r="T11" s="195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</row>
    <row r="12" spans="1:255" s="194" customFormat="1" ht="12.75" customHeight="1" x14ac:dyDescent="0.2">
      <c r="A12" s="187">
        <f t="shared" si="5"/>
        <v>15</v>
      </c>
      <c r="B12" s="187"/>
      <c r="C12" s="186">
        <f t="shared" si="6"/>
        <v>2028</v>
      </c>
      <c r="D12" s="188">
        <f t="shared" si="10"/>
        <v>5876</v>
      </c>
      <c r="E12" s="189">
        <f t="shared" si="7"/>
        <v>88140</v>
      </c>
      <c r="F12" s="189">
        <f t="shared" si="11"/>
        <v>3000</v>
      </c>
      <c r="G12" s="188">
        <f t="shared" si="12"/>
        <v>1550</v>
      </c>
      <c r="H12" s="189">
        <f t="shared" si="8"/>
        <v>23250</v>
      </c>
      <c r="I12" s="189">
        <f>+'Back-up'!$S$39</f>
        <v>0</v>
      </c>
      <c r="J12" s="190">
        <f>'Back-up'!J40</f>
        <v>0</v>
      </c>
      <c r="K12" s="191">
        <f t="shared" si="1"/>
        <v>0</v>
      </c>
      <c r="L12" s="190">
        <f>'Back-up'!J49</f>
        <v>0</v>
      </c>
      <c r="M12" s="189">
        <f t="shared" si="2"/>
        <v>0</v>
      </c>
      <c r="N12" s="190">
        <f>'Back-up'!S68+'Back-up'!S69</f>
        <v>7200</v>
      </c>
      <c r="O12" s="189">
        <f t="shared" si="13"/>
        <v>65280</v>
      </c>
      <c r="P12" s="191">
        <f>'Back-up'!S64</f>
        <v>5055</v>
      </c>
      <c r="Q12" s="191">
        <f>A12*'Back-up'!E$57</f>
        <v>12000</v>
      </c>
      <c r="R12" s="85">
        <f t="shared" si="9"/>
        <v>196725</v>
      </c>
      <c r="T12" s="195"/>
    </row>
    <row r="13" spans="1:255" s="194" customFormat="1" ht="12.75" customHeight="1" x14ac:dyDescent="0.2">
      <c r="A13" s="187">
        <f t="shared" si="5"/>
        <v>14</v>
      </c>
      <c r="B13" s="187"/>
      <c r="C13" s="186">
        <f t="shared" si="6"/>
        <v>2029</v>
      </c>
      <c r="D13" s="188">
        <f t="shared" si="10"/>
        <v>5876</v>
      </c>
      <c r="E13" s="189">
        <f t="shared" si="7"/>
        <v>82264</v>
      </c>
      <c r="F13" s="189">
        <f t="shared" si="11"/>
        <v>3000</v>
      </c>
      <c r="G13" s="188">
        <f t="shared" si="12"/>
        <v>1550</v>
      </c>
      <c r="H13" s="189">
        <f t="shared" si="8"/>
        <v>21700</v>
      </c>
      <c r="I13" s="189">
        <f>+'Back-up'!$S$39</f>
        <v>0</v>
      </c>
      <c r="J13" s="190">
        <f>'Back-up'!K40</f>
        <v>0</v>
      </c>
      <c r="K13" s="191">
        <f t="shared" si="1"/>
        <v>0</v>
      </c>
      <c r="L13" s="190">
        <f>'Back-up'!K49</f>
        <v>0</v>
      </c>
      <c r="M13" s="189">
        <f t="shared" si="2"/>
        <v>0</v>
      </c>
      <c r="N13" s="190">
        <f>N11</f>
        <v>2400</v>
      </c>
      <c r="O13" s="189">
        <f t="shared" si="13"/>
        <v>58080</v>
      </c>
      <c r="P13" s="191">
        <f>'Back-up'!S64</f>
        <v>5055</v>
      </c>
      <c r="Q13" s="191">
        <f>A13*'Back-up'!E$57</f>
        <v>11200</v>
      </c>
      <c r="R13" s="85">
        <f t="shared" si="9"/>
        <v>181299</v>
      </c>
      <c r="T13" s="195"/>
    </row>
    <row r="14" spans="1:255" s="194" customFormat="1" ht="12.75" customHeight="1" x14ac:dyDescent="0.2">
      <c r="A14" s="187">
        <f t="shared" si="5"/>
        <v>13</v>
      </c>
      <c r="B14" s="187"/>
      <c r="C14" s="186">
        <f t="shared" si="6"/>
        <v>2030</v>
      </c>
      <c r="D14" s="188">
        <f t="shared" si="10"/>
        <v>5876</v>
      </c>
      <c r="E14" s="189">
        <f t="shared" si="7"/>
        <v>76388</v>
      </c>
      <c r="F14" s="189">
        <f t="shared" si="11"/>
        <v>3000</v>
      </c>
      <c r="G14" s="188">
        <f t="shared" si="12"/>
        <v>1550</v>
      </c>
      <c r="H14" s="189">
        <f t="shared" si="8"/>
        <v>20150</v>
      </c>
      <c r="I14" s="189">
        <f>+'Back-up'!$S$39</f>
        <v>0</v>
      </c>
      <c r="J14" s="190">
        <f>'Back-up'!L40</f>
        <v>0</v>
      </c>
      <c r="K14" s="191">
        <f t="shared" si="1"/>
        <v>0</v>
      </c>
      <c r="L14" s="190">
        <f>'Back-up'!L49</f>
        <v>0</v>
      </c>
      <c r="M14" s="189">
        <f t="shared" si="2"/>
        <v>0</v>
      </c>
      <c r="N14" s="190">
        <f>N10</f>
        <v>2880</v>
      </c>
      <c r="O14" s="189">
        <f t="shared" si="13"/>
        <v>55680</v>
      </c>
      <c r="P14" s="191">
        <f>'Back-up'!S64</f>
        <v>5055</v>
      </c>
      <c r="Q14" s="191">
        <f>A14*'Back-up'!E$57</f>
        <v>10400</v>
      </c>
      <c r="R14" s="85">
        <f t="shared" si="9"/>
        <v>170673</v>
      </c>
      <c r="T14" s="195"/>
    </row>
    <row r="15" spans="1:255" s="194" customFormat="1" ht="12.75" customHeight="1" x14ac:dyDescent="0.2">
      <c r="A15" s="187">
        <f t="shared" si="5"/>
        <v>12</v>
      </c>
      <c r="B15" s="187"/>
      <c r="C15" s="186">
        <f t="shared" si="6"/>
        <v>2031</v>
      </c>
      <c r="D15" s="188">
        <f t="shared" si="10"/>
        <v>5876</v>
      </c>
      <c r="E15" s="189">
        <f t="shared" si="7"/>
        <v>70512</v>
      </c>
      <c r="F15" s="189">
        <f t="shared" si="11"/>
        <v>3000</v>
      </c>
      <c r="G15" s="188">
        <f t="shared" si="12"/>
        <v>1550</v>
      </c>
      <c r="H15" s="189">
        <f t="shared" si="8"/>
        <v>18600</v>
      </c>
      <c r="I15" s="189">
        <f>+'Back-up'!$S$39</f>
        <v>0</v>
      </c>
      <c r="J15" s="190">
        <f>'Back-up'!M40</f>
        <v>0</v>
      </c>
      <c r="K15" s="191">
        <f t="shared" si="1"/>
        <v>0</v>
      </c>
      <c r="L15" s="190">
        <f>'Back-up'!M49</f>
        <v>0</v>
      </c>
      <c r="M15" s="189">
        <f t="shared" si="2"/>
        <v>0</v>
      </c>
      <c r="N15" s="190">
        <f>N13</f>
        <v>2400</v>
      </c>
      <c r="O15" s="189">
        <f t="shared" si="13"/>
        <v>52800</v>
      </c>
      <c r="P15" s="191">
        <f>'Back-up'!S64</f>
        <v>5055</v>
      </c>
      <c r="Q15" s="191">
        <f>A15*'Back-up'!E$57</f>
        <v>9600</v>
      </c>
      <c r="R15" s="85">
        <f t="shared" si="9"/>
        <v>159567</v>
      </c>
      <c r="T15" s="195"/>
    </row>
    <row r="16" spans="1:255" s="194" customFormat="1" ht="12.75" customHeight="1" thickBot="1" x14ac:dyDescent="0.25">
      <c r="A16" s="187">
        <f t="shared" si="5"/>
        <v>11</v>
      </c>
      <c r="B16" s="197"/>
      <c r="C16" s="117">
        <v>2031</v>
      </c>
      <c r="D16" s="199">
        <f t="shared" si="10"/>
        <v>5876</v>
      </c>
      <c r="E16" s="189">
        <f t="shared" si="7"/>
        <v>64636</v>
      </c>
      <c r="F16" s="189">
        <f t="shared" si="11"/>
        <v>3000</v>
      </c>
      <c r="G16" s="199">
        <f t="shared" si="12"/>
        <v>1550</v>
      </c>
      <c r="H16" s="189">
        <f t="shared" si="8"/>
        <v>17050</v>
      </c>
      <c r="I16" s="198">
        <f>+'Back-up'!$S$39</f>
        <v>0</v>
      </c>
      <c r="J16" s="199">
        <f>'Back-up'!R40</f>
        <v>0</v>
      </c>
      <c r="K16" s="200">
        <f t="shared" si="1"/>
        <v>0</v>
      </c>
      <c r="L16" s="199">
        <f>'Back-up'!R49</f>
        <v>0</v>
      </c>
      <c r="M16" s="198">
        <f t="shared" si="2"/>
        <v>0</v>
      </c>
      <c r="N16" s="199">
        <f>N15</f>
        <v>2400</v>
      </c>
      <c r="O16" s="189">
        <f t="shared" si="13"/>
        <v>50400</v>
      </c>
      <c r="P16" s="189">
        <f>'Back-up'!S64</f>
        <v>5055</v>
      </c>
      <c r="Q16" s="200">
        <f>A16*'Back-up'!E$57</f>
        <v>8800</v>
      </c>
      <c r="R16" s="204">
        <f t="shared" si="9"/>
        <v>148941</v>
      </c>
      <c r="T16" s="195"/>
    </row>
    <row r="17" spans="1:18" s="194" customFormat="1" x14ac:dyDescent="0.2">
      <c r="A17" s="187">
        <f t="shared" si="5"/>
        <v>10</v>
      </c>
      <c r="B17" s="187">
        <f>C16+1</f>
        <v>2032</v>
      </c>
      <c r="C17" s="201"/>
      <c r="D17" s="188">
        <f t="shared" si="10"/>
        <v>5876</v>
      </c>
      <c r="E17" s="189">
        <f t="shared" si="7"/>
        <v>58760</v>
      </c>
      <c r="F17" s="202">
        <f>+'Back-up'!S29</f>
        <v>0</v>
      </c>
      <c r="G17" s="188">
        <f t="shared" si="12"/>
        <v>1550</v>
      </c>
      <c r="H17" s="189">
        <f t="shared" si="8"/>
        <v>15500</v>
      </c>
      <c r="I17" s="189">
        <f>+'Back-up'!$S$39</f>
        <v>0</v>
      </c>
      <c r="J17" s="190">
        <f>'Back-up'!S40</f>
        <v>0</v>
      </c>
      <c r="K17" s="191">
        <f>SUM(J17:$J$71)</f>
        <v>0</v>
      </c>
      <c r="L17" s="190">
        <f>L11</f>
        <v>0</v>
      </c>
      <c r="M17" s="189">
        <f t="shared" ref="M17:M26" si="14">L17*(61-B17)</f>
        <v>0</v>
      </c>
      <c r="N17" s="190">
        <f>N16</f>
        <v>2400</v>
      </c>
      <c r="O17" s="202">
        <f t="shared" si="13"/>
        <v>48000</v>
      </c>
      <c r="P17" s="202">
        <f>'Specified Events'!E37</f>
        <v>0</v>
      </c>
      <c r="Q17" s="191">
        <f>A17*'Back-up'!E$57</f>
        <v>8000</v>
      </c>
      <c r="R17" s="191">
        <f t="shared" si="9"/>
        <v>130260</v>
      </c>
    </row>
    <row r="18" spans="1:18" s="194" customFormat="1" x14ac:dyDescent="0.2">
      <c r="A18" s="187">
        <f t="shared" si="5"/>
        <v>9</v>
      </c>
      <c r="B18" s="187">
        <f t="shared" ref="B18:B26" si="15">B17+1</f>
        <v>2033</v>
      </c>
      <c r="C18" s="201"/>
      <c r="D18" s="188">
        <f t="shared" si="10"/>
        <v>5876</v>
      </c>
      <c r="E18" s="189">
        <f t="shared" si="7"/>
        <v>52884</v>
      </c>
      <c r="F18" s="189"/>
      <c r="G18" s="188">
        <f t="shared" si="12"/>
        <v>1550</v>
      </c>
      <c r="H18" s="189">
        <f t="shared" si="8"/>
        <v>13950</v>
      </c>
      <c r="I18" s="189">
        <f>+'Back-up'!$S$39</f>
        <v>0</v>
      </c>
      <c r="J18" s="190">
        <f>'Back-up'!S40</f>
        <v>0</v>
      </c>
      <c r="K18" s="191">
        <f>SUM(J18:$J$71)</f>
        <v>0</v>
      </c>
      <c r="L18" s="190">
        <f t="shared" ref="L18:L26" si="16">L17</f>
        <v>0</v>
      </c>
      <c r="M18" s="189">
        <f t="shared" si="14"/>
        <v>0</v>
      </c>
      <c r="N18" s="190">
        <f>'Back-up'!S68+'Back-up'!S69+'Back-up'!S71</f>
        <v>9600</v>
      </c>
      <c r="O18" s="189">
        <f t="shared" si="13"/>
        <v>45600</v>
      </c>
      <c r="P18" s="191">
        <v>0</v>
      </c>
      <c r="Q18" s="191">
        <f>A18*'Back-up'!E$57</f>
        <v>7200</v>
      </c>
      <c r="R18" s="191">
        <f t="shared" si="4"/>
        <v>119634</v>
      </c>
    </row>
    <row r="19" spans="1:18" s="194" customFormat="1" x14ac:dyDescent="0.2">
      <c r="A19" s="187">
        <f t="shared" si="5"/>
        <v>8</v>
      </c>
      <c r="B19" s="187">
        <f t="shared" si="15"/>
        <v>2034</v>
      </c>
      <c r="C19" s="201"/>
      <c r="D19" s="188">
        <f t="shared" si="10"/>
        <v>5876</v>
      </c>
      <c r="E19" s="189">
        <f t="shared" si="7"/>
        <v>47008</v>
      </c>
      <c r="F19" s="189"/>
      <c r="G19" s="188">
        <f t="shared" si="12"/>
        <v>1550</v>
      </c>
      <c r="H19" s="189">
        <f t="shared" si="8"/>
        <v>12400</v>
      </c>
      <c r="I19" s="189">
        <f>+'Back-up'!$S$39</f>
        <v>0</v>
      </c>
      <c r="J19" s="190">
        <f>'Back-up'!S40</f>
        <v>0</v>
      </c>
      <c r="K19" s="191">
        <f>SUM(J19:$J$71)</f>
        <v>0</v>
      </c>
      <c r="L19" s="190">
        <f t="shared" si="16"/>
        <v>0</v>
      </c>
      <c r="M19" s="189">
        <f t="shared" si="14"/>
        <v>0</v>
      </c>
      <c r="N19" s="190">
        <f>N17</f>
        <v>2400</v>
      </c>
      <c r="O19" s="189">
        <f t="shared" si="13"/>
        <v>36000</v>
      </c>
      <c r="P19" s="191">
        <v>0</v>
      </c>
      <c r="Q19" s="191">
        <f>A19*'Back-up'!E$57</f>
        <v>6400</v>
      </c>
      <c r="R19" s="191">
        <f t="shared" si="4"/>
        <v>101808</v>
      </c>
    </row>
    <row r="20" spans="1:18" s="194" customFormat="1" x14ac:dyDescent="0.2">
      <c r="A20" s="187">
        <f t="shared" si="5"/>
        <v>7</v>
      </c>
      <c r="B20" s="187">
        <f t="shared" si="15"/>
        <v>2035</v>
      </c>
      <c r="C20" s="201"/>
      <c r="D20" s="188">
        <f t="shared" si="10"/>
        <v>5876</v>
      </c>
      <c r="E20" s="189">
        <f t="shared" si="7"/>
        <v>41132</v>
      </c>
      <c r="F20" s="189"/>
      <c r="G20" s="188">
        <f t="shared" si="12"/>
        <v>1550</v>
      </c>
      <c r="H20" s="189">
        <f t="shared" si="8"/>
        <v>10850</v>
      </c>
      <c r="I20" s="189">
        <f>+'Back-up'!$S$39</f>
        <v>0</v>
      </c>
      <c r="J20" s="190">
        <f>'Back-up'!S40</f>
        <v>0</v>
      </c>
      <c r="K20" s="191">
        <f>SUM(J20:$J$71)</f>
        <v>0</v>
      </c>
      <c r="L20" s="190">
        <f t="shared" si="16"/>
        <v>0</v>
      </c>
      <c r="M20" s="189">
        <f t="shared" si="14"/>
        <v>0</v>
      </c>
      <c r="N20" s="190">
        <f>N19</f>
        <v>2400</v>
      </c>
      <c r="O20" s="189">
        <f t="shared" si="13"/>
        <v>33600</v>
      </c>
      <c r="P20" s="191">
        <v>0</v>
      </c>
      <c r="Q20" s="191">
        <f>A20*'Back-up'!E$57</f>
        <v>5600</v>
      </c>
      <c r="R20" s="191">
        <f t="shared" si="4"/>
        <v>91182</v>
      </c>
    </row>
    <row r="21" spans="1:18" s="194" customFormat="1" x14ac:dyDescent="0.2">
      <c r="A21" s="187">
        <f t="shared" si="5"/>
        <v>6</v>
      </c>
      <c r="B21" s="187">
        <f t="shared" si="15"/>
        <v>2036</v>
      </c>
      <c r="C21" s="201"/>
      <c r="D21" s="188">
        <f t="shared" si="10"/>
        <v>5876</v>
      </c>
      <c r="E21" s="189">
        <f t="shared" si="7"/>
        <v>35256</v>
      </c>
      <c r="F21" s="189"/>
      <c r="G21" s="188">
        <f t="shared" si="12"/>
        <v>1550</v>
      </c>
      <c r="H21" s="189">
        <f t="shared" si="8"/>
        <v>9300</v>
      </c>
      <c r="I21" s="189">
        <f>+'Back-up'!$S$39</f>
        <v>0</v>
      </c>
      <c r="J21" s="190">
        <f>'Back-up'!S40</f>
        <v>0</v>
      </c>
      <c r="K21" s="191">
        <f>SUM(J21:$J$71)</f>
        <v>0</v>
      </c>
      <c r="L21" s="190">
        <f t="shared" si="16"/>
        <v>0</v>
      </c>
      <c r="M21" s="189">
        <f t="shared" si="14"/>
        <v>0</v>
      </c>
      <c r="N21" s="190">
        <f>N20</f>
        <v>2400</v>
      </c>
      <c r="O21" s="189">
        <f t="shared" si="13"/>
        <v>31200</v>
      </c>
      <c r="P21" s="191">
        <v>0</v>
      </c>
      <c r="Q21" s="191">
        <f>A21*'Back-up'!E$57</f>
        <v>4800</v>
      </c>
      <c r="R21" s="191">
        <f t="shared" si="4"/>
        <v>80556</v>
      </c>
    </row>
    <row r="22" spans="1:18" s="194" customFormat="1" x14ac:dyDescent="0.2">
      <c r="A22" s="187">
        <f t="shared" si="5"/>
        <v>5</v>
      </c>
      <c r="B22" s="187">
        <f t="shared" si="15"/>
        <v>2037</v>
      </c>
      <c r="C22" s="201"/>
      <c r="D22" s="188">
        <f t="shared" si="10"/>
        <v>5876</v>
      </c>
      <c r="E22" s="189">
        <f t="shared" si="7"/>
        <v>29380</v>
      </c>
      <c r="F22" s="189"/>
      <c r="G22" s="188">
        <f t="shared" ref="G22:G26" si="17">G21</f>
        <v>1550</v>
      </c>
      <c r="H22" s="189">
        <f t="shared" si="8"/>
        <v>7750</v>
      </c>
      <c r="I22" s="189">
        <f>+'Back-up'!$S$39</f>
        <v>0</v>
      </c>
      <c r="J22" s="190">
        <f>'Back-up'!S41</f>
        <v>0</v>
      </c>
      <c r="K22" s="191">
        <f>SUM(J22:$J$71)</f>
        <v>0</v>
      </c>
      <c r="L22" s="190">
        <f t="shared" si="16"/>
        <v>0</v>
      </c>
      <c r="M22" s="189">
        <f t="shared" si="14"/>
        <v>0</v>
      </c>
      <c r="N22" s="190">
        <f t="shared" ref="N22:N25" si="18">N21</f>
        <v>2400</v>
      </c>
      <c r="O22" s="189">
        <f t="shared" si="13"/>
        <v>28800</v>
      </c>
      <c r="P22" s="191">
        <v>0</v>
      </c>
      <c r="Q22" s="191">
        <f>A22*'Back-up'!E$57</f>
        <v>4000</v>
      </c>
      <c r="R22" s="191">
        <f t="shared" si="4"/>
        <v>69930</v>
      </c>
    </row>
    <row r="23" spans="1:18" s="194" customFormat="1" x14ac:dyDescent="0.2">
      <c r="A23" s="187">
        <f t="shared" si="5"/>
        <v>4</v>
      </c>
      <c r="B23" s="187">
        <f t="shared" si="15"/>
        <v>2038</v>
      </c>
      <c r="C23" s="201"/>
      <c r="D23" s="188">
        <f t="shared" si="10"/>
        <v>5876</v>
      </c>
      <c r="E23" s="189">
        <f t="shared" si="7"/>
        <v>23504</v>
      </c>
      <c r="F23" s="203"/>
      <c r="G23" s="188">
        <f t="shared" si="17"/>
        <v>1550</v>
      </c>
      <c r="H23" s="189">
        <f t="shared" si="8"/>
        <v>6200</v>
      </c>
      <c r="I23" s="189">
        <f>+'Back-up'!$S$39</f>
        <v>0</v>
      </c>
      <c r="J23" s="190">
        <f>'Back-up'!S42</f>
        <v>0</v>
      </c>
      <c r="K23" s="191">
        <f>SUM(J23:$J$71)</f>
        <v>0</v>
      </c>
      <c r="L23" s="190">
        <f t="shared" si="16"/>
        <v>0</v>
      </c>
      <c r="M23" s="189">
        <f t="shared" si="14"/>
        <v>0</v>
      </c>
      <c r="N23" s="190">
        <f t="shared" si="18"/>
        <v>2400</v>
      </c>
      <c r="O23" s="189">
        <f t="shared" si="13"/>
        <v>26400</v>
      </c>
      <c r="P23" s="191">
        <v>0</v>
      </c>
      <c r="Q23" s="191">
        <f>A23*'Back-up'!E$57</f>
        <v>3200</v>
      </c>
      <c r="R23" s="191">
        <f t="shared" si="4"/>
        <v>59304</v>
      </c>
    </row>
    <row r="24" spans="1:18" s="194" customFormat="1" x14ac:dyDescent="0.2">
      <c r="A24" s="187">
        <f t="shared" si="5"/>
        <v>3</v>
      </c>
      <c r="B24" s="187">
        <f t="shared" si="15"/>
        <v>2039</v>
      </c>
      <c r="C24" s="201"/>
      <c r="D24" s="188">
        <f t="shared" si="10"/>
        <v>5876</v>
      </c>
      <c r="E24" s="189">
        <f t="shared" si="7"/>
        <v>17628</v>
      </c>
      <c r="F24" s="189"/>
      <c r="G24" s="188">
        <f t="shared" si="17"/>
        <v>1550</v>
      </c>
      <c r="H24" s="189">
        <f t="shared" si="8"/>
        <v>4650</v>
      </c>
      <c r="I24" s="189">
        <f>+'Back-up'!$S$39</f>
        <v>0</v>
      </c>
      <c r="J24" s="190">
        <f>'Back-up'!S43</f>
        <v>0</v>
      </c>
      <c r="K24" s="191">
        <f>SUM(J24:$J$71)</f>
        <v>0</v>
      </c>
      <c r="L24" s="190">
        <f t="shared" si="16"/>
        <v>0</v>
      </c>
      <c r="M24" s="189">
        <f t="shared" si="14"/>
        <v>0</v>
      </c>
      <c r="N24" s="190">
        <f>'Back-up'!S68+'Back-up'!S69</f>
        <v>7200</v>
      </c>
      <c r="O24" s="189">
        <f t="shared" si="13"/>
        <v>24000</v>
      </c>
      <c r="P24" s="191">
        <v>0</v>
      </c>
      <c r="Q24" s="191">
        <f>A24*'Back-up'!E$57</f>
        <v>2400</v>
      </c>
      <c r="R24" s="191">
        <f t="shared" si="4"/>
        <v>48678</v>
      </c>
    </row>
    <row r="25" spans="1:18" s="194" customFormat="1" x14ac:dyDescent="0.2">
      <c r="A25" s="187">
        <f t="shared" si="5"/>
        <v>2</v>
      </c>
      <c r="B25" s="187">
        <f t="shared" si="15"/>
        <v>2040</v>
      </c>
      <c r="C25" s="201"/>
      <c r="D25" s="188">
        <f t="shared" si="10"/>
        <v>5876</v>
      </c>
      <c r="E25" s="189">
        <f t="shared" si="7"/>
        <v>11752</v>
      </c>
      <c r="F25" s="189"/>
      <c r="G25" s="188">
        <f t="shared" si="17"/>
        <v>1550</v>
      </c>
      <c r="H25" s="189">
        <f t="shared" si="8"/>
        <v>3100</v>
      </c>
      <c r="I25" s="189">
        <f>+'Back-up'!$S$39</f>
        <v>0</v>
      </c>
      <c r="J25" s="190">
        <f>'Back-up'!S44</f>
        <v>0</v>
      </c>
      <c r="K25" s="191">
        <f>SUM(J25:$J$71)</f>
        <v>0</v>
      </c>
      <c r="L25" s="190">
        <f t="shared" si="16"/>
        <v>0</v>
      </c>
      <c r="M25" s="189">
        <f t="shared" si="14"/>
        <v>0</v>
      </c>
      <c r="N25" s="190">
        <f t="shared" si="18"/>
        <v>7200</v>
      </c>
      <c r="O25" s="189">
        <f t="shared" si="13"/>
        <v>16800</v>
      </c>
      <c r="P25" s="191">
        <v>0</v>
      </c>
      <c r="Q25" s="191">
        <f>A25*'Back-up'!E$57</f>
        <v>1600</v>
      </c>
      <c r="R25" s="191">
        <f t="shared" si="4"/>
        <v>33252</v>
      </c>
    </row>
    <row r="26" spans="1:18" s="194" customFormat="1" x14ac:dyDescent="0.2">
      <c r="A26" s="187">
        <f t="shared" si="5"/>
        <v>1</v>
      </c>
      <c r="B26" s="187">
        <f t="shared" si="15"/>
        <v>2041</v>
      </c>
      <c r="C26" s="201"/>
      <c r="D26" s="188">
        <f t="shared" si="10"/>
        <v>5876</v>
      </c>
      <c r="E26" s="189">
        <f t="shared" si="7"/>
        <v>5876</v>
      </c>
      <c r="F26" s="189"/>
      <c r="G26" s="188">
        <f t="shared" si="17"/>
        <v>1550</v>
      </c>
      <c r="H26" s="189">
        <f t="shared" si="8"/>
        <v>1550</v>
      </c>
      <c r="I26" s="189">
        <f>+'Back-up'!$S$39</f>
        <v>0</v>
      </c>
      <c r="J26" s="190">
        <f>'Back-up'!S45</f>
        <v>0</v>
      </c>
      <c r="K26" s="191">
        <f>SUM(J26:$J$71)</f>
        <v>0</v>
      </c>
      <c r="L26" s="190">
        <f t="shared" si="16"/>
        <v>0</v>
      </c>
      <c r="M26" s="189">
        <f t="shared" si="14"/>
        <v>0</v>
      </c>
      <c r="N26" s="190">
        <f>'Back-up'!S68+'Back-up'!S72</f>
        <v>9600</v>
      </c>
      <c r="O26" s="189">
        <f t="shared" si="13"/>
        <v>9600</v>
      </c>
      <c r="P26" s="191">
        <v>0</v>
      </c>
      <c r="Q26" s="191">
        <f>A26*'Back-up'!E$57</f>
        <v>800</v>
      </c>
      <c r="R26" s="191">
        <f t="shared" si="4"/>
        <v>17826</v>
      </c>
    </row>
    <row r="27" spans="1:18" s="194" customFormat="1" x14ac:dyDescent="0.2">
      <c r="A27" s="187"/>
      <c r="B27" s="187"/>
      <c r="C27" s="201"/>
      <c r="D27" s="188"/>
      <c r="E27" s="189"/>
      <c r="F27" s="189"/>
      <c r="G27" s="188"/>
      <c r="H27" s="189"/>
      <c r="I27" s="189"/>
      <c r="J27" s="190"/>
      <c r="K27" s="191"/>
      <c r="L27" s="190"/>
      <c r="M27" s="189"/>
      <c r="N27" s="191"/>
      <c r="O27" s="191"/>
      <c r="P27" s="191"/>
      <c r="Q27" s="191"/>
      <c r="R27" s="192"/>
    </row>
    <row r="28" spans="1:18" s="194" customFormat="1" x14ac:dyDescent="0.2">
      <c r="A28" s="187"/>
      <c r="B28" s="187"/>
      <c r="C28" s="201"/>
      <c r="D28" s="188"/>
      <c r="E28" s="189"/>
      <c r="F28" s="189"/>
      <c r="G28" s="188"/>
      <c r="H28" s="189"/>
      <c r="I28" s="189"/>
      <c r="J28" s="190"/>
      <c r="K28" s="191"/>
      <c r="L28" s="190"/>
      <c r="M28" s="189"/>
      <c r="N28" s="191"/>
      <c r="O28" s="191"/>
      <c r="P28" s="191"/>
      <c r="Q28" s="191"/>
      <c r="R28" s="192"/>
    </row>
    <row r="29" spans="1:18" s="11" customFormat="1" x14ac:dyDescent="0.2">
      <c r="A29" s="80"/>
      <c r="B29" s="80"/>
      <c r="C29" s="86"/>
      <c r="D29" s="81"/>
      <c r="E29" s="82"/>
      <c r="F29" s="82"/>
      <c r="G29" s="81"/>
      <c r="H29" s="82"/>
      <c r="I29" s="82"/>
      <c r="J29" s="83"/>
      <c r="K29" s="84"/>
      <c r="L29" s="83"/>
      <c r="M29" s="82"/>
      <c r="N29" s="84"/>
      <c r="O29" s="84"/>
      <c r="P29" s="84"/>
      <c r="Q29" s="84"/>
      <c r="R29" s="85"/>
    </row>
    <row r="30" spans="1:18" s="11" customFormat="1" x14ac:dyDescent="0.2">
      <c r="A30" s="80"/>
      <c r="B30" s="80"/>
      <c r="C30" s="86"/>
      <c r="D30" s="81"/>
      <c r="E30" s="82"/>
      <c r="F30" s="82"/>
      <c r="G30" s="81"/>
      <c r="H30" s="82"/>
      <c r="I30" s="82"/>
      <c r="J30" s="83"/>
      <c r="K30" s="84"/>
      <c r="L30" s="83"/>
      <c r="M30" s="82"/>
      <c r="N30" s="84"/>
      <c r="O30" s="84"/>
      <c r="P30" s="84"/>
      <c r="Q30" s="84"/>
      <c r="R30" s="85"/>
    </row>
    <row r="31" spans="1:18" s="11" customFormat="1" x14ac:dyDescent="0.2">
      <c r="A31" s="80"/>
      <c r="B31" s="80"/>
      <c r="C31" s="86"/>
      <c r="D31" s="81"/>
      <c r="E31" s="82"/>
      <c r="F31" s="82"/>
      <c r="G31" s="81"/>
      <c r="H31" s="82"/>
      <c r="I31" s="82"/>
      <c r="J31" s="83"/>
      <c r="K31" s="84"/>
      <c r="L31" s="83"/>
      <c r="M31" s="82"/>
      <c r="N31" s="84"/>
      <c r="O31" s="84"/>
      <c r="P31" s="84"/>
      <c r="Q31" s="84"/>
      <c r="R31" s="85"/>
    </row>
    <row r="32" spans="1:18" s="11" customFormat="1" x14ac:dyDescent="0.2">
      <c r="A32" s="80"/>
      <c r="B32" s="80"/>
      <c r="C32" s="86"/>
      <c r="D32" s="81"/>
      <c r="E32" s="82"/>
      <c r="F32" s="82"/>
      <c r="G32" s="81"/>
      <c r="H32" s="82"/>
      <c r="I32" s="82"/>
      <c r="J32" s="83"/>
      <c r="K32" s="84"/>
      <c r="L32" s="83"/>
      <c r="M32" s="82"/>
      <c r="N32" s="84"/>
      <c r="O32" s="84"/>
      <c r="P32" s="84"/>
      <c r="Q32" s="84"/>
      <c r="R32" s="85"/>
    </row>
    <row r="33" spans="1:18" s="11" customFormat="1" x14ac:dyDescent="0.2">
      <c r="A33" s="80"/>
      <c r="B33" s="80"/>
      <c r="C33" s="86"/>
      <c r="D33" s="81"/>
      <c r="E33" s="82"/>
      <c r="F33" s="82"/>
      <c r="G33" s="81"/>
      <c r="H33" s="82"/>
      <c r="I33" s="82"/>
      <c r="J33" s="83"/>
      <c r="K33" s="84"/>
      <c r="L33" s="83"/>
      <c r="M33" s="82"/>
      <c r="N33" s="84"/>
      <c r="O33" s="84"/>
      <c r="P33" s="84"/>
      <c r="Q33" s="84"/>
      <c r="R33" s="85"/>
    </row>
    <row r="34" spans="1:18" s="11" customFormat="1" x14ac:dyDescent="0.2">
      <c r="A34" s="80"/>
      <c r="B34" s="80"/>
      <c r="C34" s="86"/>
      <c r="D34" s="81"/>
      <c r="E34" s="82"/>
      <c r="F34" s="82"/>
      <c r="G34" s="81"/>
      <c r="H34" s="82"/>
      <c r="I34" s="82"/>
      <c r="J34" s="83"/>
      <c r="K34" s="84"/>
      <c r="L34" s="83"/>
      <c r="M34" s="82"/>
      <c r="N34" s="84"/>
      <c r="O34" s="84"/>
      <c r="P34" s="84"/>
      <c r="Q34" s="84"/>
      <c r="R34" s="85"/>
    </row>
    <row r="35" spans="1:18" s="11" customFormat="1" x14ac:dyDescent="0.2">
      <c r="A35" s="80"/>
      <c r="B35" s="80"/>
      <c r="C35" s="86"/>
      <c r="D35" s="81"/>
      <c r="E35" s="82"/>
      <c r="F35" s="82"/>
      <c r="G35" s="81"/>
      <c r="H35" s="82"/>
      <c r="I35" s="82"/>
      <c r="J35" s="83"/>
      <c r="K35" s="84"/>
      <c r="L35" s="83"/>
      <c r="M35" s="82"/>
      <c r="N35" s="84"/>
      <c r="O35" s="84"/>
      <c r="P35" s="84"/>
      <c r="Q35" s="84"/>
      <c r="R35" s="85"/>
    </row>
    <row r="36" spans="1:18" s="11" customFormat="1" x14ac:dyDescent="0.2">
      <c r="A36" s="80"/>
      <c r="B36" s="80"/>
      <c r="C36" s="86"/>
      <c r="D36" s="81"/>
      <c r="E36" s="82"/>
      <c r="F36" s="82"/>
      <c r="G36" s="81"/>
      <c r="H36" s="82"/>
      <c r="I36" s="82"/>
      <c r="J36" s="83"/>
      <c r="K36" s="84"/>
      <c r="L36" s="83"/>
      <c r="M36" s="82"/>
      <c r="N36" s="84"/>
      <c r="O36" s="84"/>
      <c r="P36" s="84"/>
      <c r="Q36" s="84"/>
      <c r="R36" s="85"/>
    </row>
    <row r="37" spans="1:18" s="11" customFormat="1" x14ac:dyDescent="0.2">
      <c r="A37" s="80"/>
      <c r="B37" s="80"/>
      <c r="C37" s="86"/>
      <c r="D37" s="81"/>
      <c r="E37" s="82"/>
      <c r="F37" s="82"/>
      <c r="G37" s="81"/>
      <c r="H37" s="82"/>
      <c r="I37" s="82"/>
      <c r="J37" s="83"/>
      <c r="K37" s="84"/>
      <c r="L37" s="83"/>
      <c r="M37" s="82"/>
      <c r="N37" s="84"/>
      <c r="O37" s="84"/>
      <c r="P37" s="84"/>
      <c r="Q37" s="84"/>
      <c r="R37" s="85"/>
    </row>
    <row r="38" spans="1:18" s="11" customFormat="1" x14ac:dyDescent="0.2">
      <c r="A38" s="80"/>
      <c r="B38" s="80"/>
      <c r="C38" s="86"/>
      <c r="D38" s="81"/>
      <c r="E38" s="82"/>
      <c r="F38" s="82"/>
      <c r="G38" s="81"/>
      <c r="H38" s="82"/>
      <c r="I38" s="82"/>
      <c r="J38" s="83"/>
      <c r="K38" s="84"/>
      <c r="L38" s="83"/>
      <c r="M38" s="82"/>
      <c r="N38" s="84"/>
      <c r="O38" s="84"/>
      <c r="P38" s="84"/>
      <c r="Q38" s="84"/>
      <c r="R38" s="85"/>
    </row>
    <row r="39" spans="1:18" s="11" customFormat="1" x14ac:dyDescent="0.2">
      <c r="A39" s="80"/>
      <c r="B39" s="80"/>
      <c r="C39" s="86"/>
      <c r="D39" s="81"/>
      <c r="E39" s="82"/>
      <c r="F39" s="82"/>
      <c r="G39" s="81"/>
      <c r="H39" s="82"/>
      <c r="I39" s="82"/>
      <c r="J39" s="83"/>
      <c r="K39" s="84"/>
      <c r="L39" s="83"/>
      <c r="M39" s="82"/>
      <c r="N39" s="84"/>
      <c r="O39" s="84"/>
      <c r="P39" s="84"/>
      <c r="Q39" s="84"/>
      <c r="R39" s="85"/>
    </row>
    <row r="40" spans="1:18" s="11" customFormat="1" x14ac:dyDescent="0.2">
      <c r="A40" s="80"/>
      <c r="B40" s="80"/>
      <c r="C40" s="86"/>
      <c r="D40" s="81"/>
      <c r="E40" s="82"/>
      <c r="F40" s="82"/>
      <c r="G40" s="81"/>
      <c r="H40" s="82"/>
      <c r="I40" s="82"/>
      <c r="J40" s="83"/>
      <c r="K40" s="84"/>
      <c r="L40" s="83"/>
      <c r="M40" s="82"/>
      <c r="N40" s="84"/>
      <c r="O40" s="84"/>
      <c r="P40" s="84"/>
      <c r="Q40" s="84"/>
      <c r="R40" s="85"/>
    </row>
    <row r="41" spans="1:18" s="11" customFormat="1" x14ac:dyDescent="0.2">
      <c r="A41" s="80"/>
      <c r="B41" s="80"/>
      <c r="C41" s="86"/>
      <c r="D41" s="81"/>
      <c r="E41" s="82"/>
      <c r="F41" s="82"/>
      <c r="G41" s="81"/>
      <c r="H41" s="82"/>
      <c r="I41" s="82"/>
      <c r="J41" s="83"/>
      <c r="K41" s="84"/>
      <c r="L41" s="83"/>
      <c r="M41" s="82"/>
      <c r="N41" s="84"/>
      <c r="O41" s="84"/>
      <c r="P41" s="84"/>
      <c r="Q41" s="84"/>
      <c r="R41" s="85"/>
    </row>
    <row r="42" spans="1:18" s="11" customFormat="1" x14ac:dyDescent="0.2">
      <c r="A42" s="80"/>
      <c r="B42" s="80"/>
      <c r="C42" s="86"/>
      <c r="D42" s="81"/>
      <c r="E42" s="82"/>
      <c r="F42" s="82"/>
      <c r="G42" s="81"/>
      <c r="H42" s="82"/>
      <c r="I42" s="82"/>
      <c r="J42" s="83"/>
      <c r="K42" s="84"/>
      <c r="L42" s="83"/>
      <c r="M42" s="82"/>
      <c r="N42" s="84"/>
      <c r="O42" s="84"/>
      <c r="P42" s="84"/>
      <c r="Q42" s="84"/>
      <c r="R42" s="85"/>
    </row>
    <row r="43" spans="1:18" s="11" customFormat="1" x14ac:dyDescent="0.2">
      <c r="A43" s="80"/>
      <c r="B43" s="80"/>
      <c r="C43" s="86"/>
      <c r="D43" s="81"/>
      <c r="E43" s="82"/>
      <c r="F43" s="82"/>
      <c r="G43" s="81"/>
      <c r="H43" s="82"/>
      <c r="I43" s="82"/>
      <c r="J43" s="83"/>
      <c r="K43" s="84"/>
      <c r="L43" s="83"/>
      <c r="M43" s="82"/>
      <c r="N43" s="84"/>
      <c r="O43" s="84"/>
      <c r="P43" s="84"/>
      <c r="Q43" s="84"/>
      <c r="R43" s="85"/>
    </row>
    <row r="44" spans="1:18" s="11" customFormat="1" x14ac:dyDescent="0.2">
      <c r="A44" s="80"/>
      <c r="B44" s="80"/>
      <c r="C44" s="86"/>
      <c r="D44" s="81"/>
      <c r="E44" s="82"/>
      <c r="F44" s="82"/>
      <c r="G44" s="81"/>
      <c r="H44" s="82"/>
      <c r="I44" s="82"/>
      <c r="J44" s="83"/>
      <c r="K44" s="84"/>
      <c r="L44" s="83"/>
      <c r="M44" s="82"/>
      <c r="N44" s="84"/>
      <c r="O44" s="84"/>
      <c r="P44" s="84"/>
      <c r="Q44" s="84"/>
      <c r="R44" s="85"/>
    </row>
    <row r="45" spans="1:18" s="11" customFormat="1" x14ac:dyDescent="0.2">
      <c r="A45" s="80"/>
      <c r="B45" s="80"/>
      <c r="C45" s="86"/>
      <c r="D45" s="81"/>
      <c r="E45" s="82"/>
      <c r="F45" s="82"/>
      <c r="G45" s="81"/>
      <c r="H45" s="82"/>
      <c r="I45" s="82"/>
      <c r="J45" s="83"/>
      <c r="K45" s="84"/>
      <c r="L45" s="83"/>
      <c r="M45" s="82"/>
      <c r="N45" s="84"/>
      <c r="O45" s="84"/>
      <c r="P45" s="84"/>
      <c r="Q45" s="84"/>
      <c r="R45" s="85"/>
    </row>
    <row r="46" spans="1:18" s="11" customFormat="1" x14ac:dyDescent="0.2">
      <c r="A46" s="80"/>
      <c r="B46" s="80"/>
      <c r="C46" s="86"/>
      <c r="D46" s="81"/>
      <c r="E46" s="82"/>
      <c r="F46" s="82"/>
      <c r="G46" s="81"/>
      <c r="H46" s="82"/>
      <c r="I46" s="82"/>
      <c r="J46" s="83"/>
      <c r="K46" s="84"/>
      <c r="L46" s="83"/>
      <c r="M46" s="82"/>
      <c r="N46" s="84"/>
      <c r="O46" s="84"/>
      <c r="P46" s="84"/>
      <c r="Q46" s="84"/>
      <c r="R46" s="85"/>
    </row>
    <row r="47" spans="1:18" s="11" customFormat="1" x14ac:dyDescent="0.2">
      <c r="A47" s="80"/>
      <c r="B47" s="80"/>
      <c r="C47" s="86"/>
      <c r="D47" s="81"/>
      <c r="E47" s="82"/>
      <c r="F47" s="82"/>
      <c r="G47" s="81"/>
      <c r="H47" s="82"/>
      <c r="I47" s="82"/>
      <c r="J47" s="83"/>
      <c r="K47" s="84"/>
      <c r="L47" s="83"/>
      <c r="M47" s="82"/>
      <c r="N47" s="84"/>
      <c r="O47" s="84"/>
      <c r="P47" s="84"/>
      <c r="Q47" s="84"/>
      <c r="R47" s="85"/>
    </row>
    <row r="48" spans="1:18" s="11" customFormat="1" x14ac:dyDescent="0.2">
      <c r="A48" s="80"/>
      <c r="B48" s="80"/>
      <c r="C48" s="86"/>
      <c r="D48" s="81"/>
      <c r="E48" s="82"/>
      <c r="F48" s="82"/>
      <c r="G48" s="81"/>
      <c r="H48" s="82"/>
      <c r="I48" s="82"/>
      <c r="J48" s="83"/>
      <c r="K48" s="84"/>
      <c r="L48" s="83"/>
      <c r="M48" s="82"/>
      <c r="N48" s="84"/>
      <c r="O48" s="84"/>
      <c r="P48" s="84"/>
      <c r="Q48" s="84"/>
      <c r="R48" s="85"/>
    </row>
    <row r="49" spans="1:18" s="11" customFormat="1" x14ac:dyDescent="0.2">
      <c r="A49" s="80"/>
      <c r="B49" s="80"/>
      <c r="C49" s="86"/>
      <c r="D49" s="81"/>
      <c r="E49" s="82"/>
      <c r="F49" s="82"/>
      <c r="G49" s="81"/>
      <c r="H49" s="82"/>
      <c r="I49" s="82"/>
      <c r="J49" s="83"/>
      <c r="K49" s="84"/>
      <c r="L49" s="83"/>
      <c r="M49" s="82"/>
      <c r="N49" s="84"/>
      <c r="O49" s="84"/>
      <c r="P49" s="84"/>
      <c r="Q49" s="84"/>
      <c r="R49" s="85"/>
    </row>
    <row r="50" spans="1:18" s="11" customFormat="1" x14ac:dyDescent="0.2">
      <c r="A50" s="80"/>
      <c r="B50" s="80"/>
      <c r="C50" s="86"/>
      <c r="D50" s="81"/>
      <c r="E50" s="82"/>
      <c r="F50" s="82"/>
      <c r="G50" s="81"/>
      <c r="H50" s="82"/>
      <c r="I50" s="82"/>
      <c r="J50" s="83"/>
      <c r="K50" s="84"/>
      <c r="L50" s="83"/>
      <c r="M50" s="82"/>
      <c r="N50" s="84"/>
      <c r="O50" s="84"/>
      <c r="P50" s="84"/>
      <c r="Q50" s="84"/>
      <c r="R50" s="85"/>
    </row>
    <row r="51" spans="1:18" s="11" customFormat="1" x14ac:dyDescent="0.2">
      <c r="A51" s="80"/>
      <c r="B51" s="80"/>
      <c r="C51" s="86"/>
      <c r="D51" s="81"/>
      <c r="E51" s="82"/>
      <c r="F51" s="82"/>
      <c r="G51" s="81"/>
      <c r="H51" s="82"/>
      <c r="I51" s="82"/>
      <c r="J51" s="83"/>
      <c r="K51" s="84"/>
      <c r="L51" s="83"/>
      <c r="M51" s="82"/>
      <c r="N51" s="84"/>
      <c r="O51" s="84"/>
      <c r="P51" s="84"/>
      <c r="Q51" s="84"/>
      <c r="R51" s="85"/>
    </row>
    <row r="52" spans="1:18" s="11" customFormat="1" x14ac:dyDescent="0.2">
      <c r="A52" s="80"/>
      <c r="B52" s="80"/>
      <c r="C52" s="86"/>
      <c r="D52" s="81"/>
      <c r="E52" s="82"/>
      <c r="F52" s="82"/>
      <c r="G52" s="81"/>
      <c r="H52" s="82"/>
      <c r="I52" s="82"/>
      <c r="J52" s="83"/>
      <c r="K52" s="84"/>
      <c r="L52" s="83"/>
      <c r="M52" s="82"/>
      <c r="N52" s="84"/>
      <c r="O52" s="84"/>
      <c r="P52" s="84"/>
      <c r="Q52" s="84"/>
      <c r="R52" s="85"/>
    </row>
    <row r="53" spans="1:18" s="11" customFormat="1" x14ac:dyDescent="0.2">
      <c r="A53" s="80"/>
      <c r="B53" s="80"/>
      <c r="C53" s="86"/>
      <c r="D53" s="81"/>
      <c r="E53" s="82"/>
      <c r="F53" s="82"/>
      <c r="G53" s="81"/>
      <c r="H53" s="82"/>
      <c r="I53" s="82"/>
      <c r="J53" s="83"/>
      <c r="K53" s="84"/>
      <c r="L53" s="83"/>
      <c r="M53" s="82"/>
      <c r="N53" s="84"/>
      <c r="O53" s="84"/>
      <c r="P53" s="84"/>
      <c r="Q53" s="84"/>
      <c r="R53" s="85"/>
    </row>
    <row r="54" spans="1:18" s="11" customFormat="1" x14ac:dyDescent="0.2">
      <c r="A54" s="80"/>
      <c r="B54" s="80"/>
      <c r="C54" s="86"/>
      <c r="D54" s="81"/>
      <c r="E54" s="82"/>
      <c r="F54" s="82"/>
      <c r="G54" s="81"/>
      <c r="H54" s="82"/>
      <c r="I54" s="82"/>
      <c r="J54" s="83"/>
      <c r="K54" s="84"/>
      <c r="L54" s="83"/>
      <c r="M54" s="82"/>
      <c r="N54" s="84"/>
      <c r="O54" s="84"/>
      <c r="P54" s="84"/>
      <c r="Q54" s="84"/>
      <c r="R54" s="85"/>
    </row>
    <row r="55" spans="1:18" s="11" customFormat="1" x14ac:dyDescent="0.2">
      <c r="A55" s="80"/>
      <c r="B55" s="80"/>
      <c r="C55" s="86"/>
      <c r="D55" s="81"/>
      <c r="E55" s="82"/>
      <c r="F55" s="82"/>
      <c r="G55" s="81"/>
      <c r="H55" s="82"/>
      <c r="I55" s="82"/>
      <c r="J55" s="83"/>
      <c r="K55" s="84"/>
      <c r="L55" s="83"/>
      <c r="M55" s="82"/>
      <c r="N55" s="84"/>
      <c r="O55" s="84"/>
      <c r="P55" s="84"/>
      <c r="Q55" s="84"/>
      <c r="R55" s="85"/>
    </row>
    <row r="56" spans="1:18" s="11" customFormat="1" x14ac:dyDescent="0.2">
      <c r="A56" s="80"/>
      <c r="B56" s="80"/>
      <c r="C56" s="86"/>
      <c r="D56" s="81"/>
      <c r="E56" s="82"/>
      <c r="F56" s="82"/>
      <c r="G56" s="81"/>
      <c r="H56" s="82"/>
      <c r="I56" s="82"/>
      <c r="J56" s="83"/>
      <c r="K56" s="84"/>
      <c r="L56" s="83"/>
      <c r="M56" s="82"/>
      <c r="N56" s="84"/>
      <c r="O56" s="84"/>
      <c r="P56" s="84"/>
      <c r="Q56" s="84"/>
      <c r="R56" s="85"/>
    </row>
    <row r="57" spans="1:18" s="11" customFormat="1" x14ac:dyDescent="0.2">
      <c r="A57" s="80"/>
      <c r="B57" s="80"/>
      <c r="C57" s="86"/>
      <c r="D57" s="81"/>
      <c r="E57" s="82"/>
      <c r="F57" s="82"/>
      <c r="G57" s="81"/>
      <c r="H57" s="82"/>
      <c r="I57" s="82"/>
      <c r="J57" s="83"/>
      <c r="K57" s="84"/>
      <c r="L57" s="83"/>
      <c r="M57" s="82"/>
      <c r="N57" s="84"/>
      <c r="O57" s="84"/>
      <c r="P57" s="84"/>
      <c r="Q57" s="84"/>
      <c r="R57" s="85"/>
    </row>
    <row r="58" spans="1:18" s="11" customFormat="1" x14ac:dyDescent="0.2">
      <c r="A58" s="80"/>
      <c r="B58" s="80"/>
      <c r="C58" s="86"/>
      <c r="D58" s="81"/>
      <c r="E58" s="82"/>
      <c r="F58" s="82"/>
      <c r="G58" s="81"/>
      <c r="H58" s="82"/>
      <c r="I58" s="82"/>
      <c r="J58" s="83"/>
      <c r="K58" s="84"/>
      <c r="L58" s="83"/>
      <c r="M58" s="82"/>
      <c r="N58" s="84"/>
      <c r="O58" s="84"/>
      <c r="P58" s="84"/>
      <c r="Q58" s="84"/>
      <c r="R58" s="85"/>
    </row>
    <row r="59" spans="1:18" s="11" customFormat="1" x14ac:dyDescent="0.2">
      <c r="A59" s="80"/>
      <c r="B59" s="80"/>
      <c r="C59" s="86"/>
      <c r="D59" s="81"/>
      <c r="E59" s="82"/>
      <c r="F59" s="82"/>
      <c r="G59" s="81"/>
      <c r="H59" s="82"/>
      <c r="I59" s="82"/>
      <c r="J59" s="83"/>
      <c r="K59" s="84"/>
      <c r="L59" s="83"/>
      <c r="M59" s="82"/>
      <c r="N59" s="84"/>
      <c r="O59" s="84"/>
      <c r="P59" s="84"/>
      <c r="Q59" s="84"/>
      <c r="R59" s="85"/>
    </row>
    <row r="60" spans="1:18" s="11" customFormat="1" x14ac:dyDescent="0.2">
      <c r="A60" s="80"/>
      <c r="B60" s="80"/>
      <c r="C60" s="86"/>
      <c r="D60" s="81"/>
      <c r="E60" s="82"/>
      <c r="F60" s="82"/>
      <c r="G60" s="81"/>
      <c r="H60" s="82"/>
      <c r="I60" s="82"/>
      <c r="J60" s="83"/>
      <c r="K60" s="84"/>
      <c r="L60" s="83"/>
      <c r="M60" s="82"/>
      <c r="N60" s="84"/>
      <c r="O60" s="84"/>
      <c r="P60" s="84"/>
      <c r="Q60" s="84"/>
      <c r="R60" s="85"/>
    </row>
    <row r="61" spans="1:18" s="11" customFormat="1" x14ac:dyDescent="0.2">
      <c r="A61" s="80"/>
      <c r="B61" s="80"/>
      <c r="C61" s="86"/>
      <c r="D61" s="81"/>
      <c r="E61" s="82"/>
      <c r="F61" s="82"/>
      <c r="G61" s="81"/>
      <c r="H61" s="82"/>
      <c r="I61" s="82"/>
      <c r="J61" s="83"/>
      <c r="K61" s="84"/>
      <c r="L61" s="83"/>
      <c r="M61" s="82"/>
      <c r="N61" s="84"/>
      <c r="O61" s="84"/>
      <c r="P61" s="84"/>
      <c r="Q61" s="84"/>
      <c r="R61" s="85"/>
    </row>
    <row r="62" spans="1:18" s="11" customFormat="1" x14ac:dyDescent="0.2">
      <c r="A62" s="80"/>
      <c r="B62" s="80"/>
      <c r="C62" s="86"/>
      <c r="D62" s="81"/>
      <c r="E62" s="82"/>
      <c r="F62" s="82"/>
      <c r="G62" s="81"/>
      <c r="H62" s="82"/>
      <c r="I62" s="82"/>
      <c r="J62" s="83"/>
      <c r="K62" s="84"/>
      <c r="L62" s="83"/>
      <c r="M62" s="82"/>
      <c r="N62" s="84"/>
      <c r="O62" s="84"/>
      <c r="P62" s="84"/>
      <c r="Q62" s="84"/>
      <c r="R62" s="85"/>
    </row>
    <row r="63" spans="1:18" s="11" customFormat="1" x14ac:dyDescent="0.2">
      <c r="A63" s="80"/>
      <c r="B63" s="80"/>
      <c r="C63" s="86"/>
      <c r="D63" s="81"/>
      <c r="E63" s="82"/>
      <c r="F63" s="82"/>
      <c r="G63" s="81"/>
      <c r="H63" s="82"/>
      <c r="I63" s="82"/>
      <c r="J63" s="83"/>
      <c r="K63" s="84"/>
      <c r="L63" s="83"/>
      <c r="M63" s="82"/>
      <c r="N63" s="84"/>
      <c r="O63" s="84"/>
      <c r="P63" s="84"/>
      <c r="Q63" s="84"/>
      <c r="R63" s="85"/>
    </row>
    <row r="64" spans="1:18" s="11" customFormat="1" x14ac:dyDescent="0.2">
      <c r="A64" s="80"/>
      <c r="B64" s="80"/>
      <c r="C64" s="86"/>
      <c r="D64" s="81"/>
      <c r="E64" s="82"/>
      <c r="F64" s="82"/>
      <c r="G64" s="81"/>
      <c r="H64" s="82"/>
      <c r="I64" s="82"/>
      <c r="J64" s="83"/>
      <c r="K64" s="84"/>
      <c r="L64" s="83"/>
      <c r="M64" s="82"/>
      <c r="N64" s="84"/>
      <c r="O64" s="84"/>
      <c r="P64" s="84"/>
      <c r="Q64" s="84"/>
      <c r="R64" s="85"/>
    </row>
    <row r="65" spans="1:256" s="11" customFormat="1" x14ac:dyDescent="0.2">
      <c r="A65" s="80"/>
      <c r="B65" s="80"/>
      <c r="C65" s="86"/>
      <c r="D65" s="81"/>
      <c r="E65" s="82"/>
      <c r="F65" s="82"/>
      <c r="G65" s="81"/>
      <c r="H65" s="82"/>
      <c r="I65" s="82"/>
      <c r="J65" s="83"/>
      <c r="K65" s="84"/>
      <c r="L65" s="83"/>
      <c r="M65" s="82"/>
      <c r="N65" s="84"/>
      <c r="O65" s="84"/>
      <c r="P65" s="84"/>
      <c r="Q65" s="84"/>
      <c r="R65" s="85"/>
    </row>
    <row r="66" spans="1:256" s="11" customFormat="1" x14ac:dyDescent="0.2">
      <c r="A66" s="80"/>
      <c r="B66" s="80"/>
      <c r="C66" s="86"/>
      <c r="D66" s="81"/>
      <c r="E66" s="82"/>
      <c r="F66" s="82"/>
      <c r="G66" s="81"/>
      <c r="H66" s="82"/>
      <c r="I66" s="82"/>
      <c r="J66" s="83"/>
      <c r="K66" s="84"/>
      <c r="L66" s="83"/>
      <c r="M66" s="82"/>
      <c r="N66" s="84"/>
      <c r="O66" s="84"/>
      <c r="P66" s="84"/>
      <c r="Q66" s="84"/>
      <c r="R66" s="85"/>
    </row>
    <row r="67" spans="1:256" s="11" customFormat="1" x14ac:dyDescent="0.2">
      <c r="A67" s="80"/>
      <c r="B67" s="80"/>
      <c r="C67" s="86"/>
      <c r="D67" s="81"/>
      <c r="E67" s="82"/>
      <c r="F67" s="82"/>
      <c r="G67" s="81"/>
      <c r="H67" s="82"/>
      <c r="I67" s="82"/>
      <c r="J67" s="83"/>
      <c r="K67" s="84"/>
      <c r="L67" s="83"/>
      <c r="M67" s="82"/>
      <c r="N67" s="84"/>
      <c r="O67" s="84"/>
      <c r="P67" s="84"/>
      <c r="Q67" s="84"/>
      <c r="R67" s="85"/>
    </row>
    <row r="68" spans="1:256" s="11" customFormat="1" x14ac:dyDescent="0.2">
      <c r="A68" s="80"/>
      <c r="B68" s="80"/>
      <c r="C68" s="86"/>
      <c r="D68" s="81"/>
      <c r="E68" s="82"/>
      <c r="F68" s="82"/>
      <c r="G68" s="81"/>
      <c r="H68" s="82"/>
      <c r="I68" s="82"/>
      <c r="J68" s="83"/>
      <c r="K68" s="84"/>
      <c r="L68" s="83"/>
      <c r="M68" s="82"/>
      <c r="N68" s="84"/>
      <c r="O68" s="84"/>
      <c r="P68" s="84"/>
      <c r="Q68" s="84"/>
      <c r="R68" s="85"/>
    </row>
    <row r="69" spans="1:256" s="11" customFormat="1" x14ac:dyDescent="0.2">
      <c r="A69" s="80"/>
      <c r="B69" s="80"/>
      <c r="C69" s="86"/>
      <c r="D69" s="81"/>
      <c r="E69" s="82"/>
      <c r="F69" s="82"/>
      <c r="G69" s="81"/>
      <c r="H69" s="82"/>
      <c r="I69" s="82"/>
      <c r="J69" s="83"/>
      <c r="K69" s="84"/>
      <c r="L69" s="83"/>
      <c r="M69" s="82"/>
      <c r="N69" s="84"/>
      <c r="O69" s="84"/>
      <c r="P69" s="84"/>
      <c r="Q69" s="84"/>
      <c r="R69" s="85"/>
    </row>
    <row r="70" spans="1:256" s="11" customFormat="1" x14ac:dyDescent="0.2">
      <c r="A70" s="80"/>
      <c r="B70" s="80"/>
      <c r="C70" s="86"/>
      <c r="D70" s="81"/>
      <c r="E70" s="82"/>
      <c r="F70" s="82"/>
      <c r="G70" s="81"/>
      <c r="H70" s="82"/>
      <c r="I70" s="82"/>
      <c r="J70" s="83"/>
      <c r="K70" s="84"/>
      <c r="L70" s="83"/>
      <c r="M70" s="82"/>
      <c r="N70" s="84"/>
      <c r="O70" s="84"/>
      <c r="P70" s="84"/>
      <c r="Q70" s="84"/>
      <c r="R70" s="85"/>
    </row>
    <row r="71" spans="1:256" s="30" customFormat="1" ht="13.5" thickBot="1" x14ac:dyDescent="0.25">
      <c r="A71" s="87"/>
      <c r="B71" s="87"/>
      <c r="C71" s="88"/>
      <c r="D71" s="89"/>
      <c r="E71" s="90"/>
      <c r="F71" s="91"/>
      <c r="G71" s="89"/>
      <c r="H71" s="90"/>
      <c r="I71" s="90"/>
      <c r="J71" s="92"/>
      <c r="K71" s="93"/>
      <c r="L71" s="92"/>
      <c r="M71" s="90"/>
      <c r="N71" s="93"/>
      <c r="O71" s="93"/>
      <c r="P71" s="93"/>
      <c r="Q71" s="93"/>
      <c r="R71" s="9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11" customFormat="1" ht="11.45" customHeight="1" x14ac:dyDescent="0.2">
      <c r="A72" s="86"/>
      <c r="B72" s="86"/>
      <c r="C72" s="86"/>
      <c r="D72" s="95"/>
      <c r="E72" s="96"/>
      <c r="F72" s="96"/>
      <c r="G72" s="95"/>
      <c r="H72" s="96"/>
      <c r="I72" s="96"/>
      <c r="J72" s="97"/>
      <c r="K72" s="98"/>
      <c r="L72" s="98"/>
      <c r="M72" s="98"/>
      <c r="N72" s="98"/>
      <c r="O72" s="98"/>
      <c r="P72" s="98"/>
      <c r="Q72" s="98"/>
      <c r="R72" s="18"/>
    </row>
    <row r="73" spans="1:256" s="11" customFormat="1" hidden="1" x14ac:dyDescent="0.2">
      <c r="A73" s="86"/>
      <c r="B73" s="86"/>
      <c r="C73" s="86"/>
      <c r="D73" s="95"/>
      <c r="E73" s="96"/>
      <c r="F73" s="96"/>
      <c r="G73" s="95"/>
      <c r="H73" s="96"/>
      <c r="I73" s="96"/>
      <c r="J73" s="97"/>
      <c r="K73" s="98"/>
      <c r="L73" s="98"/>
      <c r="M73" s="98"/>
      <c r="N73" s="98"/>
      <c r="O73" s="98"/>
      <c r="P73" s="98"/>
      <c r="Q73" s="98"/>
      <c r="R73" s="18"/>
    </row>
    <row r="74" spans="1:256" s="11" customFormat="1" hidden="1" x14ac:dyDescent="0.2">
      <c r="A74" s="86"/>
      <c r="B74" s="86"/>
      <c r="C74" s="86"/>
      <c r="D74" s="95"/>
      <c r="E74" s="96"/>
      <c r="F74" s="96"/>
      <c r="G74" s="95"/>
      <c r="H74" s="96"/>
      <c r="I74" s="96"/>
      <c r="J74" s="97"/>
      <c r="K74" s="98"/>
      <c r="L74" s="98"/>
      <c r="M74" s="98"/>
      <c r="N74" s="98"/>
      <c r="O74" s="98"/>
      <c r="P74" s="98"/>
      <c r="Q74" s="98"/>
      <c r="R74" s="18"/>
    </row>
    <row r="75" spans="1:256" hidden="1" x14ac:dyDescent="0.2">
      <c r="R75" s="18"/>
    </row>
    <row r="76" spans="1:256" ht="11.45" customHeight="1" x14ac:dyDescent="0.2">
      <c r="C76" s="112" t="s">
        <v>40</v>
      </c>
      <c r="D76" s="113" t="s">
        <v>158</v>
      </c>
      <c r="E76" s="113"/>
      <c r="F76" s="19"/>
      <c r="G76" s="4"/>
      <c r="H76" s="3"/>
      <c r="I76" s="3"/>
    </row>
    <row r="77" spans="1:256" ht="11.45" customHeight="1" x14ac:dyDescent="0.2">
      <c r="C77" s="114">
        <v>1</v>
      </c>
      <c r="D77" s="115" t="s">
        <v>159</v>
      </c>
      <c r="E77" s="115"/>
      <c r="F77" s="99"/>
      <c r="G77" s="99"/>
      <c r="H77" s="99"/>
      <c r="I77" s="99"/>
    </row>
    <row r="78" spans="1:256" ht="11.45" customHeight="1" x14ac:dyDescent="0.2">
      <c r="C78" s="114">
        <v>2</v>
      </c>
      <c r="D78" s="115" t="s">
        <v>160</v>
      </c>
      <c r="E78" s="115"/>
      <c r="F78" s="99"/>
      <c r="G78" s="99"/>
      <c r="H78" s="99"/>
      <c r="I78" s="99"/>
    </row>
    <row r="79" spans="1:256" ht="11.45" customHeight="1" x14ac:dyDescent="0.2">
      <c r="C79" s="114">
        <v>3</v>
      </c>
      <c r="D79" s="115" t="s">
        <v>56</v>
      </c>
      <c r="E79" s="115"/>
      <c r="F79" s="99"/>
      <c r="G79" s="99"/>
      <c r="H79" s="99"/>
      <c r="I79" s="99"/>
    </row>
    <row r="80" spans="1:256" ht="11.45" customHeight="1" x14ac:dyDescent="0.2">
      <c r="C80" s="114">
        <v>4</v>
      </c>
      <c r="D80" s="115" t="s">
        <v>54</v>
      </c>
      <c r="E80" s="115"/>
      <c r="F80" s="99"/>
      <c r="G80" s="99"/>
      <c r="H80" s="99"/>
      <c r="I80" s="99"/>
    </row>
    <row r="81" spans="3:9" ht="11.45" customHeight="1" x14ac:dyDescent="0.2">
      <c r="C81" s="114">
        <v>5</v>
      </c>
      <c r="D81" s="115" t="s">
        <v>67</v>
      </c>
      <c r="E81" s="115"/>
      <c r="F81" s="99"/>
      <c r="G81" s="99"/>
      <c r="H81" s="99"/>
      <c r="I81" s="99"/>
    </row>
    <row r="82" spans="3:9" x14ac:dyDescent="0.2">
      <c r="D82" s="99"/>
      <c r="E82" s="99"/>
      <c r="F82" s="99"/>
      <c r="G82" s="99"/>
      <c r="H82" s="99"/>
      <c r="I82" s="99"/>
    </row>
    <row r="83" spans="3:9" x14ac:dyDescent="0.2">
      <c r="D83" s="99"/>
      <c r="E83" s="99"/>
      <c r="F83" s="99"/>
      <c r="G83" s="99"/>
      <c r="H83" s="99"/>
      <c r="I83" s="99"/>
    </row>
  </sheetData>
  <phoneticPr fontId="10" type="noConversion"/>
  <pageMargins left="0.19685039370078741" right="0.19685039370078741" top="0.78740157480314965" bottom="0.31496062992125984" header="0.35433070866141736" footer="0.15748031496062992"/>
  <pageSetup paperSize="8" scale="77" orientation="landscape" horizontalDpi="300" verticalDpi="300" r:id="rId1"/>
  <headerFooter alignWithMargins="0">
    <oddHeader>&amp;L&amp;"Arial,Bold"&amp;16DDE (SW) Ltd&amp;C&amp;"Arial,Bold"&amp;16Challonsleigh Landfill, Lee Mill
 Financial Provision Calculation</oddHeader>
    <oddFooter>&amp;R&amp;"Arial,Italic"&amp;8&amp;Z&amp;F&amp;A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17"/>
  <sheetViews>
    <sheetView view="pageBreakPreview" zoomScale="170" zoomScaleNormal="100" zoomScaleSheetLayoutView="170" workbookViewId="0">
      <selection activeCell="H18" sqref="H18"/>
    </sheetView>
  </sheetViews>
  <sheetFormatPr defaultRowHeight="12.75" x14ac:dyDescent="0.2"/>
  <cols>
    <col min="8" max="8" width="13.7109375" customWidth="1"/>
  </cols>
  <sheetData>
    <row r="2" spans="2:10" x14ac:dyDescent="0.2">
      <c r="B2" s="45" t="s">
        <v>73</v>
      </c>
    </row>
    <row r="3" spans="2:10" x14ac:dyDescent="0.2">
      <c r="B3" s="5"/>
    </row>
    <row r="4" spans="2:10" x14ac:dyDescent="0.2">
      <c r="B4" s="5" t="s">
        <v>63</v>
      </c>
    </row>
    <row r="5" spans="2:10" x14ac:dyDescent="0.2">
      <c r="B5" s="123" t="s">
        <v>165</v>
      </c>
      <c r="H5" s="124">
        <f>40*60</f>
        <v>2400</v>
      </c>
      <c r="J5" s="24" t="s">
        <v>190</v>
      </c>
    </row>
    <row r="6" spans="2:10" x14ac:dyDescent="0.2">
      <c r="B6" s="26"/>
      <c r="H6" s="108"/>
    </row>
    <row r="7" spans="2:10" x14ac:dyDescent="0.2">
      <c r="B7" s="26" t="s">
        <v>261</v>
      </c>
    </row>
    <row r="8" spans="2:10" x14ac:dyDescent="0.2">
      <c r="B8" s="26" t="s">
        <v>240</v>
      </c>
      <c r="H8" s="124">
        <f>80*60</f>
        <v>4800</v>
      </c>
      <c r="J8" s="24" t="s">
        <v>191</v>
      </c>
    </row>
    <row r="9" spans="2:10" x14ac:dyDescent="0.2">
      <c r="B9" s="123"/>
      <c r="H9" s="108"/>
    </row>
    <row r="10" spans="2:10" x14ac:dyDescent="0.2">
      <c r="B10" s="5" t="s">
        <v>166</v>
      </c>
    </row>
    <row r="11" spans="2:10" x14ac:dyDescent="0.2">
      <c r="B11" s="26" t="s">
        <v>241</v>
      </c>
      <c r="H11" s="124">
        <f>8*60</f>
        <v>480</v>
      </c>
      <c r="J11" s="24" t="s">
        <v>192</v>
      </c>
    </row>
    <row r="12" spans="2:10" x14ac:dyDescent="0.2">
      <c r="B12" s="26"/>
      <c r="H12" s="108"/>
    </row>
    <row r="13" spans="2:10" x14ac:dyDescent="0.2">
      <c r="B13" s="123" t="s">
        <v>167</v>
      </c>
    </row>
    <row r="14" spans="2:10" x14ac:dyDescent="0.2">
      <c r="B14" s="123" t="s">
        <v>168</v>
      </c>
      <c r="H14" s="124">
        <f>40*60</f>
        <v>2400</v>
      </c>
      <c r="J14" s="24" t="s">
        <v>190</v>
      </c>
    </row>
    <row r="15" spans="2:10" x14ac:dyDescent="0.2">
      <c r="B15" s="26"/>
      <c r="H15" s="108"/>
    </row>
    <row r="16" spans="2:10" x14ac:dyDescent="0.2">
      <c r="B16" s="123" t="s">
        <v>169</v>
      </c>
    </row>
    <row r="17" spans="2:10" x14ac:dyDescent="0.2">
      <c r="B17" s="123" t="s">
        <v>170</v>
      </c>
      <c r="H17" s="124">
        <f>40*3*60</f>
        <v>7200</v>
      </c>
      <c r="J17" s="24" t="s">
        <v>264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01"/>
  <sheetViews>
    <sheetView view="pageLayout" topLeftCell="A41" zoomScaleNormal="96" workbookViewId="0">
      <selection activeCell="E78" sqref="E78"/>
    </sheetView>
  </sheetViews>
  <sheetFormatPr defaultRowHeight="12.75" x14ac:dyDescent="0.2"/>
  <cols>
    <col min="1" max="1" width="41.42578125" style="24" customWidth="1"/>
    <col min="2" max="2" width="9.140625" style="135" bestFit="1" customWidth="1"/>
    <col min="3" max="3" width="10.140625" style="24" customWidth="1"/>
    <col min="4" max="4" width="14" style="127" customWidth="1"/>
    <col min="5" max="5" width="12.140625" style="127" customWidth="1"/>
    <col min="6" max="17" width="12.140625" style="127" hidden="1" customWidth="1"/>
    <col min="18" max="18" width="35" style="127" hidden="1" customWidth="1"/>
    <col min="19" max="19" width="15.140625" style="135" customWidth="1"/>
    <col min="20" max="20" width="9.140625" style="24"/>
    <col min="21" max="21" width="72.5703125" style="24" customWidth="1"/>
    <col min="22" max="16384" width="9.140625" style="24"/>
  </cols>
  <sheetData>
    <row r="1" spans="1:21" ht="76.5" x14ac:dyDescent="0.2">
      <c r="A1" s="33" t="s">
        <v>7</v>
      </c>
      <c r="B1" s="207"/>
      <c r="C1" s="207"/>
      <c r="D1" s="34" t="s">
        <v>229</v>
      </c>
      <c r="E1" s="34" t="s">
        <v>239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 t="s">
        <v>5</v>
      </c>
      <c r="U1" s="175" t="s">
        <v>208</v>
      </c>
    </row>
    <row r="2" spans="1:21" x14ac:dyDescent="0.2">
      <c r="A2" s="130"/>
      <c r="B2" s="25"/>
      <c r="C2" s="7" t="s">
        <v>11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37"/>
    </row>
    <row r="3" spans="1:21" x14ac:dyDescent="0.2">
      <c r="A3" s="31" t="s">
        <v>0</v>
      </c>
      <c r="B3" s="6"/>
      <c r="C3" s="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37"/>
    </row>
    <row r="4" spans="1:21" x14ac:dyDescent="0.2">
      <c r="A4" s="31"/>
      <c r="B4" s="6"/>
      <c r="C4" s="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37"/>
    </row>
    <row r="5" spans="1:21" s="27" customFormat="1" x14ac:dyDescent="0.2">
      <c r="A5" s="36" t="s">
        <v>136</v>
      </c>
      <c r="B5" s="28"/>
      <c r="C5" s="28" t="s">
        <v>10</v>
      </c>
      <c r="D5" s="40">
        <f>+'Environmental Monitoring'!H5</f>
        <v>0</v>
      </c>
      <c r="E5" s="40">
        <f>+'Environmental Monitoring'!H6</f>
        <v>0</v>
      </c>
      <c r="F5" s="40">
        <f>+'Environmental Monitoring'!J6</f>
        <v>0</v>
      </c>
      <c r="G5" s="40">
        <f>+'Environmental Monitoring'!L6</f>
        <v>0</v>
      </c>
      <c r="H5" s="40">
        <f>+'Environmental Monitoring'!N6</f>
        <v>0</v>
      </c>
      <c r="I5" s="40">
        <f>+'Environmental Monitoring'!P6</f>
        <v>0</v>
      </c>
      <c r="J5" s="40">
        <f>+'Environmental Monitoring'!R6</f>
        <v>0</v>
      </c>
      <c r="K5" s="40">
        <f>+'Environmental Monitoring'!T6</f>
        <v>0</v>
      </c>
      <c r="L5" s="40">
        <f>+'Environmental Monitoring'!V6</f>
        <v>0</v>
      </c>
      <c r="M5" s="40">
        <f>+'Environmental Monitoring'!X6</f>
        <v>0</v>
      </c>
      <c r="N5" s="40">
        <f>+'Environmental Monitoring'!Z6</f>
        <v>0</v>
      </c>
      <c r="O5" s="40">
        <f>+'Environmental Monitoring'!AB6</f>
        <v>0</v>
      </c>
      <c r="P5" s="40">
        <f>+'Environmental Monitoring'!AD6</f>
        <v>0</v>
      </c>
      <c r="Q5" s="40">
        <f>+'Environmental Monitoring'!AF6</f>
        <v>0</v>
      </c>
      <c r="R5" s="40">
        <f>+'Environmental Monitoring'!AH6</f>
        <v>0</v>
      </c>
      <c r="S5" s="138">
        <f t="shared" ref="S5:S13" si="0">SUM(D5:R5)</f>
        <v>0</v>
      </c>
      <c r="U5" s="27" t="s">
        <v>209</v>
      </c>
    </row>
    <row r="6" spans="1:21" s="27" customFormat="1" x14ac:dyDescent="0.2">
      <c r="A6" s="36" t="s">
        <v>74</v>
      </c>
      <c r="B6" s="28"/>
      <c r="C6" s="28" t="s">
        <v>10</v>
      </c>
      <c r="D6" s="40">
        <f>+'Environmental Monitoring'!H9</f>
        <v>0</v>
      </c>
      <c r="E6" s="40">
        <f>+'Environmental Monitoring'!H10</f>
        <v>0</v>
      </c>
      <c r="F6" s="40">
        <f>+'Environmental Monitoring'!J10</f>
        <v>0</v>
      </c>
      <c r="G6" s="40">
        <f>+'Environmental Monitoring'!L10</f>
        <v>0</v>
      </c>
      <c r="H6" s="40">
        <f>+'Environmental Monitoring'!N10</f>
        <v>0</v>
      </c>
      <c r="I6" s="40">
        <f>+'Environmental Monitoring'!P10</f>
        <v>0</v>
      </c>
      <c r="J6" s="40">
        <f>+'Environmental Monitoring'!R10</f>
        <v>0</v>
      </c>
      <c r="K6" s="40">
        <f>+'Environmental Monitoring'!T10</f>
        <v>0</v>
      </c>
      <c r="L6" s="40">
        <f>+'Environmental Monitoring'!V10</f>
        <v>0</v>
      </c>
      <c r="M6" s="40">
        <f>+'Environmental Monitoring'!X10</f>
        <v>0</v>
      </c>
      <c r="N6" s="40">
        <f>+'Environmental Monitoring'!Z10</f>
        <v>0</v>
      </c>
      <c r="O6" s="40">
        <f>+'Environmental Monitoring'!AB10</f>
        <v>0</v>
      </c>
      <c r="P6" s="40">
        <f>+'Environmental Monitoring'!AD10</f>
        <v>0</v>
      </c>
      <c r="Q6" s="40">
        <f>+'Environmental Monitoring'!AF10</f>
        <v>0</v>
      </c>
      <c r="R6" s="40">
        <f>+'Environmental Monitoring'!AH10</f>
        <v>0</v>
      </c>
      <c r="S6" s="138">
        <f t="shared" si="0"/>
        <v>0</v>
      </c>
      <c r="U6" s="27" t="s">
        <v>209</v>
      </c>
    </row>
    <row r="7" spans="1:21" x14ac:dyDescent="0.2">
      <c r="A7" s="130" t="s">
        <v>143</v>
      </c>
      <c r="B7" s="25"/>
      <c r="C7" s="28" t="s">
        <v>9</v>
      </c>
      <c r="D7" s="139">
        <f>+'Environmental Monitoring'!$H$13*'Back-up'!D6</f>
        <v>0</v>
      </c>
      <c r="E7" s="139">
        <f>+'Environmental Monitoring'!$H$13*'Back-up'!E6</f>
        <v>0</v>
      </c>
      <c r="F7" s="139">
        <f>+'Environmental Monitoring'!$H$13*'Back-up'!F6</f>
        <v>0</v>
      </c>
      <c r="G7" s="139">
        <f>+'Environmental Monitoring'!$H$13*'Back-up'!G6</f>
        <v>0</v>
      </c>
      <c r="H7" s="139">
        <f>+'Environmental Monitoring'!$H$13*'Back-up'!H6</f>
        <v>0</v>
      </c>
      <c r="I7" s="139">
        <f>+'Environmental Monitoring'!$H$13*'Back-up'!I6</f>
        <v>0</v>
      </c>
      <c r="J7" s="139">
        <f>+'Environmental Monitoring'!$H$13*'Back-up'!J6</f>
        <v>0</v>
      </c>
      <c r="K7" s="139">
        <f>+'Environmental Monitoring'!$H$13*'Back-up'!K6</f>
        <v>0</v>
      </c>
      <c r="L7" s="139">
        <f>+'Environmental Monitoring'!$H$13*'Back-up'!L6</f>
        <v>0</v>
      </c>
      <c r="M7" s="139">
        <f>+'Environmental Monitoring'!$H$13*'Back-up'!M6</f>
        <v>0</v>
      </c>
      <c r="N7" s="139">
        <f>+'Environmental Monitoring'!$H$13*'Back-up'!N6</f>
        <v>0</v>
      </c>
      <c r="O7" s="139">
        <f>+'Environmental Monitoring'!$H$13*'Back-up'!O6</f>
        <v>0</v>
      </c>
      <c r="P7" s="139">
        <f>+'Environmental Monitoring'!$H$13*'Back-up'!P6</f>
        <v>0</v>
      </c>
      <c r="Q7" s="139">
        <f>+'Environmental Monitoring'!$H$13*'Back-up'!Q6</f>
        <v>0</v>
      </c>
      <c r="R7" s="139">
        <f>+'Environmental Monitoring'!$H$13*'Back-up'!R6</f>
        <v>0</v>
      </c>
      <c r="S7" s="134">
        <f t="shared" si="0"/>
        <v>0</v>
      </c>
      <c r="U7" s="27" t="s">
        <v>209</v>
      </c>
    </row>
    <row r="8" spans="1:21" x14ac:dyDescent="0.2">
      <c r="A8" s="130" t="s">
        <v>144</v>
      </c>
      <c r="B8" s="25"/>
      <c r="C8" s="28" t="s">
        <v>9</v>
      </c>
      <c r="D8" s="139">
        <f>+'Environmental Monitoring'!$H$14*'Back-up'!D6</f>
        <v>0</v>
      </c>
      <c r="E8" s="139">
        <f>+'Environmental Monitoring'!$H$14*'Back-up'!E6</f>
        <v>0</v>
      </c>
      <c r="F8" s="139">
        <f>+'Environmental Monitoring'!$H$14*'Back-up'!F6</f>
        <v>0</v>
      </c>
      <c r="G8" s="139">
        <f>+'Environmental Monitoring'!$H$14*'Back-up'!G6</f>
        <v>0</v>
      </c>
      <c r="H8" s="139">
        <f>+'Environmental Monitoring'!$H$14*'Back-up'!H6</f>
        <v>0</v>
      </c>
      <c r="I8" s="139">
        <f>+'Environmental Monitoring'!$H$14*'Back-up'!I6</f>
        <v>0</v>
      </c>
      <c r="J8" s="139">
        <f>+'Environmental Monitoring'!$H$14*'Back-up'!J6</f>
        <v>0</v>
      </c>
      <c r="K8" s="139">
        <f>+'Environmental Monitoring'!$H$14*'Back-up'!K6</f>
        <v>0</v>
      </c>
      <c r="L8" s="139">
        <f>+'Environmental Monitoring'!$H$14*'Back-up'!L6</f>
        <v>0</v>
      </c>
      <c r="M8" s="139">
        <f>+'Environmental Monitoring'!$H$14*'Back-up'!M6</f>
        <v>0</v>
      </c>
      <c r="N8" s="139">
        <f>+'Environmental Monitoring'!$H$14*'Back-up'!N6</f>
        <v>0</v>
      </c>
      <c r="O8" s="139">
        <f>+'Environmental Monitoring'!$H$14*'Back-up'!O6</f>
        <v>0</v>
      </c>
      <c r="P8" s="139">
        <f>+'Environmental Monitoring'!$H$14*'Back-up'!P6</f>
        <v>0</v>
      </c>
      <c r="Q8" s="139">
        <f>+'Environmental Monitoring'!$H$14*'Back-up'!Q6</f>
        <v>0</v>
      </c>
      <c r="R8" s="139">
        <f>+'Environmental Monitoring'!$H$14*'Back-up'!R6</f>
        <v>0</v>
      </c>
      <c r="S8" s="134">
        <f t="shared" si="0"/>
        <v>0</v>
      </c>
      <c r="U8" s="27" t="s">
        <v>209</v>
      </c>
    </row>
    <row r="9" spans="1:21" x14ac:dyDescent="0.2">
      <c r="A9" s="130" t="s">
        <v>76</v>
      </c>
      <c r="B9" s="25"/>
      <c r="C9" s="28" t="s">
        <v>9</v>
      </c>
      <c r="D9" s="139">
        <v>0</v>
      </c>
      <c r="E9" s="139">
        <f>4*'Environmental Monitoring'!H17*'Environmental Monitoring'!H18</f>
        <v>400</v>
      </c>
      <c r="F9" s="139">
        <v>0</v>
      </c>
      <c r="G9" s="139">
        <f>+F9</f>
        <v>0</v>
      </c>
      <c r="H9" s="139">
        <f>+G9</f>
        <v>0</v>
      </c>
      <c r="I9" s="139">
        <f>+H9</f>
        <v>0</v>
      </c>
      <c r="J9" s="139">
        <f t="shared" ref="J9:R9" si="1">+I9</f>
        <v>0</v>
      </c>
      <c r="K9" s="139">
        <f t="shared" si="1"/>
        <v>0</v>
      </c>
      <c r="L9" s="139">
        <f t="shared" si="1"/>
        <v>0</v>
      </c>
      <c r="M9" s="139">
        <f t="shared" si="1"/>
        <v>0</v>
      </c>
      <c r="N9" s="139">
        <f t="shared" si="1"/>
        <v>0</v>
      </c>
      <c r="O9" s="139">
        <f t="shared" si="1"/>
        <v>0</v>
      </c>
      <c r="P9" s="139">
        <f t="shared" si="1"/>
        <v>0</v>
      </c>
      <c r="Q9" s="139">
        <f t="shared" si="1"/>
        <v>0</v>
      </c>
      <c r="R9" s="139">
        <f t="shared" si="1"/>
        <v>0</v>
      </c>
      <c r="S9" s="134">
        <f t="shared" si="0"/>
        <v>400</v>
      </c>
      <c r="U9" s="27" t="s">
        <v>253</v>
      </c>
    </row>
    <row r="10" spans="1:21" s="27" customFormat="1" x14ac:dyDescent="0.2">
      <c r="A10" s="36" t="s">
        <v>77</v>
      </c>
      <c r="B10" s="28"/>
      <c r="C10" s="28" t="s">
        <v>10</v>
      </c>
      <c r="D10" s="40">
        <f>+'Environmental Monitoring'!H21</f>
        <v>0</v>
      </c>
      <c r="E10" s="40">
        <f>+'Environmental Monitoring'!H23</f>
        <v>7</v>
      </c>
      <c r="F10" s="40">
        <f>+'Environmental Monitoring'!J23</f>
        <v>0</v>
      </c>
      <c r="G10" s="40">
        <f>+'Environmental Monitoring'!L23</f>
        <v>0</v>
      </c>
      <c r="H10" s="40">
        <f>+'Environmental Monitoring'!N23</f>
        <v>0</v>
      </c>
      <c r="I10" s="40">
        <f>+'Environmental Monitoring'!P23</f>
        <v>0</v>
      </c>
      <c r="J10" s="40">
        <f>+'Environmental Monitoring'!R23</f>
        <v>0</v>
      </c>
      <c r="K10" s="40">
        <f>+'Environmental Monitoring'!T23</f>
        <v>0</v>
      </c>
      <c r="L10" s="40">
        <f>+'Environmental Monitoring'!V23</f>
        <v>0</v>
      </c>
      <c r="M10" s="40">
        <f>+'Environmental Monitoring'!X23</f>
        <v>0</v>
      </c>
      <c r="N10" s="40">
        <f>+'Environmental Monitoring'!Z23</f>
        <v>0</v>
      </c>
      <c r="O10" s="40">
        <f>+'Environmental Monitoring'!AB23</f>
        <v>0</v>
      </c>
      <c r="P10" s="40">
        <f>+'Environmental Monitoring'!AD23</f>
        <v>0</v>
      </c>
      <c r="Q10" s="40">
        <f>+'Environmental Monitoring'!AF23</f>
        <v>0</v>
      </c>
      <c r="R10" s="40">
        <f>+'Environmental Monitoring'!AH23</f>
        <v>0</v>
      </c>
      <c r="S10" s="138">
        <f t="shared" si="0"/>
        <v>7</v>
      </c>
      <c r="U10" s="27" t="s">
        <v>210</v>
      </c>
    </row>
    <row r="11" spans="1:21" x14ac:dyDescent="0.2">
      <c r="A11" s="130" t="s">
        <v>145</v>
      </c>
      <c r="B11" s="25"/>
      <c r="C11" s="28" t="s">
        <v>9</v>
      </c>
      <c r="D11" s="140">
        <f>+D10*'Environmental Monitoring'!$H$24</f>
        <v>0</v>
      </c>
      <c r="E11" s="140">
        <f>+E10*'Environmental Monitoring'!$H$24</f>
        <v>3026</v>
      </c>
      <c r="F11" s="140">
        <f>+F10*'Environmental Monitoring'!$H$24</f>
        <v>0</v>
      </c>
      <c r="G11" s="140">
        <f>+G10*'Environmental Monitoring'!$H$24</f>
        <v>0</v>
      </c>
      <c r="H11" s="140">
        <f>+H10*'Environmental Monitoring'!$H$24</f>
        <v>0</v>
      </c>
      <c r="I11" s="140">
        <f>+I10*'Environmental Monitoring'!$H$24</f>
        <v>0</v>
      </c>
      <c r="J11" s="140">
        <f>+J10*'Environmental Monitoring'!$H$24</f>
        <v>0</v>
      </c>
      <c r="K11" s="140">
        <f>+K10*'Environmental Monitoring'!$H$24</f>
        <v>0</v>
      </c>
      <c r="L11" s="140">
        <f>+L10*'Environmental Monitoring'!$H$24</f>
        <v>0</v>
      </c>
      <c r="M11" s="140">
        <f>+M10*'Environmental Monitoring'!$H$24</f>
        <v>0</v>
      </c>
      <c r="N11" s="140">
        <f>+N10*'Environmental Monitoring'!$H$24</f>
        <v>0</v>
      </c>
      <c r="O11" s="140">
        <f>+O10*'Environmental Monitoring'!$H$24</f>
        <v>0</v>
      </c>
      <c r="P11" s="140">
        <f>+P10*'Environmental Monitoring'!$H$24</f>
        <v>0</v>
      </c>
      <c r="Q11" s="140">
        <f>+Q10*'Environmental Monitoring'!$H$24</f>
        <v>0</v>
      </c>
      <c r="R11" s="140">
        <f>+R10*'Environmental Monitoring'!$H$24</f>
        <v>0</v>
      </c>
      <c r="S11" s="134">
        <f t="shared" si="0"/>
        <v>3026</v>
      </c>
      <c r="U11" s="27" t="s">
        <v>252</v>
      </c>
    </row>
    <row r="12" spans="1:21" x14ac:dyDescent="0.2">
      <c r="A12" s="130" t="s">
        <v>131</v>
      </c>
      <c r="B12" s="25"/>
      <c r="C12" s="28" t="s">
        <v>9</v>
      </c>
      <c r="D12" s="140">
        <f>+'Environmental Monitoring'!H27</f>
        <v>0</v>
      </c>
      <c r="E12" s="140">
        <f>'Environmental Monitoring'!H28</f>
        <v>750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34">
        <f t="shared" si="0"/>
        <v>750</v>
      </c>
      <c r="U12" s="27" t="s">
        <v>211</v>
      </c>
    </row>
    <row r="13" spans="1:21" ht="13.5" thickBot="1" x14ac:dyDescent="0.25">
      <c r="A13" s="130" t="s">
        <v>78</v>
      </c>
      <c r="B13" s="25"/>
      <c r="C13" s="28" t="s">
        <v>9</v>
      </c>
      <c r="D13" s="176">
        <v>0</v>
      </c>
      <c r="E13" s="176">
        <f>'Environmental Monitoring'!H31*'Environmental Monitoring'!H32</f>
        <v>1700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7">
        <f t="shared" si="0"/>
        <v>1700</v>
      </c>
    </row>
    <row r="14" spans="1:21" s="145" customFormat="1" ht="13.5" thickTop="1" x14ac:dyDescent="0.2">
      <c r="A14" s="141"/>
      <c r="B14" s="142"/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</row>
    <row r="15" spans="1:21" x14ac:dyDescent="0.2">
      <c r="A15" s="130" t="s">
        <v>8</v>
      </c>
      <c r="B15" s="25"/>
      <c r="C15" s="26"/>
      <c r="D15" s="140">
        <f t="shared" ref="D15:S15" si="2">SUM(D7+D8+D9+D11+D12+D13)</f>
        <v>0</v>
      </c>
      <c r="E15" s="140">
        <f t="shared" si="2"/>
        <v>5876</v>
      </c>
      <c r="F15" s="140">
        <f t="shared" si="2"/>
        <v>0</v>
      </c>
      <c r="G15" s="140">
        <f t="shared" si="2"/>
        <v>0</v>
      </c>
      <c r="H15" s="140">
        <f t="shared" si="2"/>
        <v>0</v>
      </c>
      <c r="I15" s="140">
        <f t="shared" si="2"/>
        <v>0</v>
      </c>
      <c r="J15" s="140">
        <f t="shared" si="2"/>
        <v>0</v>
      </c>
      <c r="K15" s="140">
        <f t="shared" si="2"/>
        <v>0</v>
      </c>
      <c r="L15" s="140">
        <f t="shared" si="2"/>
        <v>0</v>
      </c>
      <c r="M15" s="140">
        <f t="shared" si="2"/>
        <v>0</v>
      </c>
      <c r="N15" s="140">
        <f t="shared" si="2"/>
        <v>0</v>
      </c>
      <c r="O15" s="140">
        <f t="shared" si="2"/>
        <v>0</v>
      </c>
      <c r="P15" s="140">
        <f t="shared" si="2"/>
        <v>0</v>
      </c>
      <c r="Q15" s="140">
        <f t="shared" si="2"/>
        <v>0</v>
      </c>
      <c r="R15" s="140">
        <f t="shared" si="2"/>
        <v>0</v>
      </c>
      <c r="S15" s="146">
        <f t="shared" si="2"/>
        <v>5876</v>
      </c>
    </row>
    <row r="16" spans="1:21" x14ac:dyDescent="0.2">
      <c r="A16" s="31"/>
      <c r="B16" s="6"/>
      <c r="C16" s="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8"/>
    </row>
    <row r="17" spans="1:21" x14ac:dyDescent="0.2">
      <c r="A17" s="130" t="s">
        <v>146</v>
      </c>
      <c r="B17" s="6"/>
      <c r="C17" s="26" t="s">
        <v>10</v>
      </c>
      <c r="D17" s="149">
        <f>+'Environmental Monitoring'!H35</f>
        <v>0</v>
      </c>
      <c r="E17" s="149">
        <f>+'Environmental Monitoring'!H36</f>
        <v>0</v>
      </c>
      <c r="F17" s="149">
        <f>+'Environmental Monitoring'!J36</f>
        <v>0</v>
      </c>
      <c r="G17" s="149">
        <f>+'Environmental Monitoring'!L36</f>
        <v>0</v>
      </c>
      <c r="H17" s="149">
        <f>+'Environmental Monitoring'!N36</f>
        <v>0</v>
      </c>
      <c r="I17" s="149">
        <f>+'Environmental Monitoring'!P36</f>
        <v>0</v>
      </c>
      <c r="J17" s="149">
        <f>+'Environmental Monitoring'!R36</f>
        <v>0</v>
      </c>
      <c r="K17" s="149">
        <f>+'Environmental Monitoring'!T36</f>
        <v>0</v>
      </c>
      <c r="L17" s="149">
        <f>+'Environmental Monitoring'!V36</f>
        <v>0</v>
      </c>
      <c r="M17" s="149">
        <f>+'Environmental Monitoring'!X36</f>
        <v>0</v>
      </c>
      <c r="N17" s="149">
        <f>+'Environmental Monitoring'!Z36</f>
        <v>0</v>
      </c>
      <c r="O17" s="149">
        <f>+'Environmental Monitoring'!AB36</f>
        <v>0</v>
      </c>
      <c r="P17" s="149">
        <f>+'Environmental Monitoring'!AD36</f>
        <v>0</v>
      </c>
      <c r="Q17" s="149">
        <f>+'Environmental Monitoring'!AF36</f>
        <v>0</v>
      </c>
      <c r="R17" s="149">
        <f>+'Environmental Monitoring'!AH36</f>
        <v>0</v>
      </c>
      <c r="S17" s="138">
        <f>SUM(D17:R17)</f>
        <v>0</v>
      </c>
      <c r="U17" s="27" t="s">
        <v>209</v>
      </c>
    </row>
    <row r="18" spans="1:21" x14ac:dyDescent="0.2">
      <c r="A18" s="130" t="s">
        <v>147</v>
      </c>
      <c r="B18" s="6"/>
      <c r="C18" s="26" t="s">
        <v>10</v>
      </c>
      <c r="D18" s="150">
        <f>+'Environmental Monitoring'!H39</f>
        <v>0</v>
      </c>
      <c r="E18" s="150">
        <f>+'Environmental Monitoring'!H41</f>
        <v>7</v>
      </c>
      <c r="F18" s="150">
        <f>+'Environmental Monitoring'!J41</f>
        <v>0</v>
      </c>
      <c r="G18" s="150">
        <f>+'Environmental Monitoring'!L41</f>
        <v>0</v>
      </c>
      <c r="H18" s="150">
        <f>+'Environmental Monitoring'!N41</f>
        <v>0</v>
      </c>
      <c r="I18" s="150">
        <f>+'Environmental Monitoring'!P41</f>
        <v>0</v>
      </c>
      <c r="J18" s="149">
        <f>+'Environmental Monitoring'!R41</f>
        <v>0</v>
      </c>
      <c r="K18" s="149">
        <f>+'Environmental Monitoring'!T41</f>
        <v>0</v>
      </c>
      <c r="L18" s="149">
        <f>+'Environmental Monitoring'!V41</f>
        <v>0</v>
      </c>
      <c r="M18" s="149">
        <f>+'Environmental Monitoring'!X41</f>
        <v>0</v>
      </c>
      <c r="N18" s="149">
        <f>+'Environmental Monitoring'!Z41</f>
        <v>0</v>
      </c>
      <c r="O18" s="149">
        <f>+'Environmental Monitoring'!AB41</f>
        <v>0</v>
      </c>
      <c r="P18" s="149">
        <f>+'Environmental Monitoring'!AD41</f>
        <v>0</v>
      </c>
      <c r="Q18" s="149">
        <f>+'Environmental Monitoring'!AF41</f>
        <v>0</v>
      </c>
      <c r="R18" s="149">
        <f>+'Environmental Monitoring'!AH41</f>
        <v>0</v>
      </c>
      <c r="S18" s="138">
        <f>SUM(D18:R18)</f>
        <v>7</v>
      </c>
    </row>
    <row r="19" spans="1:21" x14ac:dyDescent="0.2">
      <c r="A19" s="130" t="s">
        <v>148</v>
      </c>
      <c r="B19" s="151"/>
      <c r="C19" s="26"/>
      <c r="D19" s="140">
        <f>+'Environmental Monitoring'!$H$43*'Back-up'!D18</f>
        <v>0</v>
      </c>
      <c r="E19" s="140">
        <f>+'Environmental Monitoring'!$H$43*'Back-up'!E18</f>
        <v>17692.5</v>
      </c>
      <c r="F19" s="140">
        <f>+'Environmental Monitoring'!$H$43*'Back-up'!F18</f>
        <v>0</v>
      </c>
      <c r="G19" s="140">
        <f>+'Environmental Monitoring'!$H$43*'Back-up'!G18</f>
        <v>0</v>
      </c>
      <c r="H19" s="140">
        <f>+'Environmental Monitoring'!$H$43*'Back-up'!H18</f>
        <v>0</v>
      </c>
      <c r="I19" s="140">
        <f>+'Environmental Monitoring'!$H$43*'Back-up'!I18</f>
        <v>0</v>
      </c>
      <c r="J19" s="140">
        <f>+'Environmental Monitoring'!$H$43*'Back-up'!J18</f>
        <v>0</v>
      </c>
      <c r="K19" s="140">
        <f>+'Environmental Monitoring'!$H$43*'Back-up'!K18</f>
        <v>0</v>
      </c>
      <c r="L19" s="140">
        <f>+'Environmental Monitoring'!$H$43*'Back-up'!L18</f>
        <v>0</v>
      </c>
      <c r="M19" s="140">
        <f>+'Environmental Monitoring'!$H$43*'Back-up'!M18</f>
        <v>0</v>
      </c>
      <c r="N19" s="140">
        <f>+'Environmental Monitoring'!$H$43*'Back-up'!N18</f>
        <v>0</v>
      </c>
      <c r="O19" s="140">
        <f>+'Environmental Monitoring'!$H$43*'Back-up'!O18</f>
        <v>0</v>
      </c>
      <c r="P19" s="140">
        <f>+'Environmental Monitoring'!$H$43*'Back-up'!P18</f>
        <v>0</v>
      </c>
      <c r="Q19" s="140">
        <f>+'Environmental Monitoring'!$H$43*'Back-up'!Q18</f>
        <v>0</v>
      </c>
      <c r="R19" s="140">
        <f>+'Environmental Monitoring'!$H$43*'Back-up'!R18</f>
        <v>0</v>
      </c>
      <c r="S19" s="152">
        <f>SUM(D19:R19)</f>
        <v>17692.5</v>
      </c>
      <c r="U19" s="24" t="s">
        <v>228</v>
      </c>
    </row>
    <row r="20" spans="1:21" x14ac:dyDescent="0.2">
      <c r="A20" s="130" t="s">
        <v>59</v>
      </c>
      <c r="B20" s="151"/>
      <c r="C20" s="26"/>
      <c r="D20" s="140">
        <f>D19*'Environmental Monitoring'!$H$45/100</f>
        <v>0</v>
      </c>
      <c r="E20" s="140">
        <f>E19*'Environmental Monitoring'!$H$45/100</f>
        <v>0</v>
      </c>
      <c r="F20" s="140">
        <f>F19*'Environmental Monitoring'!$H$45/100</f>
        <v>0</v>
      </c>
      <c r="G20" s="140">
        <f>G19*'Environmental Monitoring'!$H$45/100</f>
        <v>0</v>
      </c>
      <c r="H20" s="140">
        <f>H19*'Environmental Monitoring'!$H$45/100</f>
        <v>0</v>
      </c>
      <c r="I20" s="140">
        <f>I19*'Environmental Monitoring'!$H$45/100</f>
        <v>0</v>
      </c>
      <c r="J20" s="140">
        <f>J19*'Environmental Monitoring'!$H$45/100</f>
        <v>0</v>
      </c>
      <c r="K20" s="140">
        <f>K19*'Environmental Monitoring'!$H$45/100</f>
        <v>0</v>
      </c>
      <c r="L20" s="140">
        <f>L19*'Environmental Monitoring'!$H$45/100</f>
        <v>0</v>
      </c>
      <c r="M20" s="140">
        <f>M19*'Environmental Monitoring'!$H$45/100</f>
        <v>0</v>
      </c>
      <c r="N20" s="140">
        <f>N19*'Environmental Monitoring'!$H$45/100</f>
        <v>0</v>
      </c>
      <c r="O20" s="140">
        <f>O19*'Environmental Monitoring'!$H$45/100</f>
        <v>0</v>
      </c>
      <c r="P20" s="140">
        <f>P19*'Environmental Monitoring'!$H$45/100</f>
        <v>0</v>
      </c>
      <c r="Q20" s="140">
        <f>Q19*'Environmental Monitoring'!$H$45/100</f>
        <v>0</v>
      </c>
      <c r="R20" s="140">
        <f>R19*'Environmental Monitoring'!$H$45/100</f>
        <v>0</v>
      </c>
      <c r="S20" s="152">
        <f>SUM(D20:R20)</f>
        <v>0</v>
      </c>
    </row>
    <row r="21" spans="1:21" x14ac:dyDescent="0.2">
      <c r="A21" s="130"/>
      <c r="B21" s="151"/>
      <c r="C21" s="2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9"/>
    </row>
    <row r="22" spans="1:21" x14ac:dyDescent="0.2">
      <c r="A22" s="31" t="s">
        <v>1</v>
      </c>
      <c r="B22" s="6"/>
      <c r="C22" s="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7"/>
    </row>
    <row r="23" spans="1:21" x14ac:dyDescent="0.2">
      <c r="A23" s="130"/>
      <c r="B23" s="25"/>
      <c r="C23" s="2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37"/>
    </row>
    <row r="24" spans="1:21" ht="14.25" x14ac:dyDescent="0.2">
      <c r="A24" s="130" t="s">
        <v>149</v>
      </c>
      <c r="B24" s="25"/>
      <c r="C24" s="26" t="s">
        <v>2</v>
      </c>
      <c r="D24" s="153">
        <f>+'Capping and Restoration'!H4</f>
        <v>0</v>
      </c>
      <c r="E24" s="153">
        <f>+'Capping and Restoration'!H5</f>
        <v>15000</v>
      </c>
      <c r="F24" s="153" t="str">
        <f>+'Capping and Restoration'!K5</f>
        <v>Estimate max. working area of anyone time as:</v>
      </c>
      <c r="G24" s="153">
        <f>+'Capping and Restoration'!M5</f>
        <v>0</v>
      </c>
      <c r="H24" s="153" t="str">
        <f>+'Capping and Restoration'!O5</f>
        <v>m2</v>
      </c>
      <c r="I24" s="153">
        <f>+'Capping and Restoration'!Q5</f>
        <v>0</v>
      </c>
      <c r="J24" s="153">
        <f>+'Capping and Restoration'!S5</f>
        <v>0</v>
      </c>
      <c r="K24" s="153">
        <f>+'Capping and Restoration'!U5</f>
        <v>0</v>
      </c>
      <c r="L24" s="153">
        <f>+'Capping and Restoration'!W5</f>
        <v>0</v>
      </c>
      <c r="M24" s="153">
        <f>+'Capping and Restoration'!Y5</f>
        <v>0</v>
      </c>
      <c r="N24" s="153">
        <f>+'Capping and Restoration'!AA5</f>
        <v>0</v>
      </c>
      <c r="O24" s="153">
        <f>+'Capping and Restoration'!AC5</f>
        <v>0</v>
      </c>
      <c r="P24" s="153">
        <f>+'Capping and Restoration'!AE5</f>
        <v>0</v>
      </c>
      <c r="Q24" s="153">
        <f>+'Capping and Restoration'!AG5</f>
        <v>0</v>
      </c>
      <c r="R24" s="153">
        <f>+'Capping and Restoration'!AI5</f>
        <v>0</v>
      </c>
      <c r="S24" s="138"/>
      <c r="U24" s="24" t="s">
        <v>257</v>
      </c>
    </row>
    <row r="25" spans="1:21" ht="14.25" x14ac:dyDescent="0.2">
      <c r="A25" s="130" t="s">
        <v>49</v>
      </c>
      <c r="B25" s="133">
        <f>+'Capping and Restoration'!H8</f>
        <v>0</v>
      </c>
      <c r="C25" s="26" t="s">
        <v>2</v>
      </c>
      <c r="D25" s="140">
        <f>D24*$B25</f>
        <v>0</v>
      </c>
      <c r="E25" s="140">
        <f t="shared" ref="E25:R25" si="3">E24*$B25</f>
        <v>0</v>
      </c>
      <c r="F25" s="140" t="e">
        <f t="shared" si="3"/>
        <v>#VALUE!</v>
      </c>
      <c r="G25" s="140">
        <f t="shared" si="3"/>
        <v>0</v>
      </c>
      <c r="H25" s="140" t="e">
        <f t="shared" si="3"/>
        <v>#VALUE!</v>
      </c>
      <c r="I25" s="140">
        <f t="shared" si="3"/>
        <v>0</v>
      </c>
      <c r="J25" s="140">
        <f t="shared" si="3"/>
        <v>0</v>
      </c>
      <c r="K25" s="140">
        <f t="shared" si="3"/>
        <v>0</v>
      </c>
      <c r="L25" s="140">
        <f t="shared" si="3"/>
        <v>0</v>
      </c>
      <c r="M25" s="140">
        <f t="shared" si="3"/>
        <v>0</v>
      </c>
      <c r="N25" s="140">
        <f t="shared" si="3"/>
        <v>0</v>
      </c>
      <c r="O25" s="140">
        <f t="shared" si="3"/>
        <v>0</v>
      </c>
      <c r="P25" s="140">
        <f t="shared" si="3"/>
        <v>0</v>
      </c>
      <c r="Q25" s="140">
        <f t="shared" si="3"/>
        <v>0</v>
      </c>
      <c r="R25" s="140">
        <f t="shared" si="3"/>
        <v>0</v>
      </c>
      <c r="S25" s="39"/>
    </row>
    <row r="26" spans="1:21" ht="14.25" x14ac:dyDescent="0.2">
      <c r="A26" s="130" t="s">
        <v>150</v>
      </c>
      <c r="B26" s="154">
        <f>+'Capping and Restoration'!H11</f>
        <v>0</v>
      </c>
      <c r="C26" s="26" t="s">
        <v>4</v>
      </c>
      <c r="D26" s="140">
        <f t="shared" ref="D26:I26" si="4">$B26*D24</f>
        <v>0</v>
      </c>
      <c r="E26" s="140">
        <f t="shared" si="4"/>
        <v>0</v>
      </c>
      <c r="F26" s="140" t="e">
        <f t="shared" si="4"/>
        <v>#VALUE!</v>
      </c>
      <c r="G26" s="140">
        <f t="shared" si="4"/>
        <v>0</v>
      </c>
      <c r="H26" s="140" t="e">
        <f t="shared" si="4"/>
        <v>#VALUE!</v>
      </c>
      <c r="I26" s="140">
        <f t="shared" si="4"/>
        <v>0</v>
      </c>
      <c r="J26" s="140">
        <f t="shared" ref="J26:R26" si="5">$B26*J24</f>
        <v>0</v>
      </c>
      <c r="K26" s="140">
        <f t="shared" si="5"/>
        <v>0</v>
      </c>
      <c r="L26" s="140">
        <f t="shared" si="5"/>
        <v>0</v>
      </c>
      <c r="M26" s="140">
        <f t="shared" si="5"/>
        <v>0</v>
      </c>
      <c r="N26" s="140">
        <f t="shared" si="5"/>
        <v>0</v>
      </c>
      <c r="O26" s="140">
        <f t="shared" si="5"/>
        <v>0</v>
      </c>
      <c r="P26" s="140">
        <f t="shared" si="5"/>
        <v>0</v>
      </c>
      <c r="Q26" s="140">
        <f t="shared" si="5"/>
        <v>0</v>
      </c>
      <c r="R26" s="140">
        <f t="shared" si="5"/>
        <v>0</v>
      </c>
      <c r="S26" s="39"/>
    </row>
    <row r="27" spans="1:21" ht="14.25" x14ac:dyDescent="0.2">
      <c r="A27" s="130" t="s">
        <v>80</v>
      </c>
      <c r="B27" s="154">
        <f>+'Capping and Restoration'!H14</f>
        <v>0.2</v>
      </c>
      <c r="C27" s="26" t="s">
        <v>2</v>
      </c>
      <c r="D27" s="140">
        <f t="shared" ref="D27:I27" si="6">D24*$B27</f>
        <v>0</v>
      </c>
      <c r="E27" s="140">
        <f t="shared" si="6"/>
        <v>3000</v>
      </c>
      <c r="F27" s="140" t="e">
        <f t="shared" si="6"/>
        <v>#VALUE!</v>
      </c>
      <c r="G27" s="140">
        <f t="shared" si="6"/>
        <v>0</v>
      </c>
      <c r="H27" s="140" t="e">
        <f t="shared" si="6"/>
        <v>#VALUE!</v>
      </c>
      <c r="I27" s="140">
        <f t="shared" si="6"/>
        <v>0</v>
      </c>
      <c r="J27" s="140">
        <f t="shared" ref="J27:R27" si="7">J24*$B27</f>
        <v>0</v>
      </c>
      <c r="K27" s="140">
        <f t="shared" si="7"/>
        <v>0</v>
      </c>
      <c r="L27" s="140">
        <f t="shared" si="7"/>
        <v>0</v>
      </c>
      <c r="M27" s="140">
        <f t="shared" si="7"/>
        <v>0</v>
      </c>
      <c r="N27" s="140">
        <f t="shared" si="7"/>
        <v>0</v>
      </c>
      <c r="O27" s="140">
        <f t="shared" si="7"/>
        <v>0</v>
      </c>
      <c r="P27" s="140">
        <f t="shared" si="7"/>
        <v>0</v>
      </c>
      <c r="Q27" s="140">
        <f t="shared" si="7"/>
        <v>0</v>
      </c>
      <c r="R27" s="140">
        <f t="shared" si="7"/>
        <v>0</v>
      </c>
      <c r="S27" s="39"/>
      <c r="U27" s="24" t="s">
        <v>237</v>
      </c>
    </row>
    <row r="28" spans="1:21" x14ac:dyDescent="0.2">
      <c r="A28" s="130"/>
      <c r="B28" s="25"/>
      <c r="C28" s="26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37"/>
    </row>
    <row r="29" spans="1:21" x14ac:dyDescent="0.2">
      <c r="A29" s="130" t="s">
        <v>3</v>
      </c>
      <c r="B29" s="25"/>
      <c r="C29" s="26"/>
      <c r="D29" s="140">
        <f t="shared" ref="D29:I29" si="8">SUM(D25:D27)</f>
        <v>0</v>
      </c>
      <c r="E29" s="140">
        <f t="shared" si="8"/>
        <v>3000</v>
      </c>
      <c r="F29" s="140" t="e">
        <f t="shared" si="8"/>
        <v>#VALUE!</v>
      </c>
      <c r="G29" s="140">
        <f t="shared" si="8"/>
        <v>0</v>
      </c>
      <c r="H29" s="140" t="e">
        <f t="shared" si="8"/>
        <v>#VALUE!</v>
      </c>
      <c r="I29" s="140">
        <f t="shared" si="8"/>
        <v>0</v>
      </c>
      <c r="J29" s="140">
        <f t="shared" ref="J29:R29" si="9">SUM(J25:J27)</f>
        <v>0</v>
      </c>
      <c r="K29" s="140">
        <f t="shared" si="9"/>
        <v>0</v>
      </c>
      <c r="L29" s="140">
        <f t="shared" si="9"/>
        <v>0</v>
      </c>
      <c r="M29" s="140">
        <f t="shared" si="9"/>
        <v>0</v>
      </c>
      <c r="N29" s="140">
        <f t="shared" si="9"/>
        <v>0</v>
      </c>
      <c r="O29" s="140">
        <f t="shared" si="9"/>
        <v>0</v>
      </c>
      <c r="P29" s="140">
        <f t="shared" si="9"/>
        <v>0</v>
      </c>
      <c r="Q29" s="140">
        <f t="shared" si="9"/>
        <v>0</v>
      </c>
      <c r="R29" s="140">
        <f t="shared" si="9"/>
        <v>0</v>
      </c>
      <c r="S29" s="146"/>
      <c r="U29" s="24" t="s">
        <v>254</v>
      </c>
    </row>
    <row r="30" spans="1:21" x14ac:dyDescent="0.2">
      <c r="A30" s="31"/>
      <c r="B30" s="25"/>
      <c r="C30" s="26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37"/>
    </row>
    <row r="31" spans="1:21" x14ac:dyDescent="0.2">
      <c r="A31" s="130"/>
      <c r="B31" s="25"/>
      <c r="C31" s="26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9"/>
    </row>
    <row r="32" spans="1:21" x14ac:dyDescent="0.2">
      <c r="A32" s="31" t="s">
        <v>186</v>
      </c>
      <c r="B32" s="6"/>
      <c r="C32" s="7"/>
      <c r="D32" s="137"/>
      <c r="E32" s="137"/>
      <c r="F32" s="137"/>
      <c r="G32" s="137"/>
      <c r="H32" s="137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55"/>
    </row>
    <row r="33" spans="1:19" x14ac:dyDescent="0.2">
      <c r="A33" s="31"/>
      <c r="B33" s="6"/>
      <c r="C33" s="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55"/>
    </row>
    <row r="34" spans="1:19" x14ac:dyDescent="0.2">
      <c r="A34" s="130" t="s">
        <v>57</v>
      </c>
      <c r="B34" s="6"/>
      <c r="C34" s="7"/>
      <c r="D34" s="153">
        <f>+'Leachate Management'!H4</f>
        <v>0</v>
      </c>
      <c r="E34" s="153">
        <f>+'Leachate Management'!H5</f>
        <v>0</v>
      </c>
      <c r="F34" s="153">
        <f>+'Leachate Management'!J5</f>
        <v>0</v>
      </c>
      <c r="G34" s="153">
        <f>+'Leachate Management'!L5</f>
        <v>0</v>
      </c>
      <c r="H34" s="153">
        <f>+'Leachate Management'!N5</f>
        <v>0</v>
      </c>
      <c r="I34" s="153">
        <f>+'Leachate Management'!P5</f>
        <v>0</v>
      </c>
      <c r="J34" s="153">
        <f>+'Leachate Management'!R5</f>
        <v>0</v>
      </c>
      <c r="K34" s="153">
        <f>+'Leachate Management'!T5</f>
        <v>0</v>
      </c>
      <c r="L34" s="153">
        <f>+'Leachate Management'!V5</f>
        <v>0</v>
      </c>
      <c r="M34" s="153">
        <f>+'Leachate Management'!X5</f>
        <v>0</v>
      </c>
      <c r="N34" s="153">
        <f>+'Leachate Management'!Z5</f>
        <v>0</v>
      </c>
      <c r="O34" s="153">
        <f>+'Leachate Management'!AB5</f>
        <v>0</v>
      </c>
      <c r="P34" s="153">
        <f>+'Leachate Management'!AD5</f>
        <v>0</v>
      </c>
      <c r="Q34" s="153">
        <f>+'Leachate Management'!AF5</f>
        <v>0</v>
      </c>
      <c r="R34" s="153">
        <f>+'Leachate Management'!AH5</f>
        <v>0</v>
      </c>
      <c r="S34" s="156">
        <f>+R34</f>
        <v>0</v>
      </c>
    </row>
    <row r="35" spans="1:19" x14ac:dyDescent="0.2">
      <c r="A35" s="130"/>
      <c r="B35" s="25"/>
      <c r="C35" s="26"/>
      <c r="D35" s="157"/>
      <c r="E35" s="157"/>
      <c r="F35" s="157"/>
      <c r="G35" s="157"/>
      <c r="H35" s="157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6"/>
    </row>
    <row r="36" spans="1:19" ht="14.25" x14ac:dyDescent="0.2">
      <c r="A36" s="130" t="s">
        <v>151</v>
      </c>
      <c r="B36" s="25"/>
      <c r="C36" s="26" t="s">
        <v>52</v>
      </c>
      <c r="D36" s="157">
        <f>+D34*'Leachate Management'!$H$8/1000</f>
        <v>0</v>
      </c>
      <c r="E36" s="157">
        <f>+E34*'Leachate Management'!$H$8/1000</f>
        <v>0</v>
      </c>
      <c r="F36" s="157">
        <f>+F34*'Leachate Management'!$H$8/1000</f>
        <v>0</v>
      </c>
      <c r="G36" s="157">
        <f>+G34*'Leachate Management'!$H$8/1000</f>
        <v>0</v>
      </c>
      <c r="H36" s="157">
        <f>+H34*'Leachate Management'!$H$8/1000</f>
        <v>0</v>
      </c>
      <c r="I36" s="157">
        <f>+I34*'Leachate Management'!$H$8/1000</f>
        <v>0</v>
      </c>
      <c r="J36" s="157">
        <f>+J34*'Leachate Management'!$H$8/1000</f>
        <v>0</v>
      </c>
      <c r="K36" s="157">
        <f>+K34*'Leachate Management'!$H$8/1000</f>
        <v>0</v>
      </c>
      <c r="L36" s="157">
        <f>+L34*'Leachate Management'!$H$8/1000</f>
        <v>0</v>
      </c>
      <c r="M36" s="157">
        <f>+M34*'Leachate Management'!$H$8/1000</f>
        <v>0</v>
      </c>
      <c r="N36" s="157">
        <f>+N34*'Leachate Management'!$H$8/1000</f>
        <v>0</v>
      </c>
      <c r="O36" s="157">
        <f>+O34*'Leachate Management'!$H$8/1000</f>
        <v>0</v>
      </c>
      <c r="P36" s="157">
        <f>+P34*'Leachate Management'!$H$8/1000</f>
        <v>0</v>
      </c>
      <c r="Q36" s="157">
        <f>+Q34*'Leachate Management'!$H$8/1000</f>
        <v>0</v>
      </c>
      <c r="R36" s="157">
        <f>+R34*'Leachate Management'!$H$8/1000</f>
        <v>0</v>
      </c>
      <c r="S36" s="156">
        <f>+R36</f>
        <v>0</v>
      </c>
    </row>
    <row r="37" spans="1:19" x14ac:dyDescent="0.2">
      <c r="A37" s="159" t="s">
        <v>82</v>
      </c>
      <c r="B37" s="25"/>
      <c r="C37" s="26" t="s">
        <v>53</v>
      </c>
      <c r="D37" s="140">
        <f>+D36*'Leachate Management'!$H$11</f>
        <v>0</v>
      </c>
      <c r="E37" s="140">
        <f>+E36*'Leachate Management'!$H$11</f>
        <v>0</v>
      </c>
      <c r="F37" s="140">
        <f>+F36*'Leachate Management'!$H$11</f>
        <v>0</v>
      </c>
      <c r="G37" s="140">
        <f>+G36*'Leachate Management'!$H$11</f>
        <v>0</v>
      </c>
      <c r="H37" s="140">
        <f>+H36*'Leachate Management'!$H$11</f>
        <v>0</v>
      </c>
      <c r="I37" s="140">
        <f>+I36*'Leachate Management'!$H$11</f>
        <v>0</v>
      </c>
      <c r="J37" s="140">
        <f>+J36*'Leachate Management'!$H$11</f>
        <v>0</v>
      </c>
      <c r="K37" s="140">
        <f>+K36*'Leachate Management'!$H$11</f>
        <v>0</v>
      </c>
      <c r="L37" s="140">
        <f>+L36*'Leachate Management'!$H$11</f>
        <v>0</v>
      </c>
      <c r="M37" s="140">
        <f>+M36*'Leachate Management'!$H$11</f>
        <v>0</v>
      </c>
      <c r="N37" s="140">
        <f>+N36*'Leachate Management'!$H$11</f>
        <v>0</v>
      </c>
      <c r="O37" s="140">
        <f>+O36*'Leachate Management'!$H$11</f>
        <v>0</v>
      </c>
      <c r="P37" s="140">
        <f>+P36*'Leachate Management'!$H$11</f>
        <v>0</v>
      </c>
      <c r="Q37" s="140">
        <f>+Q36*'Leachate Management'!$H$11</f>
        <v>0</v>
      </c>
      <c r="R37" s="140">
        <f>+R36*'Leachate Management'!$H$11</f>
        <v>0</v>
      </c>
      <c r="S37" s="160">
        <v>0</v>
      </c>
    </row>
    <row r="38" spans="1:19" x14ac:dyDescent="0.2">
      <c r="A38" s="130" t="s">
        <v>83</v>
      </c>
      <c r="B38" s="6"/>
      <c r="C38" s="26" t="s">
        <v>53</v>
      </c>
      <c r="D38" s="140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v>0</v>
      </c>
      <c r="S38" s="134">
        <f>+R38</f>
        <v>0</v>
      </c>
    </row>
    <row r="39" spans="1:19" x14ac:dyDescent="0.2">
      <c r="A39" s="130" t="s">
        <v>152</v>
      </c>
      <c r="B39" s="6"/>
      <c r="C39" s="26" t="s">
        <v>53</v>
      </c>
      <c r="D39" s="133">
        <f>+'Leachate Management'!$H$18</f>
        <v>0</v>
      </c>
      <c r="E39" s="133">
        <f>+'Leachate Management'!$H$18</f>
        <v>0</v>
      </c>
      <c r="F39" s="133">
        <f>+'Leachate Management'!$H$18</f>
        <v>0</v>
      </c>
      <c r="G39" s="133">
        <f>+'Leachate Management'!$H$18</f>
        <v>0</v>
      </c>
      <c r="H39" s="133">
        <f>+'Leachate Management'!$H$18</f>
        <v>0</v>
      </c>
      <c r="I39" s="133">
        <f>+'Leachate Management'!$H$18</f>
        <v>0</v>
      </c>
      <c r="J39" s="133">
        <f>+'Leachate Management'!$H$18</f>
        <v>0</v>
      </c>
      <c r="K39" s="133">
        <f>+'Leachate Management'!$H$18</f>
        <v>0</v>
      </c>
      <c r="L39" s="133">
        <f>+'Leachate Management'!$H$18</f>
        <v>0</v>
      </c>
      <c r="M39" s="133">
        <f>+'Leachate Management'!$H$18</f>
        <v>0</v>
      </c>
      <c r="N39" s="133">
        <f>+'Leachate Management'!$H$18</f>
        <v>0</v>
      </c>
      <c r="O39" s="133">
        <f>+'Leachate Management'!$H$18</f>
        <v>0</v>
      </c>
      <c r="P39" s="133">
        <f>+'Leachate Management'!$H$18</f>
        <v>0</v>
      </c>
      <c r="Q39" s="133">
        <f>+'Leachate Management'!$H$18</f>
        <v>0</v>
      </c>
      <c r="R39" s="133">
        <f>+'Leachate Management'!$H$18</f>
        <v>0</v>
      </c>
      <c r="S39" s="134">
        <f>+R39</f>
        <v>0</v>
      </c>
    </row>
    <row r="40" spans="1:19" x14ac:dyDescent="0.2">
      <c r="A40" s="130" t="s">
        <v>153</v>
      </c>
      <c r="B40" s="6"/>
      <c r="C40" s="26" t="s">
        <v>53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v>0</v>
      </c>
      <c r="S40" s="146">
        <f>SUM(S37:S38)</f>
        <v>0</v>
      </c>
    </row>
    <row r="41" spans="1:19" x14ac:dyDescent="0.2">
      <c r="A41" s="130"/>
      <c r="B41" s="6"/>
      <c r="C41" s="2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9"/>
    </row>
    <row r="42" spans="1:19" x14ac:dyDescent="0.2">
      <c r="A42" s="31" t="s">
        <v>206</v>
      </c>
      <c r="B42" s="6"/>
      <c r="C42" s="26"/>
      <c r="D42" s="13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61"/>
    </row>
    <row r="43" spans="1:19" x14ac:dyDescent="0.2">
      <c r="A43" s="130" t="s">
        <v>154</v>
      </c>
      <c r="B43" s="6"/>
      <c r="C43" s="26" t="s">
        <v>10</v>
      </c>
      <c r="D43" s="149">
        <f>+'Landfill Gas Management'!H5</f>
        <v>0</v>
      </c>
      <c r="E43" s="149">
        <f>+'Landfill Gas Management'!H6</f>
        <v>0</v>
      </c>
      <c r="F43" s="149">
        <f>+'Landfill Gas Management'!J6</f>
        <v>0</v>
      </c>
      <c r="G43" s="149">
        <f>+'Landfill Gas Management'!L6</f>
        <v>0</v>
      </c>
      <c r="H43" s="149">
        <f>+'Landfill Gas Management'!N6</f>
        <v>0</v>
      </c>
      <c r="I43" s="149">
        <f>+'Landfill Gas Management'!P6</f>
        <v>0</v>
      </c>
      <c r="J43" s="149">
        <f>+'Landfill Gas Management'!R6</f>
        <v>0</v>
      </c>
      <c r="K43" s="149">
        <f>+'Landfill Gas Management'!T6</f>
        <v>0</v>
      </c>
      <c r="L43" s="149">
        <f>+'Landfill Gas Management'!V6</f>
        <v>0</v>
      </c>
      <c r="M43" s="149">
        <f>+'Landfill Gas Management'!X6</f>
        <v>0</v>
      </c>
      <c r="N43" s="149">
        <f>+'Landfill Gas Management'!Z6</f>
        <v>0</v>
      </c>
      <c r="O43" s="149">
        <f>+'Landfill Gas Management'!AB6</f>
        <v>0</v>
      </c>
      <c r="P43" s="149">
        <f>+'Landfill Gas Management'!AD6</f>
        <v>0</v>
      </c>
      <c r="Q43" s="149">
        <f>+'Landfill Gas Management'!AF6</f>
        <v>0</v>
      </c>
      <c r="R43" s="149">
        <f>+'Landfill Gas Management'!AH6</f>
        <v>0</v>
      </c>
      <c r="S43" s="138">
        <f>SUM(D43:R43)</f>
        <v>0</v>
      </c>
    </row>
    <row r="44" spans="1:19" x14ac:dyDescent="0.2">
      <c r="A44" s="130" t="s">
        <v>155</v>
      </c>
      <c r="B44" s="6"/>
      <c r="C44" s="26" t="s">
        <v>10</v>
      </c>
      <c r="D44" s="149">
        <f>D43</f>
        <v>0</v>
      </c>
      <c r="E44" s="149">
        <f>+D44+E43</f>
        <v>0</v>
      </c>
      <c r="F44" s="149">
        <f>+E44+F43</f>
        <v>0</v>
      </c>
      <c r="G44" s="149">
        <f t="shared" ref="G44:R44" si="10">+F44+G43</f>
        <v>0</v>
      </c>
      <c r="H44" s="149">
        <f t="shared" si="10"/>
        <v>0</v>
      </c>
      <c r="I44" s="149">
        <f t="shared" si="10"/>
        <v>0</v>
      </c>
      <c r="J44" s="149">
        <f t="shared" si="10"/>
        <v>0</v>
      </c>
      <c r="K44" s="149">
        <f t="shared" si="10"/>
        <v>0</v>
      </c>
      <c r="L44" s="149">
        <f t="shared" si="10"/>
        <v>0</v>
      </c>
      <c r="M44" s="149">
        <f t="shared" si="10"/>
        <v>0</v>
      </c>
      <c r="N44" s="149">
        <f t="shared" si="10"/>
        <v>0</v>
      </c>
      <c r="O44" s="149">
        <f t="shared" si="10"/>
        <v>0</v>
      </c>
      <c r="P44" s="149">
        <f t="shared" si="10"/>
        <v>0</v>
      </c>
      <c r="Q44" s="149">
        <f t="shared" si="10"/>
        <v>0</v>
      </c>
      <c r="R44" s="149">
        <f t="shared" si="10"/>
        <v>0</v>
      </c>
      <c r="S44" s="138">
        <f>+R44</f>
        <v>0</v>
      </c>
    </row>
    <row r="45" spans="1:19" x14ac:dyDescent="0.2">
      <c r="A45" s="130" t="s">
        <v>148</v>
      </c>
      <c r="B45" s="28"/>
      <c r="C45" s="28"/>
      <c r="D45" s="140">
        <f>+D44*'Landfill Gas Management'!$J$17</f>
        <v>0</v>
      </c>
      <c r="E45" s="140">
        <f>+E44*'Landfill Gas Management'!$J$17</f>
        <v>0</v>
      </c>
      <c r="F45" s="140">
        <f>+F44*'Landfill Gas Management'!$J$17</f>
        <v>0</v>
      </c>
      <c r="G45" s="140">
        <f>+G44*'Landfill Gas Management'!$J$17</f>
        <v>0</v>
      </c>
      <c r="H45" s="140">
        <f>+H44*'Landfill Gas Management'!$J$17</f>
        <v>0</v>
      </c>
      <c r="I45" s="140">
        <f>+I44*'Landfill Gas Management'!$J$17</f>
        <v>0</v>
      </c>
      <c r="J45" s="140">
        <f>+J44*'Landfill Gas Management'!$J$17</f>
        <v>0</v>
      </c>
      <c r="K45" s="140">
        <f>+K44*'Landfill Gas Management'!$J$17</f>
        <v>0</v>
      </c>
      <c r="L45" s="140">
        <f>+L44*'Landfill Gas Management'!$J$17</f>
        <v>0</v>
      </c>
      <c r="M45" s="140">
        <f>+M44*'Landfill Gas Management'!$J$17</f>
        <v>0</v>
      </c>
      <c r="N45" s="140">
        <f>+N44*'Landfill Gas Management'!$J$17</f>
        <v>0</v>
      </c>
      <c r="O45" s="140">
        <f>+O44*'Landfill Gas Management'!$J$17</f>
        <v>0</v>
      </c>
      <c r="P45" s="140">
        <f>+P44*'Landfill Gas Management'!$J$17</f>
        <v>0</v>
      </c>
      <c r="Q45" s="140">
        <f>+Q44*'Landfill Gas Management'!$J$17</f>
        <v>0</v>
      </c>
      <c r="R45" s="140">
        <f>+R44*'Landfill Gas Management'!$J$17</f>
        <v>0</v>
      </c>
      <c r="S45" s="134">
        <f>SUM(D45:R45)</f>
        <v>0</v>
      </c>
    </row>
    <row r="46" spans="1:19" x14ac:dyDescent="0.2">
      <c r="A46" s="130" t="s">
        <v>59</v>
      </c>
      <c r="B46" s="28"/>
      <c r="C46" s="28"/>
      <c r="D46" s="140">
        <f>+D45*'Landfill Gas Management'!$J$21/100</f>
        <v>0</v>
      </c>
      <c r="E46" s="140">
        <f>+E45*'Landfill Gas Management'!$J$21/100</f>
        <v>0</v>
      </c>
      <c r="F46" s="140">
        <f>+F45*'Landfill Gas Management'!$J$21/100</f>
        <v>0</v>
      </c>
      <c r="G46" s="140">
        <f>+G45*'Landfill Gas Management'!$J$21/100</f>
        <v>0</v>
      </c>
      <c r="H46" s="140">
        <f>+H45*'Landfill Gas Management'!$J$21/100</f>
        <v>0</v>
      </c>
      <c r="I46" s="140">
        <f>+I45*'Landfill Gas Management'!$J$21/100</f>
        <v>0</v>
      </c>
      <c r="J46" s="140">
        <f>+J45*'Landfill Gas Management'!$J$21/100</f>
        <v>0</v>
      </c>
      <c r="K46" s="140">
        <f>+K45*'Landfill Gas Management'!$J$21/100</f>
        <v>0</v>
      </c>
      <c r="L46" s="140">
        <f>+L45*'Landfill Gas Management'!$J$21/100</f>
        <v>0</v>
      </c>
      <c r="M46" s="140">
        <f>+M45*'Landfill Gas Management'!$J$21/100</f>
        <v>0</v>
      </c>
      <c r="N46" s="140">
        <f>+N45*'Landfill Gas Management'!$J$21/100</f>
        <v>0</v>
      </c>
      <c r="O46" s="140">
        <f>+O45*'Landfill Gas Management'!$J$21/100</f>
        <v>0</v>
      </c>
      <c r="P46" s="140">
        <f>+P45*'Landfill Gas Management'!$J$21/100</f>
        <v>0</v>
      </c>
      <c r="Q46" s="140">
        <f>+Q45*'Landfill Gas Management'!$J$21/100</f>
        <v>0</v>
      </c>
      <c r="R46" s="140">
        <f>+R45*'Landfill Gas Management'!$J$21/100</f>
        <v>0</v>
      </c>
      <c r="S46" s="134">
        <f>SUM(D46:R46)</f>
        <v>0</v>
      </c>
    </row>
    <row r="47" spans="1:19" x14ac:dyDescent="0.2">
      <c r="A47" s="130" t="s">
        <v>84</v>
      </c>
      <c r="B47" s="6"/>
      <c r="C47" s="26"/>
      <c r="D47" s="140">
        <f>+'Landfill Gas Management'!$J$20*'Landfill Gas Management'!$J$21/100</f>
        <v>0</v>
      </c>
      <c r="E47" s="140">
        <f>+'Landfill Gas Management'!$J$20*'Landfill Gas Management'!$J$21/100</f>
        <v>0</v>
      </c>
      <c r="F47" s="140">
        <f>+'Landfill Gas Management'!$J$20*'Landfill Gas Management'!$J$21/100</f>
        <v>0</v>
      </c>
      <c r="G47" s="140">
        <f>+'Landfill Gas Management'!$J$20*'Landfill Gas Management'!$J$21/100</f>
        <v>0</v>
      </c>
      <c r="H47" s="140">
        <f>+'Landfill Gas Management'!$J$20*'Landfill Gas Management'!$J$21/100</f>
        <v>0</v>
      </c>
      <c r="I47" s="140">
        <f>+'Landfill Gas Management'!$J$20*'Landfill Gas Management'!$J$21/100</f>
        <v>0</v>
      </c>
      <c r="J47" s="140">
        <f>+'Landfill Gas Management'!$J$20*'Landfill Gas Management'!$J$21/100</f>
        <v>0</v>
      </c>
      <c r="K47" s="140">
        <f>+'Landfill Gas Management'!$J$20*'Landfill Gas Management'!$J$21/100</f>
        <v>0</v>
      </c>
      <c r="L47" s="140">
        <f>+'Landfill Gas Management'!$J$20*'Landfill Gas Management'!$J$21/100</f>
        <v>0</v>
      </c>
      <c r="M47" s="140">
        <f>+'Landfill Gas Management'!$J$20*'Landfill Gas Management'!$J$21/100</f>
        <v>0</v>
      </c>
      <c r="N47" s="140">
        <f>+'Landfill Gas Management'!$J$20*'Landfill Gas Management'!$J$21/100</f>
        <v>0</v>
      </c>
      <c r="O47" s="140">
        <f>+'Landfill Gas Management'!$J$20*'Landfill Gas Management'!$J$21/100</f>
        <v>0</v>
      </c>
      <c r="P47" s="140">
        <f>+'Landfill Gas Management'!$J$20*'Landfill Gas Management'!$J$21/100</f>
        <v>0</v>
      </c>
      <c r="Q47" s="140">
        <f>+'Landfill Gas Management'!$J$20*'Landfill Gas Management'!$J$21/100</f>
        <v>0</v>
      </c>
      <c r="R47" s="140">
        <f>+'Landfill Gas Management'!$J$20*'Landfill Gas Management'!$J$21/100</f>
        <v>0</v>
      </c>
      <c r="S47" s="134">
        <f>SUM(D47:R47)</f>
        <v>0</v>
      </c>
    </row>
    <row r="48" spans="1:19" x14ac:dyDescent="0.2">
      <c r="A48" s="130"/>
      <c r="B48" s="6"/>
      <c r="C48" s="26"/>
      <c r="D48" s="143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39"/>
    </row>
    <row r="49" spans="1:21" x14ac:dyDescent="0.2">
      <c r="A49" s="130" t="s">
        <v>156</v>
      </c>
      <c r="B49" s="6"/>
      <c r="C49" s="26" t="s">
        <v>53</v>
      </c>
      <c r="D49" s="140">
        <f t="shared" ref="D49:R49" si="11">SUM(D46:D48)</f>
        <v>0</v>
      </c>
      <c r="E49" s="140">
        <f t="shared" si="11"/>
        <v>0</v>
      </c>
      <c r="F49" s="140">
        <f t="shared" si="11"/>
        <v>0</v>
      </c>
      <c r="G49" s="140">
        <f t="shared" si="11"/>
        <v>0</v>
      </c>
      <c r="H49" s="140">
        <f t="shared" si="11"/>
        <v>0</v>
      </c>
      <c r="I49" s="140">
        <f t="shared" si="11"/>
        <v>0</v>
      </c>
      <c r="J49" s="140">
        <f t="shared" si="11"/>
        <v>0</v>
      </c>
      <c r="K49" s="140">
        <f t="shared" si="11"/>
        <v>0</v>
      </c>
      <c r="L49" s="140">
        <f t="shared" si="11"/>
        <v>0</v>
      </c>
      <c r="M49" s="140">
        <f t="shared" si="11"/>
        <v>0</v>
      </c>
      <c r="N49" s="140">
        <f t="shared" si="11"/>
        <v>0</v>
      </c>
      <c r="O49" s="140">
        <f t="shared" si="11"/>
        <v>0</v>
      </c>
      <c r="P49" s="140">
        <f t="shared" si="11"/>
        <v>0</v>
      </c>
      <c r="Q49" s="140">
        <f t="shared" si="11"/>
        <v>0</v>
      </c>
      <c r="R49" s="140">
        <f t="shared" si="11"/>
        <v>0</v>
      </c>
      <c r="S49" s="146">
        <f>SUM(S46:S48)</f>
        <v>0</v>
      </c>
    </row>
    <row r="50" spans="1:21" x14ac:dyDescent="0.2">
      <c r="A50" s="130"/>
      <c r="B50" s="6"/>
      <c r="C50" s="26"/>
      <c r="D50" s="2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39"/>
    </row>
    <row r="51" spans="1:21" x14ac:dyDescent="0.2">
      <c r="A51" s="31" t="s">
        <v>6</v>
      </c>
      <c r="B51" s="25"/>
      <c r="C51" s="26"/>
      <c r="D51" s="13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1"/>
    </row>
    <row r="52" spans="1:21" s="27" customFormat="1" x14ac:dyDescent="0.2">
      <c r="A52" s="36" t="s">
        <v>85</v>
      </c>
      <c r="B52" s="28"/>
      <c r="C52" s="28" t="s">
        <v>50</v>
      </c>
      <c r="D52" s="40">
        <f>+'Surface Water Management'!$J$6</f>
        <v>0</v>
      </c>
      <c r="E52" s="40">
        <f>'Surface Water Management'!J5</f>
        <v>1060</v>
      </c>
      <c r="F52" s="40">
        <f>+'Surface Water Management'!$J$6</f>
        <v>0</v>
      </c>
      <c r="G52" s="40">
        <f>+'Surface Water Management'!$J$6</f>
        <v>0</v>
      </c>
      <c r="H52" s="40">
        <f>+'Surface Water Management'!$J$6</f>
        <v>0</v>
      </c>
      <c r="I52" s="40">
        <f>+'Surface Water Management'!$J$6</f>
        <v>0</v>
      </c>
      <c r="J52" s="40">
        <f>+'Surface Water Management'!$J$6</f>
        <v>0</v>
      </c>
      <c r="K52" s="40">
        <f>+'Surface Water Management'!$J$6</f>
        <v>0</v>
      </c>
      <c r="L52" s="40">
        <f>+'Surface Water Management'!$J$6</f>
        <v>0</v>
      </c>
      <c r="M52" s="40">
        <f>+'Surface Water Management'!$J$6</f>
        <v>0</v>
      </c>
      <c r="N52" s="40">
        <f>+'Surface Water Management'!$J$6</f>
        <v>0</v>
      </c>
      <c r="O52" s="40">
        <f>+'Surface Water Management'!$J$6</f>
        <v>0</v>
      </c>
      <c r="P52" s="40">
        <f>+'Surface Water Management'!$J$6</f>
        <v>0</v>
      </c>
      <c r="Q52" s="40">
        <f>+'Surface Water Management'!$J$6</f>
        <v>0</v>
      </c>
      <c r="R52" s="40">
        <f>+'Surface Water Management'!$J$6</f>
        <v>0</v>
      </c>
      <c r="S52" s="56">
        <f>+'Surface Water Management'!$J$6</f>
        <v>0</v>
      </c>
      <c r="U52" s="27" t="s">
        <v>226</v>
      </c>
    </row>
    <row r="53" spans="1:21" x14ac:dyDescent="0.2">
      <c r="A53" s="130" t="s">
        <v>200</v>
      </c>
      <c r="B53" s="162"/>
      <c r="C53" s="26" t="s">
        <v>68</v>
      </c>
      <c r="D53" s="163"/>
      <c r="E53" s="140">
        <f>'Surface Water Management'!J9*'Surface Water Management'!J11</f>
        <v>800</v>
      </c>
      <c r="F53" s="163">
        <f>+F52*'Surface Water Management'!$J$9/100</f>
        <v>0</v>
      </c>
      <c r="G53" s="163">
        <f>+G52*'Surface Water Management'!$J$9/100</f>
        <v>0</v>
      </c>
      <c r="H53" s="163">
        <f>+H52*'Surface Water Management'!$J$9/100</f>
        <v>0</v>
      </c>
      <c r="I53" s="163">
        <f>+I52*'Surface Water Management'!$J$9/100</f>
        <v>0</v>
      </c>
      <c r="J53" s="163">
        <f>+J52*'Surface Water Management'!$J$9/100</f>
        <v>0</v>
      </c>
      <c r="K53" s="163">
        <f>+K52*'Surface Water Management'!$J$9/100</f>
        <v>0</v>
      </c>
      <c r="L53" s="163">
        <f>+L52*'Surface Water Management'!$J$9/100</f>
        <v>0</v>
      </c>
      <c r="M53" s="163">
        <f>+M52*'Surface Water Management'!$J$9/100</f>
        <v>0</v>
      </c>
      <c r="N53" s="163">
        <f>+N52*'Surface Water Management'!$J$9/100</f>
        <v>0</v>
      </c>
      <c r="O53" s="163">
        <f>+O52*'Surface Water Management'!$J$9/100</f>
        <v>0</v>
      </c>
      <c r="P53" s="163">
        <f>+P52*'Surface Water Management'!$J$9/100</f>
        <v>0</v>
      </c>
      <c r="Q53" s="163">
        <f>+Q52*'Surface Water Management'!$J$9/100</f>
        <v>0</v>
      </c>
      <c r="R53" s="163">
        <f>+R52*'Surface Water Management'!$J$9/100</f>
        <v>0</v>
      </c>
      <c r="S53" s="164">
        <f>SUM(D53:E53)</f>
        <v>800</v>
      </c>
      <c r="U53" s="24" t="s">
        <v>223</v>
      </c>
    </row>
    <row r="54" spans="1:21" ht="13.5" thickBot="1" x14ac:dyDescent="0.25">
      <c r="A54" s="130" t="s">
        <v>202</v>
      </c>
      <c r="B54" s="25"/>
      <c r="C54" s="26" t="s">
        <v>55</v>
      </c>
      <c r="D54" s="131">
        <f>+D53*'Surface Water Management'!$J$13</f>
        <v>0</v>
      </c>
      <c r="E54" s="131">
        <f>'Surface Water Management'!J13</f>
        <v>750</v>
      </c>
      <c r="F54" s="131">
        <f>+F53*'Surface Water Management'!$J$13</f>
        <v>0</v>
      </c>
      <c r="G54" s="131">
        <f>+G53*'Surface Water Management'!$J$13</f>
        <v>0</v>
      </c>
      <c r="H54" s="131">
        <f>+H53*'Surface Water Management'!$J$13</f>
        <v>0</v>
      </c>
      <c r="I54" s="131">
        <f>+I53*'Surface Water Management'!$J$13</f>
        <v>0</v>
      </c>
      <c r="J54" s="131">
        <f>+J53*'Surface Water Management'!$J$13</f>
        <v>0</v>
      </c>
      <c r="K54" s="131">
        <f>+K53*'Surface Water Management'!$J$13</f>
        <v>0</v>
      </c>
      <c r="L54" s="131">
        <f>+L53*'Surface Water Management'!$J$13</f>
        <v>0</v>
      </c>
      <c r="M54" s="131">
        <f>+M53*'Surface Water Management'!$J$13</f>
        <v>0</v>
      </c>
      <c r="N54" s="131">
        <f>+N53*'Surface Water Management'!$J$13</f>
        <v>0</v>
      </c>
      <c r="O54" s="131">
        <f>+O53*'Surface Water Management'!$J$13</f>
        <v>0</v>
      </c>
      <c r="P54" s="131">
        <f>+P53*'Surface Water Management'!$J$13</f>
        <v>0</v>
      </c>
      <c r="Q54" s="131">
        <f>+Q53*'Surface Water Management'!$J$13</f>
        <v>0</v>
      </c>
      <c r="R54" s="131">
        <f>+R53*'Surface Water Management'!$J$13</f>
        <v>0</v>
      </c>
      <c r="S54" s="206">
        <f>SUM(D54:E54)</f>
        <v>750</v>
      </c>
      <c r="U54" s="24" t="s">
        <v>223</v>
      </c>
    </row>
    <row r="55" spans="1:21" ht="13.5" thickTop="1" x14ac:dyDescent="0.2">
      <c r="A55" s="130"/>
      <c r="B55" s="25"/>
      <c r="C55" s="26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6">
        <f>SUM(S52:S54)</f>
        <v>1550</v>
      </c>
    </row>
    <row r="56" spans="1:21" x14ac:dyDescent="0.2">
      <c r="A56" s="31" t="s">
        <v>42</v>
      </c>
      <c r="B56" s="25"/>
      <c r="C56" s="26"/>
      <c r="D56" s="165"/>
      <c r="E56" s="165"/>
      <c r="F56" s="165"/>
      <c r="G56" s="165"/>
      <c r="H56" s="165"/>
      <c r="I56" s="165"/>
      <c r="J56" s="165"/>
      <c r="K56" s="136"/>
      <c r="L56" s="165"/>
      <c r="M56" s="165"/>
      <c r="N56" s="165"/>
      <c r="O56" s="165"/>
      <c r="P56" s="165"/>
      <c r="Q56" s="165"/>
      <c r="R56" s="165"/>
      <c r="S56" s="166"/>
    </row>
    <row r="57" spans="1:21" x14ac:dyDescent="0.2">
      <c r="A57" s="130" t="s">
        <v>86</v>
      </c>
      <c r="B57" s="25"/>
      <c r="C57" s="26"/>
      <c r="D57" s="131"/>
      <c r="E57" s="131">
        <f>Security!H10</f>
        <v>800</v>
      </c>
      <c r="F57" s="131" t="e">
        <f>+Security!$H$10*Security!$H$6*Security!#REF!/100</f>
        <v>#REF!</v>
      </c>
      <c r="G57" s="131" t="e">
        <f>+Security!$H$10*Security!$H$6*Security!#REF!/100</f>
        <v>#REF!</v>
      </c>
      <c r="H57" s="131" t="e">
        <f>+Security!$H$10*Security!$H$6*Security!#REF!/100</f>
        <v>#REF!</v>
      </c>
      <c r="I57" s="131" t="e">
        <f>+Security!$H$10*Security!$H$6*Security!#REF!/100</f>
        <v>#REF!</v>
      </c>
      <c r="J57" s="131" t="e">
        <f>+Security!$H$10*Security!$H$6*Security!#REF!/100</f>
        <v>#REF!</v>
      </c>
      <c r="K57" s="131" t="e">
        <f>+Security!$H$10*Security!$H$6*Security!#REF!/100</f>
        <v>#REF!</v>
      </c>
      <c r="L57" s="131" t="e">
        <f>+Security!$H$10*Security!$H$6*Security!#REF!/100</f>
        <v>#REF!</v>
      </c>
      <c r="M57" s="131" t="e">
        <f>+Security!$H$10*Security!$H$6*Security!#REF!/100</f>
        <v>#REF!</v>
      </c>
      <c r="N57" s="131" t="e">
        <f>+Security!$H$10*Security!$H$6*Security!#REF!/100</f>
        <v>#REF!</v>
      </c>
      <c r="O57" s="131" t="e">
        <f>+Security!$H$10*Security!$H$6*Security!#REF!/100</f>
        <v>#REF!</v>
      </c>
      <c r="P57" s="131" t="e">
        <f>+Security!$H$10*Security!$H$6*Security!#REF!/100</f>
        <v>#REF!</v>
      </c>
      <c r="Q57" s="131" t="e">
        <f>+Security!$H$10*Security!$H$6*Security!#REF!/100</f>
        <v>#REF!</v>
      </c>
      <c r="R57" s="131" t="e">
        <f>+Security!$H$10*Security!$H$6*Security!#REF!/100</f>
        <v>#REF!</v>
      </c>
      <c r="S57" s="132">
        <f>SUM(D57:E57)</f>
        <v>800</v>
      </c>
      <c r="U57" s="24" t="s">
        <v>223</v>
      </c>
    </row>
    <row r="58" spans="1:21" x14ac:dyDescent="0.2">
      <c r="A58" s="130"/>
      <c r="B58" s="25"/>
      <c r="C58" s="26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6"/>
    </row>
    <row r="59" spans="1:21" x14ac:dyDescent="0.2">
      <c r="A59" s="31" t="s">
        <v>44</v>
      </c>
      <c r="B59" s="25"/>
      <c r="C59" s="26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6"/>
    </row>
    <row r="60" spans="1:21" ht="12.75" customHeight="1" x14ac:dyDescent="0.2">
      <c r="A60" s="130" t="s">
        <v>157</v>
      </c>
      <c r="B60" s="25"/>
      <c r="C60" s="26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37">
        <f>+'Specified Events'!E23</f>
        <v>0</v>
      </c>
      <c r="U60" s="24" t="s">
        <v>225</v>
      </c>
    </row>
    <row r="61" spans="1:21" ht="12.75" customHeight="1" x14ac:dyDescent="0.2">
      <c r="A61" s="130" t="s">
        <v>75</v>
      </c>
      <c r="B61" s="25"/>
      <c r="C61" s="26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37">
        <f>+'Specified Events'!E30</f>
        <v>0</v>
      </c>
      <c r="U61" s="24" t="s">
        <v>225</v>
      </c>
    </row>
    <row r="62" spans="1:21" ht="12.75" customHeight="1" x14ac:dyDescent="0.2">
      <c r="A62" s="130" t="s">
        <v>227</v>
      </c>
      <c r="B62" s="25"/>
      <c r="C62" s="26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37"/>
    </row>
    <row r="63" spans="1:21" ht="12.75" customHeight="1" thickBot="1" x14ac:dyDescent="0.25">
      <c r="A63" s="130" t="str">
        <f>'Specified Events'!B38</f>
        <v>Possible requirement for in-waste gas wells, for up to 1.25 ha to be restored</v>
      </c>
      <c r="B63" s="25"/>
      <c r="C63" s="26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79">
        <f>+'Specified Events'!E38</f>
        <v>5055</v>
      </c>
    </row>
    <row r="64" spans="1:21" ht="13.5" thickTop="1" x14ac:dyDescent="0.2">
      <c r="A64" s="130" t="s">
        <v>142</v>
      </c>
      <c r="B64" s="25"/>
      <c r="C64" s="26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37">
        <f>SUM(S60:S63)</f>
        <v>5055</v>
      </c>
    </row>
    <row r="65" spans="1:63" x14ac:dyDescent="0.2">
      <c r="A65" s="130"/>
      <c r="B65" s="25"/>
      <c r="C65" s="26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37"/>
    </row>
    <row r="66" spans="1:63" x14ac:dyDescent="0.2">
      <c r="A66" s="38" t="s">
        <v>73</v>
      </c>
      <c r="B66" s="25"/>
      <c r="C66" s="2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37"/>
    </row>
    <row r="67" spans="1:63" x14ac:dyDescent="0.2">
      <c r="A67" s="130"/>
      <c r="B67" s="25"/>
      <c r="C67" s="2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37"/>
    </row>
    <row r="68" spans="1:63" x14ac:dyDescent="0.2">
      <c r="A68" s="130" t="s">
        <v>171</v>
      </c>
      <c r="B68" s="25"/>
      <c r="C68" s="26"/>
      <c r="D68" s="29"/>
      <c r="E68" s="140">
        <f>'Site Reports'!H5</f>
        <v>2400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168">
        <f>E68</f>
        <v>2400</v>
      </c>
      <c r="U68" s="24" t="s">
        <v>230</v>
      </c>
    </row>
    <row r="69" spans="1:63" x14ac:dyDescent="0.2">
      <c r="A69" s="130" t="s">
        <v>262</v>
      </c>
      <c r="B69" s="25"/>
      <c r="C69" s="26"/>
      <c r="D69" s="29"/>
      <c r="E69" s="140">
        <f>'Site Reports'!H8</f>
        <v>4800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9">
        <f>E69</f>
        <v>4800</v>
      </c>
      <c r="U69" s="24" t="s">
        <v>230</v>
      </c>
    </row>
    <row r="70" spans="1:63" x14ac:dyDescent="0.2">
      <c r="A70" s="130" t="s">
        <v>207</v>
      </c>
      <c r="B70" s="25"/>
      <c r="C70" s="26"/>
      <c r="D70" s="29"/>
      <c r="E70" s="140">
        <f>'Site Reports'!H11</f>
        <v>480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9"/>
      <c r="U70" s="24" t="s">
        <v>230</v>
      </c>
    </row>
    <row r="71" spans="1:63" x14ac:dyDescent="0.2">
      <c r="A71" s="130" t="s">
        <v>242</v>
      </c>
      <c r="B71" s="25"/>
      <c r="C71" s="26"/>
      <c r="D71" s="29"/>
      <c r="E71" s="14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9">
        <f>'Site Reports'!H14</f>
        <v>2400</v>
      </c>
      <c r="U71" s="24" t="s">
        <v>230</v>
      </c>
    </row>
    <row r="72" spans="1:63" x14ac:dyDescent="0.2">
      <c r="A72" s="130" t="s">
        <v>243</v>
      </c>
      <c r="B72" s="25"/>
      <c r="C72" s="26"/>
      <c r="D72" s="133"/>
      <c r="E72" s="133"/>
      <c r="F72" s="133">
        <f>+'Site Reports'!$H$5</f>
        <v>2400</v>
      </c>
      <c r="G72" s="133">
        <f>+'Site Reports'!$H$5</f>
        <v>2400</v>
      </c>
      <c r="H72" s="133">
        <f>+'Site Reports'!$H$5</f>
        <v>2400</v>
      </c>
      <c r="I72" s="133">
        <f>+'Site Reports'!$H$5</f>
        <v>2400</v>
      </c>
      <c r="J72" s="133">
        <f>+'Site Reports'!$H$5</f>
        <v>2400</v>
      </c>
      <c r="K72" s="133">
        <f>+'Site Reports'!$H$5</f>
        <v>2400</v>
      </c>
      <c r="L72" s="133">
        <f>+'Site Reports'!$H$5</f>
        <v>2400</v>
      </c>
      <c r="M72" s="133">
        <f>+'Site Reports'!$H$5</f>
        <v>2400</v>
      </c>
      <c r="N72" s="133">
        <f>+'Site Reports'!$H$5</f>
        <v>2400</v>
      </c>
      <c r="O72" s="133">
        <f>+'Site Reports'!$H$5</f>
        <v>2400</v>
      </c>
      <c r="P72" s="133">
        <f>+'Site Reports'!$H$5</f>
        <v>2400</v>
      </c>
      <c r="Q72" s="133">
        <f>+'Site Reports'!$H$5</f>
        <v>2400</v>
      </c>
      <c r="R72" s="133">
        <f>+'Site Reports'!$H$5</f>
        <v>2400</v>
      </c>
      <c r="S72" s="134">
        <f>'Site Reports'!H17</f>
        <v>7200</v>
      </c>
      <c r="U72" s="24" t="s">
        <v>230</v>
      </c>
    </row>
    <row r="73" spans="1:63" ht="13.5" thickBot="1" x14ac:dyDescent="0.25">
      <c r="A73" s="169"/>
      <c r="B73" s="170"/>
      <c r="C73" s="171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3"/>
    </row>
    <row r="74" spans="1:63" x14ac:dyDescent="0.2">
      <c r="A74" s="26"/>
      <c r="B74" s="25"/>
      <c r="C74" s="26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25"/>
    </row>
    <row r="75" spans="1:63" x14ac:dyDescent="0.2">
      <c r="A75" s="26"/>
      <c r="B75" s="25"/>
      <c r="C75" s="26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25"/>
    </row>
    <row r="76" spans="1:63" x14ac:dyDescent="0.2">
      <c r="A76" s="26"/>
      <c r="B76" s="25"/>
      <c r="C76" s="2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25"/>
    </row>
    <row r="77" spans="1:63" x14ac:dyDescent="0.2">
      <c r="A77" s="26"/>
      <c r="B77" s="25"/>
      <c r="C77" s="2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25"/>
    </row>
    <row r="78" spans="1:63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63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63" s="174" customFormat="1" ht="12.7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</row>
    <row r="81" spans="1:19" ht="12.75" customHeight="1" x14ac:dyDescent="0.2">
      <c r="A81" s="26"/>
      <c r="B81" s="25"/>
      <c r="C81" s="26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140"/>
    </row>
    <row r="84" spans="1:19" x14ac:dyDescent="0.2">
      <c r="A84" s="26"/>
      <c r="B84" s="25"/>
      <c r="C84" s="26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40"/>
    </row>
    <row r="98" spans="1:1" ht="14.25" x14ac:dyDescent="0.2">
      <c r="A98" s="12"/>
    </row>
    <row r="99" spans="1:1" ht="14.25" x14ac:dyDescent="0.2">
      <c r="A99" s="12"/>
    </row>
    <row r="100" spans="1:1" ht="14.25" x14ac:dyDescent="0.2">
      <c r="A100" s="12"/>
    </row>
    <row r="101" spans="1:1" ht="14.25" x14ac:dyDescent="0.2">
      <c r="A101" s="12"/>
    </row>
  </sheetData>
  <mergeCells count="1">
    <mergeCell ref="B1:C1"/>
  </mergeCells>
  <phoneticPr fontId="10" type="noConversion"/>
  <pageMargins left="0.19685039370078741" right="0.19685039370078741" top="0.82677165354330717" bottom="0.43307086614173229" header="0.31496062992125984" footer="0.19685039370078741"/>
  <pageSetup paperSize="8" scale="79" orientation="portrait" horizontalDpi="400" verticalDpi="400" r:id="rId1"/>
  <headerFooter alignWithMargins="0">
    <oddHeader>&amp;F</oddHeader>
    <oddFooter>&amp;R&amp;"Arial,Italic"&amp;8&amp;Z&amp;F&amp;A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H99"/>
  <sheetViews>
    <sheetView view="pageBreakPreview" topLeftCell="A5" zoomScaleNormal="100" workbookViewId="0">
      <selection activeCell="H18" sqref="H18"/>
    </sheetView>
  </sheetViews>
  <sheetFormatPr defaultRowHeight="12.75" x14ac:dyDescent="0.2"/>
  <cols>
    <col min="1" max="1" width="1.42578125" customWidth="1"/>
    <col min="2" max="2" width="12.7109375" customWidth="1"/>
    <col min="4" max="4" width="7.5703125" customWidth="1"/>
    <col min="8" max="8" width="10.28515625" bestFit="1" customWidth="1"/>
  </cols>
  <sheetData>
    <row r="2" spans="2:34" x14ac:dyDescent="0.2">
      <c r="B2" s="4" t="s">
        <v>0</v>
      </c>
    </row>
    <row r="4" spans="2:34" x14ac:dyDescent="0.2">
      <c r="B4" s="47" t="s">
        <v>136</v>
      </c>
      <c r="K4" s="24" t="s">
        <v>214</v>
      </c>
    </row>
    <row r="5" spans="2:34" x14ac:dyDescent="0.2">
      <c r="B5" s="14" t="s">
        <v>91</v>
      </c>
      <c r="E5" t="s">
        <v>90</v>
      </c>
      <c r="H5" s="100">
        <v>0</v>
      </c>
    </row>
    <row r="6" spans="2:34" x14ac:dyDescent="0.2">
      <c r="B6" s="14"/>
      <c r="E6" t="s">
        <v>92</v>
      </c>
      <c r="G6" s="1"/>
      <c r="H6" s="100">
        <v>0</v>
      </c>
      <c r="I6" s="1"/>
      <c r="J6" s="100"/>
      <c r="K6" s="1"/>
      <c r="L6" s="100"/>
      <c r="M6" s="1"/>
      <c r="N6" s="100"/>
      <c r="O6" s="1"/>
      <c r="P6" s="100"/>
      <c r="Q6" s="1"/>
      <c r="R6" s="100"/>
      <c r="S6" s="1"/>
      <c r="T6" s="101"/>
      <c r="U6" s="1"/>
      <c r="V6" s="101"/>
      <c r="W6" s="1"/>
      <c r="X6" s="101"/>
      <c r="Y6" s="1"/>
      <c r="Z6" s="101"/>
      <c r="AA6" s="1"/>
      <c r="AB6" s="101"/>
      <c r="AC6" s="1"/>
      <c r="AD6" s="101"/>
      <c r="AE6" s="1"/>
      <c r="AF6" s="101"/>
      <c r="AG6" s="1"/>
      <c r="AH6" s="101"/>
    </row>
    <row r="7" spans="2:34" x14ac:dyDescent="0.2">
      <c r="B7" s="14"/>
      <c r="G7" s="1"/>
      <c r="H7" s="32"/>
      <c r="I7" s="1"/>
      <c r="J7" s="32"/>
      <c r="K7" s="1"/>
      <c r="L7" s="32"/>
      <c r="M7" s="46"/>
      <c r="N7" s="32"/>
      <c r="O7" s="46"/>
      <c r="P7" s="32"/>
      <c r="Q7" s="1"/>
    </row>
    <row r="8" spans="2:34" x14ac:dyDescent="0.2">
      <c r="B8" s="47" t="s">
        <v>74</v>
      </c>
    </row>
    <row r="9" spans="2:34" x14ac:dyDescent="0.2">
      <c r="B9" s="14" t="s">
        <v>93</v>
      </c>
      <c r="E9" t="s">
        <v>90</v>
      </c>
      <c r="H9" s="100">
        <v>0</v>
      </c>
      <c r="K9" s="24" t="s">
        <v>214</v>
      </c>
    </row>
    <row r="10" spans="2:34" x14ac:dyDescent="0.2">
      <c r="B10" s="14"/>
      <c r="E10" t="s">
        <v>92</v>
      </c>
      <c r="G10" s="1"/>
      <c r="H10" s="100">
        <v>0</v>
      </c>
      <c r="I10" s="1"/>
      <c r="J10" s="100"/>
      <c r="K10" s="1"/>
      <c r="L10" s="100"/>
      <c r="M10" s="1"/>
      <c r="N10" s="100"/>
      <c r="O10" s="1"/>
      <c r="P10" s="100"/>
      <c r="Q10" s="1"/>
      <c r="R10" s="100"/>
      <c r="S10" s="1"/>
      <c r="T10" s="101"/>
      <c r="U10" s="1"/>
      <c r="V10" s="101"/>
      <c r="W10" s="1"/>
      <c r="X10" s="101"/>
      <c r="Y10" s="1"/>
      <c r="Z10" s="101"/>
      <c r="AA10" s="1"/>
      <c r="AB10" s="101"/>
      <c r="AC10" s="1"/>
      <c r="AD10" s="101"/>
      <c r="AE10" s="1"/>
      <c r="AF10" s="101"/>
      <c r="AG10" s="1"/>
      <c r="AH10" s="101"/>
    </row>
    <row r="11" spans="2:34" x14ac:dyDescent="0.2">
      <c r="B11" s="14"/>
      <c r="G11" s="1"/>
      <c r="H11" s="32"/>
      <c r="I11" s="46"/>
      <c r="J11" s="32"/>
      <c r="K11" s="46"/>
      <c r="L11" s="32"/>
      <c r="M11" s="46"/>
      <c r="N11" s="32"/>
      <c r="O11" s="46"/>
      <c r="P11" s="32"/>
      <c r="Q11" s="46"/>
      <c r="R11" s="32"/>
    </row>
    <row r="12" spans="2:34" x14ac:dyDescent="0.2">
      <c r="B12" s="7" t="s">
        <v>94</v>
      </c>
      <c r="K12" s="24" t="s">
        <v>214</v>
      </c>
    </row>
    <row r="13" spans="2:34" x14ac:dyDescent="0.2">
      <c r="B13" s="5" t="s">
        <v>95</v>
      </c>
      <c r="H13" s="121">
        <v>0</v>
      </c>
    </row>
    <row r="14" spans="2:34" x14ac:dyDescent="0.2">
      <c r="B14" s="5" t="s">
        <v>96</v>
      </c>
      <c r="H14" s="105">
        <v>0</v>
      </c>
    </row>
    <row r="15" spans="2:34" x14ac:dyDescent="0.2">
      <c r="B15" s="5"/>
    </row>
    <row r="16" spans="2:34" x14ac:dyDescent="0.2">
      <c r="B16" s="7" t="s">
        <v>76</v>
      </c>
    </row>
    <row r="17" spans="2:34" x14ac:dyDescent="0.2">
      <c r="B17" s="14" t="s">
        <v>163</v>
      </c>
      <c r="H17" s="100">
        <v>2</v>
      </c>
      <c r="K17" s="24" t="s">
        <v>213</v>
      </c>
    </row>
    <row r="18" spans="2:34" x14ac:dyDescent="0.2">
      <c r="B18" s="11" t="s">
        <v>164</v>
      </c>
      <c r="H18" s="105">
        <v>50</v>
      </c>
      <c r="K18" s="24" t="s">
        <v>181</v>
      </c>
    </row>
    <row r="19" spans="2:34" x14ac:dyDescent="0.2">
      <c r="B19" s="5"/>
    </row>
    <row r="20" spans="2:34" x14ac:dyDescent="0.2">
      <c r="B20" s="47" t="s">
        <v>77</v>
      </c>
    </row>
    <row r="21" spans="2:34" x14ac:dyDescent="0.2">
      <c r="B21" s="14" t="s">
        <v>133</v>
      </c>
      <c r="E21" t="s">
        <v>90</v>
      </c>
      <c r="H21" s="100">
        <v>0</v>
      </c>
      <c r="K21" s="24"/>
    </row>
    <row r="22" spans="2:34" x14ac:dyDescent="0.2">
      <c r="B22" s="14"/>
      <c r="E22" t="s">
        <v>92</v>
      </c>
      <c r="G22" s="1"/>
      <c r="H22" s="100">
        <v>0</v>
      </c>
      <c r="I22" s="1"/>
      <c r="J22" s="100"/>
      <c r="K22" s="1"/>
      <c r="L22" s="100"/>
      <c r="M22" s="1"/>
      <c r="N22" s="100"/>
      <c r="O22" s="1"/>
      <c r="P22" s="100"/>
      <c r="Q22" s="1"/>
      <c r="R22" s="100"/>
      <c r="S22" s="1"/>
      <c r="T22" s="101"/>
      <c r="U22" s="1"/>
      <c r="V22" s="101"/>
      <c r="W22" s="1"/>
      <c r="X22" s="101"/>
      <c r="Y22" s="1"/>
      <c r="Z22" s="101"/>
      <c r="AA22" s="1"/>
      <c r="AB22" s="101"/>
      <c r="AC22" s="1"/>
      <c r="AD22" s="101"/>
      <c r="AE22" s="1"/>
      <c r="AF22" s="101"/>
      <c r="AG22" s="1"/>
      <c r="AH22" s="101"/>
    </row>
    <row r="23" spans="2:34" x14ac:dyDescent="0.2">
      <c r="B23" s="14"/>
      <c r="E23" s="24" t="s">
        <v>184</v>
      </c>
      <c r="G23" s="1"/>
      <c r="H23" s="100">
        <v>7</v>
      </c>
      <c r="I23" s="1"/>
      <c r="J23" s="100"/>
      <c r="K23" s="128" t="s">
        <v>238</v>
      </c>
      <c r="L23" s="100"/>
      <c r="M23" s="1"/>
      <c r="N23" s="100"/>
      <c r="O23" s="1"/>
      <c r="P23" s="100"/>
      <c r="Q23" s="1"/>
      <c r="R23" s="100"/>
      <c r="S23" s="1"/>
      <c r="T23" s="101"/>
      <c r="U23" s="1"/>
      <c r="V23" s="101"/>
      <c r="W23" s="1"/>
      <c r="X23" s="101"/>
      <c r="Y23" s="1"/>
      <c r="Z23" s="101"/>
      <c r="AA23" s="1"/>
      <c r="AB23" s="101"/>
      <c r="AC23" s="1"/>
      <c r="AD23" s="101"/>
      <c r="AE23" s="1"/>
      <c r="AF23" s="101"/>
      <c r="AG23" s="1"/>
      <c r="AH23" s="101"/>
    </row>
    <row r="24" spans="2:34" x14ac:dyDescent="0.2">
      <c r="B24" s="14" t="s">
        <v>97</v>
      </c>
      <c r="H24" s="105">
        <f>(Z24*4)/SUM(H21:H23)</f>
        <v>432.28571428571428</v>
      </c>
      <c r="K24" s="24" t="s">
        <v>250</v>
      </c>
      <c r="Z24" s="2">
        <f>50*7+7.5*50+70*0.45</f>
        <v>756.5</v>
      </c>
      <c r="AA24" s="24" t="s">
        <v>185</v>
      </c>
    </row>
    <row r="25" spans="2:34" x14ac:dyDescent="0.2">
      <c r="B25" s="5"/>
    </row>
    <row r="26" spans="2:34" x14ac:dyDescent="0.2">
      <c r="B26" s="7" t="s">
        <v>131</v>
      </c>
    </row>
    <row r="27" spans="2:34" x14ac:dyDescent="0.2">
      <c r="B27" s="11" t="s">
        <v>98</v>
      </c>
      <c r="E27" t="s">
        <v>90</v>
      </c>
      <c r="H27" s="105">
        <v>0</v>
      </c>
      <c r="J27" s="55"/>
      <c r="K27" s="24" t="s">
        <v>183</v>
      </c>
    </row>
    <row r="28" spans="2:34" x14ac:dyDescent="0.2">
      <c r="B28" s="11"/>
      <c r="E28" t="s">
        <v>92</v>
      </c>
      <c r="G28" s="1"/>
      <c r="H28" s="105">
        <v>750</v>
      </c>
      <c r="I28" s="1"/>
      <c r="J28" s="100"/>
      <c r="K28" s="128" t="s">
        <v>182</v>
      </c>
      <c r="L28" s="100"/>
      <c r="M28" s="1"/>
      <c r="N28" s="100"/>
      <c r="O28" s="1"/>
      <c r="P28" s="100"/>
      <c r="Q28" s="1"/>
      <c r="R28" s="100"/>
      <c r="S28" s="1"/>
      <c r="T28" s="101"/>
      <c r="U28" s="1"/>
      <c r="V28" s="101"/>
      <c r="W28" s="1"/>
      <c r="X28" s="101"/>
      <c r="Y28" s="1"/>
      <c r="Z28" s="101"/>
      <c r="AA28" s="1"/>
      <c r="AB28" s="101"/>
      <c r="AC28" s="1"/>
      <c r="AD28" s="101"/>
      <c r="AE28" s="1"/>
      <c r="AF28" s="101"/>
      <c r="AG28" s="1"/>
      <c r="AH28" s="110"/>
    </row>
    <row r="29" spans="2:34" x14ac:dyDescent="0.2">
      <c r="B29" s="5"/>
    </row>
    <row r="30" spans="2:34" x14ac:dyDescent="0.2">
      <c r="B30" s="7" t="s">
        <v>78</v>
      </c>
    </row>
    <row r="31" spans="2:34" x14ac:dyDescent="0.2">
      <c r="B31" s="11" t="s">
        <v>99</v>
      </c>
      <c r="H31" s="100">
        <v>4</v>
      </c>
      <c r="K31" s="24" t="s">
        <v>215</v>
      </c>
    </row>
    <row r="32" spans="2:34" x14ac:dyDescent="0.2">
      <c r="B32" s="11" t="s">
        <v>100</v>
      </c>
      <c r="H32" s="105">
        <f>Z32</f>
        <v>425</v>
      </c>
      <c r="K32" s="24" t="s">
        <v>251</v>
      </c>
      <c r="Z32" s="2">
        <f>50+ 7.5*50</f>
        <v>425</v>
      </c>
      <c r="AA32" s="24" t="s">
        <v>185</v>
      </c>
    </row>
    <row r="33" spans="2:34" x14ac:dyDescent="0.2">
      <c r="B33" s="21"/>
    </row>
    <row r="34" spans="2:34" x14ac:dyDescent="0.2">
      <c r="B34" s="7" t="s">
        <v>101</v>
      </c>
      <c r="H34" s="32"/>
    </row>
    <row r="35" spans="2:34" x14ac:dyDescent="0.2">
      <c r="B35" s="14" t="s">
        <v>102</v>
      </c>
      <c r="E35" t="s">
        <v>90</v>
      </c>
      <c r="H35" s="100">
        <v>0</v>
      </c>
      <c r="K35" s="24" t="s">
        <v>212</v>
      </c>
    </row>
    <row r="36" spans="2:34" x14ac:dyDescent="0.2">
      <c r="B36" s="14"/>
      <c r="E36" t="s">
        <v>92</v>
      </c>
      <c r="G36" s="1"/>
      <c r="H36" s="100">
        <v>0</v>
      </c>
      <c r="I36" s="1"/>
      <c r="J36" s="100"/>
      <c r="K36" s="24" t="s">
        <v>212</v>
      </c>
      <c r="L36" s="100"/>
      <c r="M36" s="1"/>
      <c r="N36" s="100"/>
      <c r="O36" s="1"/>
      <c r="P36" s="100"/>
      <c r="Q36" s="1"/>
      <c r="R36" s="100"/>
      <c r="S36" s="1"/>
      <c r="T36" s="101"/>
      <c r="U36" s="1"/>
      <c r="V36" s="101"/>
      <c r="W36" s="1"/>
      <c r="X36" s="101"/>
      <c r="Y36" s="1"/>
      <c r="Z36" s="101"/>
      <c r="AA36" s="1"/>
      <c r="AB36" s="101"/>
      <c r="AC36" s="1"/>
      <c r="AD36" s="101"/>
      <c r="AE36" s="1"/>
      <c r="AF36" s="101"/>
      <c r="AG36" s="1"/>
      <c r="AH36" s="100"/>
    </row>
    <row r="37" spans="2:34" x14ac:dyDescent="0.2">
      <c r="B37" s="14"/>
      <c r="E37" s="24" t="s">
        <v>184</v>
      </c>
      <c r="G37" s="1"/>
      <c r="H37" s="100">
        <v>0</v>
      </c>
      <c r="I37" s="1"/>
      <c r="J37" s="100"/>
      <c r="K37" s="24" t="s">
        <v>212</v>
      </c>
      <c r="L37" s="100"/>
      <c r="M37" s="1"/>
      <c r="N37" s="100"/>
      <c r="O37" s="1"/>
      <c r="P37" s="100"/>
      <c r="Q37" s="1"/>
      <c r="R37" s="100"/>
      <c r="S37" s="1"/>
      <c r="T37" s="101"/>
      <c r="U37" s="1"/>
      <c r="V37" s="101"/>
      <c r="W37" s="1"/>
      <c r="X37" s="101"/>
      <c r="Y37" s="1"/>
      <c r="Z37" s="101"/>
      <c r="AA37" s="1"/>
      <c r="AB37" s="101"/>
      <c r="AC37" s="1"/>
      <c r="AD37" s="101"/>
      <c r="AE37" s="1"/>
      <c r="AF37" s="101"/>
      <c r="AG37" s="1"/>
      <c r="AH37" s="100"/>
    </row>
    <row r="38" spans="2:34" x14ac:dyDescent="0.2">
      <c r="B38" s="11"/>
    </row>
    <row r="39" spans="2:34" x14ac:dyDescent="0.2">
      <c r="B39" s="14" t="s">
        <v>103</v>
      </c>
      <c r="E39" t="s">
        <v>90</v>
      </c>
      <c r="H39" s="100">
        <v>0</v>
      </c>
      <c r="K39" s="24"/>
    </row>
    <row r="40" spans="2:34" x14ac:dyDescent="0.2">
      <c r="B40" s="14"/>
      <c r="E40" t="s">
        <v>92</v>
      </c>
      <c r="G40" s="1"/>
      <c r="H40" s="100">
        <v>0</v>
      </c>
      <c r="I40" s="1"/>
      <c r="J40" s="100"/>
      <c r="K40" s="178"/>
      <c r="L40" s="100"/>
      <c r="M40" s="1"/>
      <c r="N40" s="100"/>
      <c r="O40" s="1"/>
      <c r="P40" s="100"/>
      <c r="Q40" s="1"/>
      <c r="R40" s="100"/>
      <c r="S40" s="1"/>
      <c r="T40" s="101"/>
      <c r="U40" s="1"/>
      <c r="V40" s="101"/>
      <c r="W40" s="1"/>
      <c r="X40" s="101"/>
      <c r="Y40" s="1"/>
      <c r="Z40" s="101"/>
      <c r="AA40" s="1"/>
      <c r="AB40" s="101"/>
      <c r="AC40" s="1"/>
      <c r="AD40" s="101"/>
      <c r="AE40" s="1"/>
      <c r="AF40" s="101"/>
      <c r="AG40" s="1"/>
      <c r="AH40" s="100"/>
    </row>
    <row r="41" spans="2:34" x14ac:dyDescent="0.2">
      <c r="B41" s="14"/>
      <c r="E41" s="24" t="s">
        <v>184</v>
      </c>
      <c r="G41" s="1"/>
      <c r="H41" s="100">
        <v>7</v>
      </c>
      <c r="I41" s="1"/>
      <c r="J41" s="100"/>
      <c r="K41" t="str">
        <f>K23</f>
        <v>BHL01, BHL02, BHL03, BHL04, BHL05, BHL06, BHL08 which is also in historical landfill</v>
      </c>
      <c r="L41" s="100"/>
      <c r="M41" s="1"/>
      <c r="N41" s="100"/>
      <c r="O41" s="1"/>
      <c r="P41" s="100"/>
      <c r="Q41" s="1"/>
      <c r="R41" s="100"/>
      <c r="S41" s="1"/>
      <c r="T41" s="101"/>
      <c r="U41" s="1"/>
      <c r="V41" s="101"/>
      <c r="W41" s="1"/>
      <c r="X41" s="101"/>
      <c r="Y41" s="1"/>
      <c r="Z41" s="101"/>
      <c r="AA41" s="1"/>
      <c r="AB41" s="101"/>
      <c r="AC41" s="1"/>
      <c r="AD41" s="101"/>
      <c r="AE41" s="1"/>
      <c r="AF41" s="101"/>
      <c r="AG41" s="1"/>
      <c r="AH41" s="100"/>
    </row>
    <row r="43" spans="2:34" x14ac:dyDescent="0.2">
      <c r="B43" s="11" t="s">
        <v>134</v>
      </c>
      <c r="H43" s="102">
        <f>X43</f>
        <v>2527.5</v>
      </c>
      <c r="K43" s="128" t="s">
        <v>256</v>
      </c>
      <c r="X43" s="2">
        <v>2527.5</v>
      </c>
    </row>
    <row r="45" spans="2:34" x14ac:dyDescent="0.2">
      <c r="B45" t="s">
        <v>135</v>
      </c>
      <c r="H45" s="100">
        <v>0</v>
      </c>
    </row>
    <row r="47" spans="2:34" x14ac:dyDescent="0.2">
      <c r="B47" s="120"/>
    </row>
    <row r="48" spans="2:34" x14ac:dyDescent="0.2">
      <c r="B48" s="9"/>
    </row>
    <row r="49" spans="2:2" x14ac:dyDescent="0.2">
      <c r="B49" s="13"/>
    </row>
    <row r="52" spans="2:2" x14ac:dyDescent="0.2">
      <c r="B52" s="8"/>
    </row>
    <row r="53" spans="2:2" x14ac:dyDescent="0.2">
      <c r="B53" s="13"/>
    </row>
    <row r="63" spans="2:2" x14ac:dyDescent="0.2">
      <c r="B63" s="9"/>
    </row>
    <row r="73" spans="2:2" x14ac:dyDescent="0.2">
      <c r="B73" s="9"/>
    </row>
    <row r="79" spans="2:2" x14ac:dyDescent="0.2">
      <c r="B79" s="10"/>
    </row>
    <row r="83" spans="2:2" x14ac:dyDescent="0.2">
      <c r="B83" s="11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</sheetData>
  <phoneticPr fontId="10" type="noConversion"/>
  <pageMargins left="0.2" right="0.21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I22"/>
  <sheetViews>
    <sheetView view="pageBreakPreview" zoomScaleNormal="100" workbookViewId="0">
      <selection activeCell="P6" sqref="P6"/>
    </sheetView>
  </sheetViews>
  <sheetFormatPr defaultRowHeight="12.75" x14ac:dyDescent="0.2"/>
  <cols>
    <col min="1" max="1" width="3" customWidth="1"/>
    <col min="8" max="8" width="10.28515625" bestFit="1" customWidth="1"/>
    <col min="11" max="11" width="10.28515625" bestFit="1" customWidth="1"/>
    <col min="13" max="13" width="10.28515625" bestFit="1" customWidth="1"/>
    <col min="15" max="15" width="10.28515625" bestFit="1" customWidth="1"/>
    <col min="17" max="17" width="10.28515625" bestFit="1" customWidth="1"/>
    <col min="19" max="19" width="10.28515625" bestFit="1" customWidth="1"/>
    <col min="21" max="21" width="10.28515625" bestFit="1" customWidth="1"/>
    <col min="23" max="23" width="10.28515625" bestFit="1" customWidth="1"/>
    <col min="25" max="25" width="10.28515625" bestFit="1" customWidth="1"/>
    <col min="27" max="27" width="10.28515625" bestFit="1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</cols>
  <sheetData>
    <row r="2" spans="2:35" x14ac:dyDescent="0.2">
      <c r="B2" s="7" t="s">
        <v>1</v>
      </c>
    </row>
    <row r="3" spans="2:35" x14ac:dyDescent="0.2">
      <c r="B3" s="5" t="s">
        <v>104</v>
      </c>
    </row>
    <row r="4" spans="2:35" x14ac:dyDescent="0.2">
      <c r="B4" s="5"/>
      <c r="E4" t="s">
        <v>90</v>
      </c>
      <c r="H4" s="103">
        <v>0</v>
      </c>
    </row>
    <row r="5" spans="2:35" x14ac:dyDescent="0.2">
      <c r="E5" t="s">
        <v>92</v>
      </c>
      <c r="G5" s="1"/>
      <c r="H5" s="100">
        <v>15000</v>
      </c>
      <c r="I5" s="1"/>
      <c r="J5" s="1"/>
      <c r="K5" s="180" t="s">
        <v>231</v>
      </c>
      <c r="L5" s="1"/>
      <c r="M5" s="100"/>
      <c r="N5" s="1"/>
      <c r="O5" s="100" t="s">
        <v>174</v>
      </c>
      <c r="P5" s="1">
        <v>1500</v>
      </c>
      <c r="Q5" s="100"/>
      <c r="R5" s="1"/>
      <c r="S5" s="100"/>
      <c r="T5" s="1"/>
      <c r="U5" s="101"/>
      <c r="V5" s="1"/>
      <c r="W5" s="101"/>
      <c r="X5" s="1"/>
      <c r="Y5" s="101"/>
      <c r="Z5" s="1"/>
      <c r="AA5" s="101"/>
      <c r="AB5" s="1"/>
      <c r="AC5" s="101"/>
      <c r="AD5" s="1"/>
      <c r="AE5" s="101"/>
      <c r="AF5" s="1"/>
      <c r="AG5" s="101"/>
      <c r="AH5" s="1"/>
      <c r="AI5" s="103"/>
    </row>
    <row r="6" spans="2:35" x14ac:dyDescent="0.2">
      <c r="K6" s="24" t="s">
        <v>232</v>
      </c>
    </row>
    <row r="7" spans="2:35" x14ac:dyDescent="0.2">
      <c r="B7" s="5" t="s">
        <v>49</v>
      </c>
    </row>
    <row r="8" spans="2:35" x14ac:dyDescent="0.2">
      <c r="B8" s="11" t="s">
        <v>105</v>
      </c>
      <c r="G8" t="s">
        <v>161</v>
      </c>
      <c r="H8" s="110">
        <v>0</v>
      </c>
      <c r="K8" s="24" t="s">
        <v>161</v>
      </c>
    </row>
    <row r="9" spans="2:35" x14ac:dyDescent="0.2">
      <c r="H9" s="2"/>
    </row>
    <row r="10" spans="2:35" x14ac:dyDescent="0.2">
      <c r="B10" s="5" t="s">
        <v>79</v>
      </c>
      <c r="H10" s="2"/>
    </row>
    <row r="11" spans="2:35" x14ac:dyDescent="0.2">
      <c r="B11" s="11" t="s">
        <v>105</v>
      </c>
      <c r="H11" s="110">
        <v>0</v>
      </c>
      <c r="K11" s="24" t="s">
        <v>187</v>
      </c>
    </row>
    <row r="12" spans="2:35" x14ac:dyDescent="0.2">
      <c r="B12" s="5"/>
      <c r="H12" s="2"/>
    </row>
    <row r="13" spans="2:35" x14ac:dyDescent="0.2">
      <c r="B13" s="5" t="s">
        <v>80</v>
      </c>
      <c r="H13" s="2"/>
    </row>
    <row r="14" spans="2:35" x14ac:dyDescent="0.2">
      <c r="B14" s="11" t="s">
        <v>179</v>
      </c>
      <c r="H14" s="106">
        <f>P22</f>
        <v>0.2</v>
      </c>
      <c r="K14" t="s">
        <v>172</v>
      </c>
      <c r="O14" t="s">
        <v>173</v>
      </c>
      <c r="P14">
        <v>3.5</v>
      </c>
    </row>
    <row r="15" spans="2:35" x14ac:dyDescent="0.2">
      <c r="B15" s="5"/>
      <c r="O15" t="s">
        <v>175</v>
      </c>
      <c r="P15">
        <f>P5/P14</f>
        <v>428.57142857142856</v>
      </c>
    </row>
    <row r="16" spans="2:35" x14ac:dyDescent="0.2">
      <c r="H16" s="32"/>
      <c r="O16" t="s">
        <v>176</v>
      </c>
      <c r="P16">
        <f>P15/1000</f>
        <v>0.42857142857142855</v>
      </c>
    </row>
    <row r="17" spans="2:17" x14ac:dyDescent="0.2">
      <c r="B17" s="118"/>
      <c r="H17" s="32"/>
      <c r="K17" t="s">
        <v>177</v>
      </c>
      <c r="O17" t="s">
        <v>178</v>
      </c>
      <c r="P17" s="125">
        <v>131</v>
      </c>
    </row>
    <row r="18" spans="2:17" ht="13.5" thickBot="1" x14ac:dyDescent="0.25">
      <c r="B18" s="118"/>
      <c r="K18" s="19" t="s">
        <v>180</v>
      </c>
      <c r="P18" s="126">
        <v>5.99</v>
      </c>
    </row>
    <row r="19" spans="2:17" ht="13.5" thickTop="1" x14ac:dyDescent="0.2">
      <c r="B19" s="118"/>
      <c r="P19" s="125">
        <f>SUM(P17:P18)</f>
        <v>136.99</v>
      </c>
    </row>
    <row r="20" spans="2:17" x14ac:dyDescent="0.2">
      <c r="B20" s="118"/>
      <c r="K20" s="24" t="s">
        <v>188</v>
      </c>
      <c r="P20" s="125">
        <f>P19/P5</f>
        <v>9.1326666666666667E-2</v>
      </c>
    </row>
    <row r="22" spans="2:17" x14ac:dyDescent="0.2">
      <c r="K22" s="24" t="s">
        <v>201</v>
      </c>
      <c r="P22" s="125">
        <v>0.2</v>
      </c>
      <c r="Q22" s="24" t="s">
        <v>233</v>
      </c>
    </row>
  </sheetData>
  <phoneticPr fontId="1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AH21"/>
  <sheetViews>
    <sheetView view="pageBreakPreview" zoomScaleNormal="100" workbookViewId="0">
      <selection activeCell="K2" sqref="K2"/>
    </sheetView>
  </sheetViews>
  <sheetFormatPr defaultRowHeight="12.75" x14ac:dyDescent="0.2"/>
  <cols>
    <col min="1" max="1" width="2.85546875" customWidth="1"/>
    <col min="8" max="8" width="12" bestFit="1" customWidth="1"/>
    <col min="10" max="10" width="10.42578125" bestFit="1" customWidth="1"/>
    <col min="12" max="12" width="10.42578125" bestFit="1" customWidth="1"/>
    <col min="14" max="14" width="11.42578125" bestFit="1" customWidth="1"/>
    <col min="16" max="16" width="11.28515625" bestFit="1" customWidth="1"/>
  </cols>
  <sheetData>
    <row r="2" spans="2:34" x14ac:dyDescent="0.2">
      <c r="B2" s="7" t="s">
        <v>51</v>
      </c>
      <c r="K2" s="24" t="s">
        <v>189</v>
      </c>
    </row>
    <row r="3" spans="2:34" x14ac:dyDescent="0.2">
      <c r="B3" s="7"/>
    </row>
    <row r="4" spans="2:34" x14ac:dyDescent="0.2">
      <c r="B4" s="11" t="s">
        <v>106</v>
      </c>
      <c r="E4" t="s">
        <v>90</v>
      </c>
      <c r="H4" s="103">
        <v>0</v>
      </c>
    </row>
    <row r="5" spans="2:34" x14ac:dyDescent="0.2">
      <c r="B5" s="11"/>
      <c r="E5" t="s">
        <v>92</v>
      </c>
      <c r="G5" s="1">
        <v>1</v>
      </c>
      <c r="H5" s="32">
        <v>0</v>
      </c>
      <c r="I5" s="1"/>
      <c r="J5" s="100"/>
      <c r="K5" s="1"/>
      <c r="L5" s="100"/>
      <c r="M5" s="1"/>
      <c r="N5" s="100"/>
      <c r="O5" s="1"/>
      <c r="P5" s="100"/>
      <c r="Q5" s="1"/>
      <c r="R5" s="100"/>
      <c r="S5" s="1"/>
      <c r="T5" s="101"/>
      <c r="U5" s="1"/>
      <c r="V5" s="101"/>
      <c r="W5" s="1"/>
      <c r="X5" s="101"/>
      <c r="Y5" s="1"/>
      <c r="Z5" s="101"/>
      <c r="AA5" s="1"/>
      <c r="AB5" s="101"/>
      <c r="AC5" s="1"/>
      <c r="AD5" s="101"/>
      <c r="AE5" s="1"/>
      <c r="AF5" s="101"/>
      <c r="AG5" s="1"/>
      <c r="AH5" s="103"/>
    </row>
    <row r="6" spans="2:34" x14ac:dyDescent="0.2">
      <c r="B6" s="5"/>
    </row>
    <row r="7" spans="2:34" x14ac:dyDescent="0.2">
      <c r="B7" s="5" t="s">
        <v>81</v>
      </c>
    </row>
    <row r="8" spans="2:34" x14ac:dyDescent="0.2">
      <c r="B8" s="5" t="s">
        <v>107</v>
      </c>
      <c r="H8" s="104">
        <v>300</v>
      </c>
    </row>
    <row r="9" spans="2:34" x14ac:dyDescent="0.2">
      <c r="B9" s="5"/>
    </row>
    <row r="10" spans="2:34" x14ac:dyDescent="0.2">
      <c r="B10" s="23" t="s">
        <v>82</v>
      </c>
    </row>
    <row r="11" spans="2:34" x14ac:dyDescent="0.2">
      <c r="B11" s="5" t="s">
        <v>132</v>
      </c>
      <c r="H11" s="110">
        <v>0</v>
      </c>
    </row>
    <row r="12" spans="2:34" x14ac:dyDescent="0.2">
      <c r="B12" s="44"/>
    </row>
    <row r="13" spans="2:34" x14ac:dyDescent="0.2">
      <c r="B13" s="11" t="s">
        <v>83</v>
      </c>
    </row>
    <row r="14" spans="2:34" x14ac:dyDescent="0.2">
      <c r="B14" s="11" t="s">
        <v>111</v>
      </c>
      <c r="H14" s="100">
        <v>0</v>
      </c>
    </row>
    <row r="15" spans="2:34" x14ac:dyDescent="0.2">
      <c r="B15" s="11" t="s">
        <v>108</v>
      </c>
      <c r="H15" s="105">
        <v>0</v>
      </c>
    </row>
    <row r="16" spans="2:34" x14ac:dyDescent="0.2">
      <c r="B16" s="13"/>
    </row>
    <row r="17" spans="2:8" x14ac:dyDescent="0.2">
      <c r="B17" s="11" t="s">
        <v>109</v>
      </c>
    </row>
    <row r="18" spans="2:8" x14ac:dyDescent="0.2">
      <c r="B18" s="11" t="s">
        <v>110</v>
      </c>
      <c r="H18" s="105">
        <v>0</v>
      </c>
    </row>
    <row r="19" spans="2:8" x14ac:dyDescent="0.2">
      <c r="B19" s="9"/>
    </row>
    <row r="20" spans="2:8" x14ac:dyDescent="0.2">
      <c r="B20" s="119"/>
    </row>
    <row r="21" spans="2:8" x14ac:dyDescent="0.2">
      <c r="B21" t="s">
        <v>162</v>
      </c>
    </row>
  </sheetData>
  <phoneticPr fontId="1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AH25"/>
  <sheetViews>
    <sheetView view="pageBreakPreview" topLeftCell="B1" zoomScaleNormal="100" workbookViewId="0">
      <selection activeCell="J15" sqref="J15"/>
    </sheetView>
  </sheetViews>
  <sheetFormatPr defaultRowHeight="12.75" x14ac:dyDescent="0.2"/>
  <cols>
    <col min="1" max="1" width="2.7109375" customWidth="1"/>
    <col min="7" max="7" width="9.7109375" customWidth="1"/>
    <col min="10" max="10" width="12.28515625" bestFit="1" customWidth="1"/>
  </cols>
  <sheetData>
    <row r="2" spans="2:34" x14ac:dyDescent="0.2">
      <c r="B2" s="7" t="s">
        <v>58</v>
      </c>
    </row>
    <row r="3" spans="2:34" x14ac:dyDescent="0.2">
      <c r="B3" s="7"/>
    </row>
    <row r="4" spans="2:34" x14ac:dyDescent="0.2">
      <c r="B4" s="11" t="s">
        <v>112</v>
      </c>
      <c r="L4" s="24" t="s">
        <v>189</v>
      </c>
    </row>
    <row r="5" spans="2:34" x14ac:dyDescent="0.2">
      <c r="B5" s="11"/>
      <c r="E5" t="s">
        <v>90</v>
      </c>
      <c r="H5" s="100">
        <v>0</v>
      </c>
    </row>
    <row r="6" spans="2:34" x14ac:dyDescent="0.2">
      <c r="E6" t="s">
        <v>92</v>
      </c>
      <c r="G6" s="1"/>
      <c r="H6" s="100">
        <v>0</v>
      </c>
      <c r="I6" s="1"/>
      <c r="J6" s="100">
        <v>0</v>
      </c>
      <c r="K6" s="1"/>
      <c r="L6" s="100"/>
      <c r="M6" s="1"/>
      <c r="N6" s="100"/>
      <c r="O6" s="1"/>
      <c r="P6" s="100"/>
      <c r="Q6" s="1"/>
      <c r="R6" s="100"/>
      <c r="S6" s="1"/>
      <c r="T6" s="101"/>
      <c r="U6" s="1"/>
      <c r="V6" s="101"/>
      <c r="W6" s="46"/>
      <c r="X6" s="101"/>
      <c r="Y6" s="1"/>
      <c r="Z6" s="101"/>
      <c r="AA6" s="1"/>
      <c r="AB6" s="101"/>
      <c r="AC6" s="1"/>
      <c r="AD6" s="101"/>
      <c r="AE6" s="1"/>
      <c r="AF6" s="101"/>
      <c r="AG6" s="1"/>
      <c r="AH6" s="100"/>
    </row>
    <row r="8" spans="2:34" x14ac:dyDescent="0.2">
      <c r="B8" s="26" t="s">
        <v>203</v>
      </c>
    </row>
    <row r="9" spans="2:34" x14ac:dyDescent="0.2">
      <c r="B9" s="26" t="s">
        <v>204</v>
      </c>
    </row>
    <row r="10" spans="2:34" x14ac:dyDescent="0.2">
      <c r="B10" s="11"/>
      <c r="E10" t="s">
        <v>90</v>
      </c>
      <c r="H10" s="100"/>
    </row>
    <row r="11" spans="2:34" x14ac:dyDescent="0.2">
      <c r="E11" t="s">
        <v>92</v>
      </c>
      <c r="G11" s="1"/>
      <c r="H11" s="100">
        <v>0</v>
      </c>
      <c r="I11" s="1"/>
      <c r="J11" s="32"/>
      <c r="K11" s="1"/>
      <c r="L11" s="100"/>
      <c r="M11" s="1"/>
      <c r="N11" s="100"/>
      <c r="O11" s="1"/>
      <c r="P11" s="100"/>
      <c r="Q11" s="1"/>
      <c r="R11" s="100"/>
      <c r="S11" s="1"/>
      <c r="T11" s="101"/>
      <c r="U11" s="1"/>
      <c r="V11" s="101"/>
      <c r="W11" s="1"/>
      <c r="X11" s="101"/>
      <c r="Y11" s="1"/>
      <c r="Z11" s="101"/>
      <c r="AA11" s="1"/>
      <c r="AB11" s="101"/>
      <c r="AC11" s="1"/>
      <c r="AD11" s="101"/>
      <c r="AE11" s="1"/>
      <c r="AF11" s="101"/>
      <c r="AG11" s="1"/>
      <c r="AH11" s="100"/>
    </row>
    <row r="12" spans="2:34" x14ac:dyDescent="0.2">
      <c r="E12" s="24" t="s">
        <v>205</v>
      </c>
      <c r="G12" s="1"/>
      <c r="H12" s="100"/>
      <c r="I12" s="1"/>
      <c r="J12" s="100"/>
      <c r="K12" s="1"/>
      <c r="L12" s="100"/>
      <c r="M12" s="1"/>
      <c r="N12" s="100"/>
      <c r="O12" s="1"/>
      <c r="P12" s="100"/>
      <c r="Q12" s="1"/>
      <c r="R12" s="100"/>
      <c r="S12" s="1"/>
      <c r="T12" s="101"/>
      <c r="U12" s="1"/>
      <c r="V12" s="101"/>
      <c r="W12" s="1"/>
      <c r="X12" s="101"/>
      <c r="Y12" s="1"/>
      <c r="Z12" s="101"/>
      <c r="AA12" s="1"/>
      <c r="AB12" s="101"/>
      <c r="AC12" s="1"/>
      <c r="AD12" s="101"/>
      <c r="AE12" s="1"/>
      <c r="AF12" s="101"/>
      <c r="AG12" s="1"/>
      <c r="AH12" s="100"/>
    </row>
    <row r="13" spans="2:34" x14ac:dyDescent="0.2">
      <c r="B13" s="11"/>
    </row>
    <row r="14" spans="2:34" x14ac:dyDescent="0.2">
      <c r="B14" s="11" t="s">
        <v>59</v>
      </c>
    </row>
    <row r="15" spans="2:34" x14ac:dyDescent="0.2">
      <c r="B15" s="11" t="s">
        <v>137</v>
      </c>
      <c r="J15" s="106"/>
      <c r="L15" s="128"/>
    </row>
    <row r="16" spans="2:34" x14ac:dyDescent="0.2">
      <c r="B16" s="11" t="s">
        <v>138</v>
      </c>
      <c r="J16" s="107"/>
    </row>
    <row r="17" spans="2:12" x14ac:dyDescent="0.2">
      <c r="B17" s="11" t="s">
        <v>139</v>
      </c>
      <c r="J17" s="108">
        <f>+J15*J16</f>
        <v>0</v>
      </c>
    </row>
    <row r="18" spans="2:12" x14ac:dyDescent="0.2">
      <c r="J18" s="2"/>
    </row>
    <row r="19" spans="2:12" x14ac:dyDescent="0.2">
      <c r="B19" s="11" t="s">
        <v>84</v>
      </c>
      <c r="J19" s="2"/>
      <c r="L19" s="24"/>
    </row>
    <row r="20" spans="2:12" x14ac:dyDescent="0.2">
      <c r="B20" t="s">
        <v>113</v>
      </c>
      <c r="J20" s="106">
        <v>0</v>
      </c>
    </row>
    <row r="21" spans="2:12" x14ac:dyDescent="0.2">
      <c r="B21" t="s">
        <v>114</v>
      </c>
      <c r="J21" s="109">
        <v>0</v>
      </c>
    </row>
    <row r="23" spans="2:12" x14ac:dyDescent="0.2">
      <c r="B23" s="118"/>
    </row>
    <row r="24" spans="2:12" x14ac:dyDescent="0.2">
      <c r="B24" s="118"/>
    </row>
    <row r="25" spans="2:12" x14ac:dyDescent="0.2">
      <c r="B25" s="118"/>
    </row>
  </sheetData>
  <phoneticPr fontId="1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R15"/>
  <sheetViews>
    <sheetView view="pageBreakPreview" zoomScale="150" zoomScaleNormal="100" workbookViewId="0">
      <selection activeCell="J11" sqref="J11"/>
    </sheetView>
  </sheetViews>
  <sheetFormatPr defaultRowHeight="12.75" x14ac:dyDescent="0.2"/>
  <cols>
    <col min="8" max="8" width="9.28515625" bestFit="1" customWidth="1"/>
    <col min="10" max="10" width="9.28515625" bestFit="1" customWidth="1"/>
    <col min="12" max="12" width="9.28515625" bestFit="1" customWidth="1"/>
    <col min="14" max="14" width="9.28515625" bestFit="1" customWidth="1"/>
    <col min="16" max="16" width="9.28515625" bestFit="1" customWidth="1"/>
  </cols>
  <sheetData>
    <row r="2" spans="2:18" x14ac:dyDescent="0.2">
      <c r="B2" s="7" t="s">
        <v>6</v>
      </c>
    </row>
    <row r="3" spans="2:18" x14ac:dyDescent="0.2">
      <c r="B3" s="7"/>
    </row>
    <row r="4" spans="2:18" x14ac:dyDescent="0.2">
      <c r="B4" s="28" t="s">
        <v>85</v>
      </c>
    </row>
    <row r="5" spans="2:18" x14ac:dyDescent="0.2">
      <c r="B5" s="28" t="s">
        <v>115</v>
      </c>
      <c r="H5" s="57"/>
      <c r="I5" s="57"/>
      <c r="J5" s="103">
        <v>1060</v>
      </c>
      <c r="K5" s="57"/>
      <c r="L5" s="129" t="s">
        <v>194</v>
      </c>
      <c r="M5" s="57"/>
      <c r="N5" s="57"/>
      <c r="O5" s="57"/>
      <c r="P5" s="57"/>
      <c r="Q5" s="57"/>
      <c r="R5" s="57"/>
    </row>
    <row r="6" spans="2:18" x14ac:dyDescent="0.2">
      <c r="E6" s="24" t="s">
        <v>249</v>
      </c>
      <c r="I6" s="57"/>
      <c r="J6" s="103">
        <v>0</v>
      </c>
      <c r="K6" s="57"/>
      <c r="L6" s="129" t="s">
        <v>248</v>
      </c>
      <c r="M6" s="57"/>
      <c r="N6" s="57"/>
      <c r="O6" s="57"/>
      <c r="P6" s="57"/>
      <c r="Q6" s="57"/>
      <c r="R6" s="57"/>
    </row>
    <row r="8" spans="2:18" x14ac:dyDescent="0.2">
      <c r="B8" s="26" t="s">
        <v>195</v>
      </c>
    </row>
    <row r="9" spans="2:18" x14ac:dyDescent="0.2">
      <c r="B9" s="28" t="s">
        <v>196</v>
      </c>
      <c r="J9" s="109">
        <v>4</v>
      </c>
    </row>
    <row r="10" spans="2:18" x14ac:dyDescent="0.2">
      <c r="B10" s="28" t="s">
        <v>197</v>
      </c>
      <c r="J10" s="109">
        <v>0.5</v>
      </c>
    </row>
    <row r="11" spans="2:18" x14ac:dyDescent="0.2">
      <c r="B11" s="28" t="s">
        <v>198</v>
      </c>
      <c r="J11" s="110">
        <v>200</v>
      </c>
      <c r="L11" s="24" t="s">
        <v>216</v>
      </c>
    </row>
    <row r="12" spans="2:18" x14ac:dyDescent="0.2">
      <c r="B12" s="28"/>
      <c r="J12" s="108"/>
      <c r="L12" s="24"/>
    </row>
    <row r="13" spans="2:18" x14ac:dyDescent="0.2">
      <c r="B13" s="28" t="s">
        <v>199</v>
      </c>
      <c r="J13" s="110">
        <v>750</v>
      </c>
      <c r="L13" s="24" t="s">
        <v>217</v>
      </c>
    </row>
    <row r="14" spans="2:18" x14ac:dyDescent="0.2">
      <c r="B14" s="5"/>
    </row>
    <row r="15" spans="2:18" x14ac:dyDescent="0.2">
      <c r="B15" s="120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15"/>
  <sheetViews>
    <sheetView view="pageBreakPreview" zoomScale="150" zoomScaleNormal="100" workbookViewId="0">
      <selection activeCell="H12" sqref="H12"/>
    </sheetView>
  </sheetViews>
  <sheetFormatPr defaultRowHeight="12.75" x14ac:dyDescent="0.2"/>
  <cols>
    <col min="8" max="8" width="9.28515625" bestFit="1" customWidth="1"/>
  </cols>
  <sheetData>
    <row r="2" spans="2:11" x14ac:dyDescent="0.2">
      <c r="B2" s="7" t="s">
        <v>42</v>
      </c>
    </row>
    <row r="3" spans="2:11" x14ac:dyDescent="0.2">
      <c r="B3" s="7"/>
    </row>
    <row r="4" spans="2:11" x14ac:dyDescent="0.2">
      <c r="B4" s="26" t="s">
        <v>224</v>
      </c>
    </row>
    <row r="5" spans="2:11" x14ac:dyDescent="0.2">
      <c r="H5" s="32"/>
    </row>
    <row r="6" spans="2:11" x14ac:dyDescent="0.2">
      <c r="B6" s="24" t="s">
        <v>218</v>
      </c>
      <c r="H6" s="103">
        <v>1938</v>
      </c>
      <c r="K6" s="24"/>
    </row>
    <row r="7" spans="2:11" x14ac:dyDescent="0.2">
      <c r="B7" s="24" t="s">
        <v>219</v>
      </c>
      <c r="H7" s="103">
        <v>2</v>
      </c>
    </row>
    <row r="8" spans="2:11" x14ac:dyDescent="0.2">
      <c r="B8" s="24" t="s">
        <v>220</v>
      </c>
      <c r="H8" s="103">
        <v>1900</v>
      </c>
      <c r="K8" s="24" t="s">
        <v>221</v>
      </c>
    </row>
    <row r="10" spans="2:11" x14ac:dyDescent="0.2">
      <c r="B10" s="24" t="s">
        <v>222</v>
      </c>
      <c r="H10" s="110">
        <v>800</v>
      </c>
      <c r="K10" s="24" t="s">
        <v>234</v>
      </c>
    </row>
    <row r="13" spans="2:11" x14ac:dyDescent="0.2">
      <c r="B13" s="118"/>
    </row>
    <row r="14" spans="2:11" x14ac:dyDescent="0.2">
      <c r="B14" s="118"/>
    </row>
    <row r="15" spans="2:11" x14ac:dyDescent="0.2">
      <c r="B15" s="118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S40"/>
  <sheetViews>
    <sheetView view="pageBreakPreview" zoomScaleNormal="100" workbookViewId="0">
      <selection activeCell="B39" sqref="B39"/>
    </sheetView>
  </sheetViews>
  <sheetFormatPr defaultRowHeight="12.75" x14ac:dyDescent="0.2"/>
  <cols>
    <col min="2" max="2" width="54.42578125" bestFit="1" customWidth="1"/>
    <col min="3" max="3" width="10.42578125" bestFit="1" customWidth="1"/>
    <col min="5" max="5" width="11.5703125" bestFit="1" customWidth="1"/>
  </cols>
  <sheetData>
    <row r="1" spans="2:11" x14ac:dyDescent="0.2">
      <c r="B1" s="7" t="s">
        <v>44</v>
      </c>
    </row>
    <row r="2" spans="2:11" x14ac:dyDescent="0.2">
      <c r="B2" s="7"/>
    </row>
    <row r="3" spans="2:11" x14ac:dyDescent="0.2">
      <c r="B3" s="7" t="s">
        <v>87</v>
      </c>
      <c r="G3" s="24" t="s">
        <v>193</v>
      </c>
    </row>
    <row r="4" spans="2:11" x14ac:dyDescent="0.2">
      <c r="B4" s="7"/>
    </row>
    <row r="5" spans="2:11" x14ac:dyDescent="0.2">
      <c r="B5" s="53" t="s">
        <v>118</v>
      </c>
      <c r="C5" s="49"/>
      <c r="D5" s="49"/>
    </row>
    <row r="6" spans="2:11" x14ac:dyDescent="0.2">
      <c r="B6" s="51" t="s">
        <v>116</v>
      </c>
      <c r="C6" s="51"/>
      <c r="D6" s="51"/>
      <c r="E6" s="111">
        <v>0</v>
      </c>
      <c r="F6" s="49"/>
      <c r="G6" s="49"/>
      <c r="H6" s="49"/>
      <c r="I6" s="50"/>
      <c r="J6" s="52"/>
      <c r="K6" s="52"/>
    </row>
    <row r="7" spans="2:11" x14ac:dyDescent="0.2">
      <c r="B7" s="51" t="s">
        <v>117</v>
      </c>
      <c r="C7" s="51"/>
      <c r="D7" s="51"/>
      <c r="E7" s="122">
        <v>0</v>
      </c>
      <c r="F7" s="49"/>
      <c r="G7" s="49"/>
      <c r="H7" s="49"/>
      <c r="I7" s="50"/>
      <c r="J7" s="52"/>
      <c r="K7" s="52"/>
    </row>
    <row r="8" spans="2:11" x14ac:dyDescent="0.2">
      <c r="B8" s="51"/>
      <c r="C8" s="51"/>
      <c r="D8" s="51"/>
      <c r="E8" s="49"/>
      <c r="F8" s="49"/>
      <c r="G8" s="49"/>
      <c r="H8" s="49"/>
      <c r="I8" s="50"/>
      <c r="J8" s="52"/>
      <c r="K8" s="52"/>
    </row>
    <row r="9" spans="2:11" ht="12.75" customHeight="1" x14ac:dyDescent="0.2">
      <c r="B9" s="48" t="s">
        <v>120</v>
      </c>
      <c r="C9" s="48"/>
      <c r="D9" s="48"/>
      <c r="I9" s="22"/>
      <c r="J9" s="32"/>
      <c r="K9" s="32"/>
    </row>
    <row r="10" spans="2:11" x14ac:dyDescent="0.2">
      <c r="B10" s="51" t="s">
        <v>119</v>
      </c>
      <c r="C10" s="48"/>
      <c r="D10" s="48"/>
      <c r="E10" s="100">
        <v>0</v>
      </c>
      <c r="I10" s="22"/>
      <c r="J10" s="32"/>
      <c r="K10" s="32"/>
    </row>
    <row r="11" spans="2:11" x14ac:dyDescent="0.2">
      <c r="B11" s="51" t="s">
        <v>117</v>
      </c>
      <c r="C11" s="48"/>
      <c r="D11" s="48"/>
      <c r="E11" s="122">
        <v>0</v>
      </c>
      <c r="I11" s="22"/>
      <c r="J11" s="32"/>
      <c r="K11" s="32"/>
    </row>
    <row r="12" spans="2:11" x14ac:dyDescent="0.2">
      <c r="B12" s="48"/>
      <c r="C12" s="48"/>
      <c r="D12" s="48"/>
      <c r="I12" s="22"/>
      <c r="J12" s="32"/>
      <c r="K12" s="32"/>
    </row>
    <row r="13" spans="2:11" ht="12.75" customHeight="1" x14ac:dyDescent="0.2">
      <c r="B13" s="48" t="s">
        <v>123</v>
      </c>
      <c r="C13" s="48"/>
      <c r="D13" s="48"/>
      <c r="I13" s="22"/>
      <c r="J13" s="32"/>
      <c r="K13" s="32"/>
    </row>
    <row r="14" spans="2:11" x14ac:dyDescent="0.2">
      <c r="B14" s="51" t="s">
        <v>121</v>
      </c>
      <c r="C14" s="49"/>
      <c r="D14" s="49"/>
      <c r="E14" s="100">
        <v>0</v>
      </c>
      <c r="G14" s="24"/>
      <c r="I14" s="22"/>
      <c r="J14" s="32"/>
      <c r="K14" s="32"/>
    </row>
    <row r="15" spans="2:11" x14ac:dyDescent="0.2">
      <c r="B15" s="51" t="s">
        <v>122</v>
      </c>
      <c r="C15" s="49"/>
      <c r="D15" s="49"/>
      <c r="E15" s="110"/>
      <c r="I15" s="22"/>
      <c r="J15" s="32"/>
      <c r="K15" s="32"/>
    </row>
    <row r="16" spans="2:11" x14ac:dyDescent="0.2">
      <c r="B16" s="49"/>
      <c r="C16" s="49"/>
      <c r="D16" s="49"/>
      <c r="J16" s="32"/>
    </row>
    <row r="17" spans="2:11" x14ac:dyDescent="0.2">
      <c r="B17" s="48" t="s">
        <v>124</v>
      </c>
      <c r="C17" s="49"/>
      <c r="D17" s="49"/>
      <c r="J17" s="184"/>
    </row>
    <row r="18" spans="2:11" ht="12.75" customHeight="1" x14ac:dyDescent="0.2">
      <c r="B18" s="51" t="s">
        <v>125</v>
      </c>
      <c r="C18" s="48"/>
      <c r="D18" s="48"/>
      <c r="E18" s="100">
        <v>0</v>
      </c>
      <c r="G18" s="24"/>
      <c r="J18" s="32"/>
    </row>
    <row r="19" spans="2:11" ht="12.75" customHeight="1" x14ac:dyDescent="0.2">
      <c r="B19" s="51" t="s">
        <v>126</v>
      </c>
      <c r="C19" s="48"/>
      <c r="D19" s="48"/>
      <c r="E19" s="110">
        <v>0</v>
      </c>
      <c r="J19" s="32"/>
    </row>
    <row r="20" spans="2:11" ht="12.75" customHeight="1" x14ac:dyDescent="0.2">
      <c r="C20" s="48"/>
      <c r="D20" s="48"/>
      <c r="J20" s="32"/>
    </row>
    <row r="21" spans="2:11" ht="12.75" customHeight="1" x14ac:dyDescent="0.2">
      <c r="B21" s="48" t="s">
        <v>45</v>
      </c>
      <c r="C21" s="48"/>
      <c r="D21" s="48"/>
      <c r="J21" s="32"/>
    </row>
    <row r="22" spans="2:11" ht="13.5" thickBot="1" x14ac:dyDescent="0.25">
      <c r="B22" s="48" t="s">
        <v>127</v>
      </c>
      <c r="C22" s="49"/>
      <c r="D22" s="49"/>
      <c r="E22" s="103">
        <v>0</v>
      </c>
      <c r="J22" s="32"/>
    </row>
    <row r="23" spans="2:11" ht="13.5" thickBot="1" x14ac:dyDescent="0.25">
      <c r="B23" s="48" t="s">
        <v>140</v>
      </c>
      <c r="C23" s="49"/>
      <c r="D23" s="49"/>
      <c r="E23" s="58">
        <f>SUM(E6*E7)+(E10*E11)+(E14*E15)+(E18*E19)+E22</f>
        <v>0</v>
      </c>
      <c r="J23" s="32"/>
    </row>
    <row r="24" spans="2:11" x14ac:dyDescent="0.2">
      <c r="C24" s="49"/>
      <c r="D24" s="49"/>
    </row>
    <row r="25" spans="2:11" x14ac:dyDescent="0.2">
      <c r="B25" s="54" t="s">
        <v>75</v>
      </c>
      <c r="C25" s="49"/>
      <c r="D25" s="49"/>
      <c r="G25" s="24" t="s">
        <v>193</v>
      </c>
      <c r="K25" s="183"/>
    </row>
    <row r="26" spans="2:11" x14ac:dyDescent="0.2">
      <c r="B26" s="49" t="s">
        <v>128</v>
      </c>
      <c r="C26" s="116">
        <v>0</v>
      </c>
      <c r="D26" s="49" t="s">
        <v>141</v>
      </c>
      <c r="E26" s="110">
        <v>0</v>
      </c>
      <c r="J26" s="32"/>
    </row>
    <row r="27" spans="2:11" x14ac:dyDescent="0.2">
      <c r="B27" s="49" t="s">
        <v>129</v>
      </c>
      <c r="C27" s="116">
        <v>0</v>
      </c>
      <c r="D27" s="49" t="s">
        <v>141</v>
      </c>
      <c r="E27" s="110">
        <v>0</v>
      </c>
      <c r="J27" s="32"/>
    </row>
    <row r="28" spans="2:11" x14ac:dyDescent="0.2">
      <c r="B28" s="49" t="s">
        <v>130</v>
      </c>
      <c r="C28" s="116">
        <v>0</v>
      </c>
      <c r="D28" s="49" t="s">
        <v>141</v>
      </c>
      <c r="E28" s="110">
        <v>0</v>
      </c>
      <c r="J28" s="32"/>
    </row>
    <row r="29" spans="2:11" ht="13.5" thickBot="1" x14ac:dyDescent="0.25">
      <c r="B29" s="48" t="s">
        <v>127</v>
      </c>
      <c r="C29" s="116"/>
      <c r="D29" s="49" t="s">
        <v>141</v>
      </c>
      <c r="E29" s="110"/>
      <c r="J29" s="32"/>
    </row>
    <row r="30" spans="2:11" ht="13.5" thickBot="1" x14ac:dyDescent="0.25">
      <c r="B30" s="48" t="s">
        <v>140</v>
      </c>
      <c r="C30" s="60"/>
      <c r="D30" s="49"/>
      <c r="E30" s="59">
        <f>SUM(C26*E26)+(C27*E27)+(C28*E28)+(C29*E29)</f>
        <v>0</v>
      </c>
      <c r="J30" s="32"/>
    </row>
    <row r="31" spans="2:11" x14ac:dyDescent="0.2">
      <c r="B31" s="49"/>
      <c r="C31" s="49"/>
      <c r="D31" s="49"/>
      <c r="J31" s="32"/>
    </row>
    <row r="32" spans="2:11" x14ac:dyDescent="0.2">
      <c r="B32" s="54" t="s">
        <v>89</v>
      </c>
      <c r="J32" s="32"/>
    </row>
    <row r="33" spans="2:19" x14ac:dyDescent="0.2">
      <c r="B33" s="54" t="s">
        <v>88</v>
      </c>
      <c r="J33" s="32"/>
    </row>
    <row r="34" spans="2:19" x14ac:dyDescent="0.2">
      <c r="B34" s="54"/>
      <c r="J34" s="32"/>
    </row>
    <row r="35" spans="2:19" x14ac:dyDescent="0.2">
      <c r="B35" s="181" t="s">
        <v>236</v>
      </c>
    </row>
    <row r="36" spans="2:19" x14ac:dyDescent="0.2">
      <c r="B36" s="181" t="s">
        <v>259</v>
      </c>
      <c r="E36" s="205">
        <f>2*S36</f>
        <v>5055</v>
      </c>
      <c r="G36" s="128" t="s">
        <v>235</v>
      </c>
      <c r="S36" s="2">
        <v>2527.5</v>
      </c>
    </row>
    <row r="37" spans="2:19" ht="13.5" thickBot="1" x14ac:dyDescent="0.25">
      <c r="B37" s="181"/>
      <c r="E37" s="182"/>
      <c r="G37" s="128"/>
      <c r="J37" s="32"/>
      <c r="S37" s="2"/>
    </row>
    <row r="38" spans="2:19" ht="14.25" thickTop="1" thickBot="1" x14ac:dyDescent="0.25">
      <c r="B38" s="181" t="s">
        <v>260</v>
      </c>
      <c r="E38" s="185">
        <f>SUM(E36:E37)</f>
        <v>5055</v>
      </c>
      <c r="F38" s="61"/>
      <c r="J38" s="32"/>
    </row>
    <row r="40" spans="2:19" x14ac:dyDescent="0.2">
      <c r="B40" s="118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5" ma:contentTypeDescription="Create a new document." ma:contentTypeScope="" ma:versionID="98c92b6628b9f927a4bc29c346992278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079054be336e58e379cf83a0448acc4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2022-01-20T00:00:00+00:00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408433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DDE (SW)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2022-01-20T00:00:00+00:00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LB3207US/A001</EPRNumber>
    <FacilityAddressPostcode xmlns="eebef177-55b5-4448-a5fb-28ea454417ee">PL7 5AX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40</Value>
      <Value>11</Value>
      <Value>32</Value>
      <Value>14</Value>
    </TaxCatchAll>
    <ExternalAuthor xmlns="eebef177-55b5-4448-a5fb-28ea454417ee">DDE (SW) Limited</ExternalAuthor>
    <SiteName xmlns="eebef177-55b5-4448-a5fb-28ea454417ee">Challonsleigh Farm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Challonsleigh Farm, Smithaleigh, Plymouth PL7 5AX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0980442E-BB7E-4216-B41E-9EB9188B09B1}"/>
</file>

<file path=customXml/itemProps2.xml><?xml version="1.0" encoding="utf-8"?>
<ds:datastoreItem xmlns:ds="http://schemas.openxmlformats.org/officeDocument/2006/customXml" ds:itemID="{5EB3F0A1-DA75-49F1-A3C0-7D08D09FEABD}"/>
</file>

<file path=customXml/itemProps3.xml><?xml version="1.0" encoding="utf-8"?>
<ds:datastoreItem xmlns:ds="http://schemas.openxmlformats.org/officeDocument/2006/customXml" ds:itemID="{E3DBB636-6224-47A7-B22D-54E688027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Provision</vt:lpstr>
      <vt:lpstr>Back-up</vt:lpstr>
      <vt:lpstr>Environmental Monitoring</vt:lpstr>
      <vt:lpstr>Capping and Restoration</vt:lpstr>
      <vt:lpstr>Leachate Management</vt:lpstr>
      <vt:lpstr>Landfill Gas Management</vt:lpstr>
      <vt:lpstr>Surface Water Management</vt:lpstr>
      <vt:lpstr>Security</vt:lpstr>
      <vt:lpstr>Specified Events</vt:lpstr>
      <vt:lpstr>Site Reports</vt:lpstr>
      <vt:lpstr>'Capping and Restoration'!Print_Area</vt:lpstr>
      <vt:lpstr>'Environmental Monitoring'!Print_Area</vt:lpstr>
      <vt:lpstr>'Landfill Gas Management'!Print_Area</vt:lpstr>
      <vt:lpstr>'Leachate Management'!Print_Area</vt:lpstr>
      <vt:lpstr>Provision!Print_Area</vt:lpstr>
      <vt:lpstr>Security!Print_Area</vt:lpstr>
      <vt:lpstr>'Site Reports'!Print_Area</vt:lpstr>
      <vt:lpstr>'Specified Events'!Print_Area</vt:lpstr>
      <vt:lpstr>'Surface Water Management'!Print_Area</vt:lpstr>
    </vt:vector>
  </TitlesOfParts>
  <Company>Gateway 2000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 2000 Licensed User</dc:creator>
  <cp:lastModifiedBy>Morgan, Tim</cp:lastModifiedBy>
  <cp:lastPrinted>2021-04-06T16:34:01Z</cp:lastPrinted>
  <dcterms:created xsi:type="dcterms:W3CDTF">1999-06-15T12:18:46Z</dcterms:created>
  <dcterms:modified xsi:type="dcterms:W3CDTF">2022-01-10T11:22:50Z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1929081366</vt:i4>
  </property>
  <property fmtid="{D5CDD505-2E9C-101B-9397-08002B2CF9AE}" pid="3" name="_EmailSubject">
    <vt:lpwstr>Expenditure plan</vt:lpwstr>
  </property>
  <property fmtid="{D5CDD505-2E9C-101B-9397-08002B2CF9AE}" pid="4" name="_AuthorEmailDisplayName">
    <vt:lpwstr>Allison, Chris</vt:lpwstr>
  </property>
  <property fmtid="{D5CDD505-2E9C-101B-9397-08002B2CF9AE}" pid="5" name="_PreviousAdHocReviewCycleID">
    <vt:i4>-1132682595</vt:i4>
  </property>
  <property fmtid="{D5CDD505-2E9C-101B-9397-08002B2CF9AE}" pid="6" name="_AuthorEmail">
    <vt:lpwstr>Chris.Allison@courtelle.com</vt:lpwstr>
  </property>
  <property fmtid="{D5CDD505-2E9C-101B-9397-08002B2CF9AE}" pid="7" name="_ReviewingToolsShownOnce">
    <vt:lpwstr/>
  </property>
  <property fmtid="{D5CDD505-2E9C-101B-9397-08002B2CF9AE}" pid="8" name="ContentTypeId">
    <vt:lpwstr>0x0101000E9AD557692E154F9D2697C8C6432F7600F36F633FE9FB4F46BF1F48F67E6435FB</vt:lpwstr>
  </property>
  <property fmtid="{D5CDD505-2E9C-101B-9397-08002B2CF9AE}" pid="9" name="PermitDocumentType">
    <vt:lpwstr/>
  </property>
  <property fmtid="{D5CDD505-2E9C-101B-9397-08002B2CF9AE}" pid="10" name="MediaServiceImageTags">
    <vt:lpwstr/>
  </property>
  <property fmtid="{D5CDD505-2E9C-101B-9397-08002B2CF9AE}" pid="11" name="TypeofPermit">
    <vt:lpwstr>32;#Bespoke|743fbb82-64b4-442a-8bac-afa632175399</vt:lpwstr>
  </property>
  <property fmtid="{D5CDD505-2E9C-101B-9397-08002B2CF9AE}" pid="12" name="DisclosureStatus">
    <vt:lpwstr>41;#Public Register|f1fcf6a6-5d97-4f1d-964e-a2f916eb1f18</vt:lpwstr>
  </property>
  <property fmtid="{D5CDD505-2E9C-101B-9397-08002B2CF9AE}" pid="13" name="RegulatedActivitySub-Class">
    <vt:lpwstr/>
  </property>
  <property fmtid="{D5CDD505-2E9C-101B-9397-08002B2CF9AE}" pid="14" name="EventType1">
    <vt:lpwstr/>
  </property>
  <property fmtid="{D5CDD505-2E9C-101B-9397-08002B2CF9AE}" pid="15" name="ActivityGrouping">
    <vt:lpwstr>14;#Application ＆ Associated Docs|5eadfd3c-6deb-44e1-b7e1-16accd427bec</vt:lpwstr>
  </property>
  <property fmtid="{D5CDD505-2E9C-101B-9397-08002B2CF9AE}" pid="16" name="RegulatedActivityClass">
    <vt:lpwstr>40;#Waste Operations|dc63c9b7-da6e-463c-b2cf-265b08d49156</vt:lpwstr>
  </property>
  <property fmtid="{D5CDD505-2E9C-101B-9397-08002B2CF9AE}" pid="17" name="Catchment">
    <vt:lpwstr/>
  </property>
  <property fmtid="{D5CDD505-2E9C-101B-9397-08002B2CF9AE}" pid="18" name="MajorProjectID">
    <vt:lpwstr/>
  </property>
  <property fmtid="{D5CDD505-2E9C-101B-9397-08002B2CF9AE}" pid="19" name="StandardRulesID">
    <vt:lpwstr/>
  </property>
  <property fmtid="{D5CDD505-2E9C-101B-9397-08002B2CF9AE}" pid="20" name="CessationStatus">
    <vt:lpwstr/>
  </property>
  <property fmtid="{D5CDD505-2E9C-101B-9397-08002B2CF9AE}" pid="21" name="Regime">
    <vt:lpwstr>11;#EPR|0e5af97d-1a8c-4d8f-a20b-528a11cab1f6</vt:lpwstr>
  </property>
  <property fmtid="{D5CDD505-2E9C-101B-9397-08002B2CF9AE}" pid="22" name="SysUpdateNoER">
    <vt:lpwstr>No</vt:lpwstr>
  </property>
</Properties>
</file>