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dernatherapeutics.sharepoint.com/sites/ResilienceUK/Shared Documents/General/Permitting/ERM Environmental Permitting Files/3.6.2 Permitting/Environmental Permit/DS Facility Bespoke Permit Application - Moderna Review/Appendices/Appendix F - H1 Assessments/"/>
    </mc:Choice>
  </mc:AlternateContent>
  <xr:revisionPtr revIDLastSave="0" documentId="8_{34B0B5E8-6065-4F26-B3C5-A6F2B43E8DF7}" xr6:coauthVersionLast="47" xr6:coauthVersionMax="47" xr10:uidLastSave="{00000000-0000-0000-0000-000000000000}"/>
  <bookViews>
    <workbookView xWindow="-110" yWindow="-110" windowWidth="19420" windowHeight="11620" xr2:uid="{72EF9BE5-F561-4601-9F12-02C18FA5FD0C}"/>
  </bookViews>
  <sheets>
    <sheet name="Concentrations" sheetId="4" r:id="rId1"/>
    <sheet name="Combined Concentrations" sheetId="5" r:id="rId2"/>
    <sheet name="H1 Test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C7" i="1"/>
  <c r="C9" i="1"/>
  <c r="C5" i="1"/>
  <c r="U5" i="1" s="1"/>
  <c r="C6" i="1"/>
  <c r="C8" i="1"/>
  <c r="C11" i="1"/>
  <c r="C12" i="1"/>
  <c r="C13" i="1"/>
  <c r="D1" i="1"/>
  <c r="E6" i="1"/>
  <c r="F6" i="1" s="1"/>
  <c r="E5" i="1"/>
  <c r="F5" i="1" s="1"/>
  <c r="E7" i="1"/>
  <c r="F7" i="1" s="1"/>
  <c r="E10" i="1"/>
  <c r="F10" i="1" s="1"/>
  <c r="E11" i="1"/>
  <c r="F11" i="1" s="1"/>
  <c r="E12" i="1"/>
  <c r="F12" i="1" s="1"/>
  <c r="E13" i="1"/>
  <c r="F13" i="1" s="1"/>
  <c r="H13" i="1" l="1"/>
  <c r="H7" i="1"/>
  <c r="H5" i="1"/>
  <c r="E9" i="1"/>
  <c r="F9" i="1" s="1"/>
  <c r="H11" i="1"/>
  <c r="E8" i="1"/>
  <c r="F8" i="1" s="1"/>
  <c r="H6" i="1"/>
  <c r="E4" i="1"/>
  <c r="H4" i="1" s="1"/>
  <c r="H12" i="1"/>
  <c r="C10" i="1"/>
  <c r="H10" i="1" s="1"/>
  <c r="H9" i="1" l="1"/>
  <c r="F4" i="1"/>
  <c r="H8" i="1"/>
  <c r="J5" i="1"/>
  <c r="K5" i="1" s="1"/>
  <c r="W5" i="1" s="1"/>
  <c r="J6" i="1"/>
  <c r="K6" i="1" s="1"/>
  <c r="J7" i="1"/>
  <c r="K7" i="1" s="1"/>
  <c r="J8" i="1"/>
  <c r="J9" i="1"/>
  <c r="K9" i="1" s="1"/>
  <c r="J10" i="1"/>
  <c r="K10" i="1" s="1"/>
  <c r="J11" i="1"/>
  <c r="K11" i="1" s="1"/>
  <c r="J12" i="1"/>
  <c r="K12" i="1" s="1"/>
  <c r="J13" i="1"/>
  <c r="K13" i="1" s="1"/>
  <c r="J4" i="1"/>
  <c r="K4" i="1" s="1"/>
  <c r="K9" i="4"/>
  <c r="H9" i="4"/>
  <c r="I9" i="4" s="1"/>
  <c r="K8" i="1" l="1"/>
  <c r="H16" i="4"/>
  <c r="I16" i="4" s="1"/>
  <c r="H15" i="4"/>
  <c r="I15" i="4" s="1"/>
  <c r="D9" i="1" l="1"/>
  <c r="I9" i="1" l="1"/>
  <c r="L9" i="1" s="1"/>
  <c r="H7" i="4"/>
  <c r="I7" i="4" s="1"/>
  <c r="H5" i="4"/>
  <c r="I5" i="4" s="1"/>
  <c r="K5" i="4"/>
  <c r="K6" i="4"/>
  <c r="K7" i="4"/>
  <c r="K8" i="4"/>
  <c r="K10" i="4"/>
  <c r="K11" i="4"/>
  <c r="K12" i="4"/>
  <c r="K13" i="4"/>
  <c r="K14" i="4"/>
  <c r="K15" i="4"/>
  <c r="K16" i="4"/>
  <c r="K4" i="4"/>
  <c r="H6" i="4"/>
  <c r="I6" i="4" s="1"/>
  <c r="H8" i="4"/>
  <c r="I8" i="4" s="1"/>
  <c r="H10" i="4"/>
  <c r="I10" i="4" s="1"/>
  <c r="H11" i="4"/>
  <c r="I11" i="4" s="1"/>
  <c r="H12" i="4"/>
  <c r="I12" i="4" s="1"/>
  <c r="H13" i="4"/>
  <c r="I13" i="4" s="1"/>
  <c r="H14" i="4"/>
  <c r="I14" i="4" s="1"/>
  <c r="H4" i="4"/>
  <c r="I4" i="4" s="1"/>
  <c r="Y6" i="1" l="1"/>
  <c r="Z6" i="1"/>
  <c r="AA6" i="1"/>
  <c r="D5" i="1" l="1"/>
  <c r="D13" i="1"/>
  <c r="D8" i="1"/>
  <c r="D11" i="1"/>
  <c r="D12" i="1"/>
  <c r="D4" i="1"/>
  <c r="D6" i="1"/>
  <c r="D7" i="1"/>
  <c r="AB6" i="1"/>
  <c r="I4" i="1" l="1"/>
  <c r="L4" i="1" s="1"/>
  <c r="I5" i="1"/>
  <c r="L5" i="1" s="1"/>
  <c r="I12" i="1"/>
  <c r="L12" i="1" s="1"/>
  <c r="I7" i="1"/>
  <c r="L7" i="1" s="1"/>
  <c r="I11" i="1"/>
  <c r="L11" i="1" s="1"/>
  <c r="I8" i="1"/>
  <c r="L8" i="1" s="1"/>
  <c r="I13" i="1"/>
  <c r="L13" i="1" s="1"/>
  <c r="I6" i="1"/>
  <c r="L6" i="1" s="1"/>
  <c r="V13" i="1"/>
  <c r="V4" i="1"/>
  <c r="V12" i="1"/>
  <c r="V8" i="1"/>
  <c r="V7" i="1"/>
  <c r="V6" i="1"/>
  <c r="V11" i="1"/>
  <c r="V5" i="1"/>
  <c r="D10" i="1"/>
  <c r="X6" i="1" l="1"/>
  <c r="X13" i="1"/>
  <c r="I10" i="1"/>
  <c r="L10" i="1" s="1"/>
  <c r="X10" i="1" s="1"/>
  <c r="X4" i="1"/>
  <c r="X8" i="1"/>
  <c r="X5" i="1"/>
  <c r="V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Taraka Rhodes</author>
  </authors>
  <commentList>
    <comment ref="M3" authorId="0" shapeId="0" xr:uid="{D942C27A-6013-4A8E-9D08-E478C5629DC0}">
      <text>
        <r>
          <rPr>
            <b/>
            <sz val="9"/>
            <color indexed="81"/>
            <rFont val="Tahoma"/>
            <family val="2"/>
          </rPr>
          <t>Taraka Rhodes:</t>
        </r>
        <r>
          <rPr>
            <sz val="9"/>
            <color indexed="81"/>
            <rFont val="Tahoma"/>
            <family val="2"/>
          </rPr>
          <t xml:space="preserve">
Estimated data taken from raw water sampling in dock</t>
        </r>
      </text>
    </comment>
  </commentList>
</comments>
</file>

<file path=xl/sharedStrings.xml><?xml version="1.0" encoding="utf-8"?>
<sst xmlns="http://schemas.openxmlformats.org/spreadsheetml/2006/main" count="122" uniqueCount="83">
  <si>
    <t>Inputs</t>
  </si>
  <si>
    <t>Raw Material</t>
  </si>
  <si>
    <t>Consumption of raw material (kg/year)</t>
  </si>
  <si>
    <t>Raw material discharged to wastewater 
(%)</t>
  </si>
  <si>
    <t>Hazardous Component (based on SDSs)</t>
  </si>
  <si>
    <t>Composition (wt%)</t>
  </si>
  <si>
    <t>Hazardous Component discharged (kg/year)</t>
  </si>
  <si>
    <t>Component discharge rate (mg/year)</t>
  </si>
  <si>
    <t>Annual wastewater flowrate 
(t/a)</t>
  </si>
  <si>
    <t>Annual wastewater flow rate 
(l/year)</t>
  </si>
  <si>
    <t>Annual average conc 
(mg/l)</t>
  </si>
  <si>
    <t>Cleaning &amp; Disinfection</t>
  </si>
  <si>
    <t>CIP 100</t>
  </si>
  <si>
    <t>Potassium Hydroxide</t>
  </si>
  <si>
    <t xml:space="preserve">Tetrasodium (EDTA) </t>
  </si>
  <si>
    <t>CIP 200</t>
  </si>
  <si>
    <t>Phosphoric Acid</t>
  </si>
  <si>
    <t xml:space="preserve">Citric Acid </t>
  </si>
  <si>
    <t>Manufacturing, incl Buffer Prep and Chromato-graphy Column Packing</t>
  </si>
  <si>
    <t xml:space="preserve">Dithiothreitol </t>
  </si>
  <si>
    <t>DTT</t>
  </si>
  <si>
    <t>Alkylpolyamine</t>
  </si>
  <si>
    <t>4-Azaoctamethylenediamine</t>
  </si>
  <si>
    <t>EDTA</t>
  </si>
  <si>
    <t>Disodium dihydrogen ethylenediaminetetraacetate dihydrate</t>
  </si>
  <si>
    <t>Sodium Hydroxide Pellets</t>
  </si>
  <si>
    <t>Sodium Hydroxide</t>
  </si>
  <si>
    <t>Sodium Hydroxide (10 mol/L)</t>
  </si>
  <si>
    <t>Hydrochloric Acid (6 mol/L)</t>
  </si>
  <si>
    <t>Hydrochloric Acid</t>
  </si>
  <si>
    <t>Ethanol</t>
  </si>
  <si>
    <t>Effluent waste water treatment</t>
  </si>
  <si>
    <t>Sulphuric Acid</t>
  </si>
  <si>
    <t>Sodium Hydroxide (50%)</t>
  </si>
  <si>
    <t>Cleaning and Disinfection</t>
  </si>
  <si>
    <t>Manufacturing</t>
  </si>
  <si>
    <t>Effluent Waste Water Treatment</t>
  </si>
  <si>
    <t>Total quantity</t>
  </si>
  <si>
    <t>Total Concentration</t>
  </si>
  <si>
    <t>kg/a</t>
  </si>
  <si>
    <t>ug/l</t>
  </si>
  <si>
    <t>H1 Screening Tests</t>
  </si>
  <si>
    <t>Input Data</t>
  </si>
  <si>
    <t>Test 1</t>
  </si>
  <si>
    <t>Test 2</t>
  </si>
  <si>
    <t>Test 3</t>
  </si>
  <si>
    <t>Test 4</t>
  </si>
  <si>
    <t>Substance</t>
  </si>
  <si>
    <t>Release Concentration (ug/l) (AA)</t>
  </si>
  <si>
    <t>Release Concentration (ug/l) (MAC)</t>
  </si>
  <si>
    <t>Discharge volume (m3/s) (average)</t>
  </si>
  <si>
    <t>Discharge volume (m3/s) (max)</t>
  </si>
  <si>
    <t>95% Exceedance river flow (m3/s)</t>
  </si>
  <si>
    <t>Effluent Flow Rate x Release Concentration (Average)
(ug/s)</t>
  </si>
  <si>
    <t>Effluent Flow Rate x Release Concentration (Max)
(ug/s)</t>
  </si>
  <si>
    <t>Effluent Flow Rate + River Flow Rate (m3/s)</t>
  </si>
  <si>
    <t>PC (AA)
(ug/l)</t>
  </si>
  <si>
    <t>PC (MAC)
(ug/l)</t>
  </si>
  <si>
    <t>Background Concentration (ug/l)</t>
  </si>
  <si>
    <t>RFR&lt;x10 EFR?</t>
  </si>
  <si>
    <t>PEC (AA)</t>
  </si>
  <si>
    <t>PEC (MAC)</t>
  </si>
  <si>
    <t>Freshwater EQS (ug/l) (Long term/AA)</t>
  </si>
  <si>
    <t>Freshwater EQS (ug/l) (Short term/MAC)</t>
  </si>
  <si>
    <t>Comments/Source (EQS or other)</t>
  </si>
  <si>
    <t>Test 1 (Substance &lt;10% of AA EQS?)</t>
  </si>
  <si>
    <t>Test 1 (Substance &lt;10% of MAC EQS?)</t>
  </si>
  <si>
    <t>Test 2 (Substance &lt; 4% of AA EQS)</t>
  </si>
  <si>
    <t>Test 2 (Substance &lt; 4% of MAC EQS)</t>
  </si>
  <si>
    <t>Test 3 (BC - PEC &lt;10% of AA EQS)</t>
  </si>
  <si>
    <t>Test 3 (BC - PEC &lt;10% of MAC EQS)</t>
  </si>
  <si>
    <t>Test 4 (PEC &lt; AA EQS)</t>
  </si>
  <si>
    <t>Test 4 (PEC &lt; MAC EQS)</t>
  </si>
  <si>
    <t>N/A</t>
  </si>
  <si>
    <t>Short term value taken from LC50 toxicity to fish from SDS</t>
  </si>
  <si>
    <t>Freshwater EQS</t>
  </si>
  <si>
    <t xml:space="preserve">Short term value taken from EC50 invertebrates from ECHA. https://echa.europa.eu/registration-dossier/-/registered-dossier/31622/6/2/1 </t>
  </si>
  <si>
    <t>No EQS/alternative data available</t>
  </si>
  <si>
    <t>Short term value taken from LC50 fishes ECHA. No long term value available. https://echa.europa.eu/registration-dossier/-/registered-dossier/15859/6/2/2</t>
  </si>
  <si>
    <t xml:space="preserve">Short term value taken from EC50 toxicity to fish from SDS </t>
  </si>
  <si>
    <t>Short term value taken from LC50 toxicity to fish from ECHA. https://echa.europa.eu/information-on-chemicals/registered-substances/-/disreg/substance/100.028.763</t>
  </si>
  <si>
    <t>River flow from:</t>
  </si>
  <si>
    <t>NRFA Station Mean Flow Data for 39002 - Thames at Days Weir (ceh.ac.uk)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</si>
</sst>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0" borderId="8" xfId="0" applyBorder="1"/>
    <xf numFmtId="0" fontId="0" fillId="0" borderId="11" xfId="0" applyBorder="1"/>
    <xf numFmtId="0" fontId="0" fillId="4" borderId="7" xfId="0" applyFill="1" applyBorder="1"/>
    <xf numFmtId="0" fontId="1" fillId="2" borderId="23" xfId="0" applyFont="1" applyFill="1" applyBorder="1" applyAlignment="1">
      <alignment wrapText="1"/>
    </xf>
    <xf numFmtId="0" fontId="0" fillId="0" borderId="6" xfId="0" applyBorder="1" applyAlignment="1">
      <alignment vertical="center"/>
    </xf>
    <xf numFmtId="0" fontId="0" fillId="6" borderId="6" xfId="0" applyFill="1" applyBorder="1"/>
    <xf numFmtId="0" fontId="0" fillId="6" borderId="7" xfId="0" applyFill="1" applyBorder="1"/>
    <xf numFmtId="0" fontId="0" fillId="0" borderId="0" xfId="0" applyAlignment="1">
      <alignment horizontal="left"/>
    </xf>
    <xf numFmtId="0" fontId="0" fillId="3" borderId="1" xfId="0" applyFill="1" applyBorder="1"/>
    <xf numFmtId="0" fontId="0" fillId="7" borderId="1" xfId="0" applyFill="1" applyBorder="1"/>
    <xf numFmtId="0" fontId="0" fillId="5" borderId="1" xfId="0" applyFill="1" applyBorder="1"/>
    <xf numFmtId="0" fontId="0" fillId="0" borderId="2" xfId="0" applyBorder="1" applyAlignment="1">
      <alignment vertical="top" wrapText="1"/>
    </xf>
    <xf numFmtId="0" fontId="0" fillId="8" borderId="1" xfId="0" applyFill="1" applyBorder="1"/>
    <xf numFmtId="0" fontId="4" fillId="8" borderId="1" xfId="0" applyFont="1" applyFill="1" applyBorder="1"/>
    <xf numFmtId="0" fontId="0" fillId="8" borderId="24" xfId="0" applyFill="1" applyBorder="1"/>
    <xf numFmtId="0" fontId="0" fillId="8" borderId="1" xfId="0" applyFill="1" applyBorder="1" applyAlignment="1">
      <alignment wrapText="1"/>
    </xf>
    <xf numFmtId="0" fontId="0" fillId="8" borderId="1" xfId="0" applyFill="1" applyBorder="1" applyAlignment="1">
      <alignment horizontal="left" vertical="top" wrapText="1"/>
    </xf>
    <xf numFmtId="0" fontId="0" fillId="8" borderId="1" xfId="0" applyFill="1" applyBorder="1" applyAlignment="1">
      <alignment horizontal="right" vertical="top" wrapText="1"/>
    </xf>
    <xf numFmtId="0" fontId="0" fillId="0" borderId="1" xfId="0" applyBorder="1"/>
    <xf numFmtId="2" fontId="0" fillId="0" borderId="1" xfId="0" applyNumberFormat="1" applyBorder="1"/>
    <xf numFmtId="2" fontId="0" fillId="0" borderId="11" xfId="0" applyNumberFormat="1" applyBorder="1"/>
    <xf numFmtId="166" fontId="0" fillId="0" borderId="7" xfId="0" applyNumberFormat="1" applyBorder="1"/>
    <xf numFmtId="2" fontId="0" fillId="0" borderId="7" xfId="0" applyNumberFormat="1" applyBorder="1"/>
    <xf numFmtId="165" fontId="0" fillId="0" borderId="1" xfId="0" applyNumberFormat="1" applyBorder="1"/>
    <xf numFmtId="0" fontId="0" fillId="7" borderId="7" xfId="0" applyFill="1" applyBorder="1"/>
    <xf numFmtId="0" fontId="0" fillId="5" borderId="7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6" xfId="0" applyFill="1" applyBorder="1" applyAlignment="1">
      <alignment wrapText="1"/>
    </xf>
    <xf numFmtId="0" fontId="0" fillId="8" borderId="6" xfId="0" applyFill="1" applyBorder="1" applyAlignment="1">
      <alignment horizontal="left" vertical="top" wrapText="1"/>
    </xf>
    <xf numFmtId="0" fontId="0" fillId="3" borderId="6" xfId="0" applyFill="1" applyBorder="1"/>
    <xf numFmtId="0" fontId="0" fillId="3" borderId="8" xfId="0" applyFill="1" applyBorder="1"/>
    <xf numFmtId="0" fontId="0" fillId="3" borderId="11" xfId="0" applyFill="1" applyBorder="1"/>
    <xf numFmtId="0" fontId="1" fillId="0" borderId="4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66" fontId="0" fillId="0" borderId="9" xfId="0" applyNumberFormat="1" applyBorder="1"/>
    <xf numFmtId="0" fontId="1" fillId="0" borderId="32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25" xfId="0" applyFont="1" applyFill="1" applyBorder="1" applyAlignment="1">
      <alignment wrapText="1"/>
    </xf>
    <xf numFmtId="0" fontId="0" fillId="0" borderId="30" xfId="0" applyBorder="1" applyAlignment="1">
      <alignment vertical="center"/>
    </xf>
    <xf numFmtId="164" fontId="0" fillId="0" borderId="30" xfId="0" applyNumberFormat="1" applyBorder="1" applyAlignment="1">
      <alignment vertical="center"/>
    </xf>
    <xf numFmtId="0" fontId="1" fillId="2" borderId="33" xfId="0" applyFont="1" applyFill="1" applyBorder="1" applyAlignment="1">
      <alignment wrapText="1"/>
    </xf>
    <xf numFmtId="0" fontId="1" fillId="2" borderId="3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2" fontId="0" fillId="0" borderId="13" xfId="0" applyNumberFormat="1" applyBorder="1"/>
    <xf numFmtId="2" fontId="0" fillId="0" borderId="14" xfId="0" applyNumberFormat="1" applyBorder="1"/>
    <xf numFmtId="0" fontId="1" fillId="2" borderId="34" xfId="0" applyFont="1" applyFill="1" applyBorder="1" applyAlignment="1">
      <alignment wrapText="1"/>
    </xf>
    <xf numFmtId="0" fontId="0" fillId="6" borderId="3" xfId="0" applyFill="1" applyBorder="1"/>
    <xf numFmtId="0" fontId="1" fillId="2" borderId="35" xfId="0" applyFont="1" applyFill="1" applyBorder="1" applyAlignment="1">
      <alignment wrapText="1"/>
    </xf>
    <xf numFmtId="0" fontId="0" fillId="0" borderId="3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9" borderId="1" xfId="0" applyFill="1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1" fillId="2" borderId="12" xfId="0" applyFont="1" applyFill="1" applyBorder="1" applyAlignment="1">
      <alignment horizontal="left" wrapText="1"/>
    </xf>
    <xf numFmtId="0" fontId="0" fillId="0" borderId="4" xfId="0" applyBorder="1" applyAlignment="1">
      <alignment vertical="center"/>
    </xf>
    <xf numFmtId="0" fontId="1" fillId="2" borderId="30" xfId="0" applyFont="1" applyFill="1" applyBorder="1" applyAlignment="1">
      <alignment horizontal="left" wrapText="1"/>
    </xf>
    <xf numFmtId="0" fontId="0" fillId="0" borderId="11" xfId="0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6" borderId="11" xfId="0" applyFill="1" applyBorder="1" applyAlignment="1">
      <alignment horizontal="right"/>
    </xf>
    <xf numFmtId="0" fontId="0" fillId="6" borderId="17" xfId="0" applyFill="1" applyBorder="1" applyAlignment="1">
      <alignment horizontal="right" vertical="center"/>
    </xf>
    <xf numFmtId="0" fontId="0" fillId="6" borderId="1" xfId="0" applyFill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9" borderId="1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7" borderId="37" xfId="0" applyFill="1" applyBorder="1"/>
    <xf numFmtId="0" fontId="0" fillId="7" borderId="17" xfId="0" applyFill="1" applyBorder="1"/>
    <xf numFmtId="0" fontId="0" fillId="7" borderId="36" xfId="0" applyFill="1" applyBorder="1"/>
    <xf numFmtId="3" fontId="0" fillId="7" borderId="38" xfId="0" applyNumberFormat="1" applyFill="1" applyBorder="1"/>
    <xf numFmtId="0" fontId="0" fillId="5" borderId="37" xfId="0" applyFill="1" applyBorder="1"/>
    <xf numFmtId="0" fontId="0" fillId="5" borderId="17" xfId="0" applyFill="1" applyBorder="1"/>
    <xf numFmtId="0" fontId="0" fillId="5" borderId="36" xfId="0" applyFill="1" applyBorder="1"/>
    <xf numFmtId="3" fontId="0" fillId="5" borderId="38" xfId="0" applyNumberFormat="1" applyFill="1" applyBorder="1"/>
    <xf numFmtId="0" fontId="0" fillId="0" borderId="39" xfId="0" applyBorder="1"/>
    <xf numFmtId="166" fontId="0" fillId="0" borderId="39" xfId="0" applyNumberFormat="1" applyBorder="1"/>
    <xf numFmtId="0" fontId="4" fillId="0" borderId="1" xfId="0" applyFont="1" applyBorder="1"/>
    <xf numFmtId="0" fontId="4" fillId="0" borderId="0" xfId="0" applyFont="1"/>
    <xf numFmtId="0" fontId="4" fillId="0" borderId="4" xfId="0" applyFont="1" applyBorder="1"/>
    <xf numFmtId="0" fontId="5" fillId="0" borderId="30" xfId="0" applyFont="1" applyBorder="1"/>
    <xf numFmtId="0" fontId="5" fillId="0" borderId="5" xfId="0" applyFont="1" applyBorder="1"/>
    <xf numFmtId="0" fontId="4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4" fillId="0" borderId="30" xfId="0" applyFont="1" applyBorder="1"/>
    <xf numFmtId="2" fontId="4" fillId="8" borderId="5" xfId="0" applyNumberFormat="1" applyFont="1" applyFill="1" applyBorder="1"/>
    <xf numFmtId="0" fontId="4" fillId="0" borderId="6" xfId="0" applyFont="1" applyBorder="1"/>
    <xf numFmtId="2" fontId="4" fillId="8" borderId="7" xfId="0" applyNumberFormat="1" applyFont="1" applyFill="1" applyBorder="1"/>
    <xf numFmtId="0" fontId="4" fillId="0" borderId="11" xfId="0" applyFont="1" applyBorder="1"/>
    <xf numFmtId="2" fontId="4" fillId="8" borderId="9" xfId="0" applyNumberFormat="1" applyFont="1" applyFill="1" applyBorder="1"/>
    <xf numFmtId="0" fontId="6" fillId="0" borderId="0" xfId="1"/>
    <xf numFmtId="0" fontId="5" fillId="2" borderId="33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2" fontId="4" fillId="0" borderId="6" xfId="0" applyNumberFormat="1" applyFont="1" applyBorder="1"/>
    <xf numFmtId="2" fontId="4" fillId="0" borderId="1" xfId="0" applyNumberFormat="1" applyFont="1" applyBorder="1"/>
    <xf numFmtId="0" fontId="5" fillId="2" borderId="10" xfId="0" applyFont="1" applyFill="1" applyBorder="1" applyAlignment="1">
      <alignment wrapText="1"/>
    </xf>
    <xf numFmtId="0" fontId="4" fillId="0" borderId="1" xfId="0" applyFont="1" applyBorder="1" applyAlignment="1">
      <alignment horizontal="right" vertical="center"/>
    </xf>
    <xf numFmtId="0" fontId="4" fillId="6" borderId="6" xfId="0" applyFont="1" applyFill="1" applyBorder="1"/>
    <xf numFmtId="0" fontId="4" fillId="6" borderId="7" xfId="0" applyFont="1" applyFill="1" applyBorder="1"/>
    <xf numFmtId="0" fontId="4" fillId="0" borderId="7" xfId="0" applyFont="1" applyBorder="1"/>
    <xf numFmtId="0" fontId="0" fillId="6" borderId="8" xfId="0" applyFill="1" applyBorder="1"/>
    <xf numFmtId="0" fontId="0" fillId="6" borderId="9" xfId="0" applyFill="1" applyBorder="1"/>
    <xf numFmtId="0" fontId="4" fillId="6" borderId="8" xfId="0" applyFont="1" applyFill="1" applyBorder="1"/>
    <xf numFmtId="0" fontId="4" fillId="6" borderId="9" xfId="0" applyFont="1" applyFill="1" applyBorder="1"/>
    <xf numFmtId="2" fontId="4" fillId="0" borderId="8" xfId="0" applyNumberFormat="1" applyFont="1" applyBorder="1"/>
    <xf numFmtId="2" fontId="4" fillId="0" borderId="11" xfId="0" applyNumberFormat="1" applyFont="1" applyBorder="1"/>
    <xf numFmtId="2" fontId="0" fillId="0" borderId="9" xfId="0" applyNumberFormat="1" applyBorder="1"/>
    <xf numFmtId="165" fontId="0" fillId="0" borderId="11" xfId="0" applyNumberFormat="1" applyBorder="1"/>
    <xf numFmtId="0" fontId="0" fillId="0" borderId="9" xfId="0" applyBorder="1"/>
    <xf numFmtId="0" fontId="4" fillId="0" borderId="41" xfId="0" applyFont="1" applyBorder="1"/>
    <xf numFmtId="0" fontId="4" fillId="0" borderId="14" xfId="0" applyFont="1" applyBorder="1"/>
    <xf numFmtId="0" fontId="5" fillId="0" borderId="4" xfId="0" applyFont="1" applyBorder="1"/>
    <xf numFmtId="0" fontId="5" fillId="0" borderId="8" xfId="0" applyFont="1" applyBorder="1"/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18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 wrapText="1"/>
    </xf>
    <xf numFmtId="0" fontId="1" fillId="3" borderId="34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3"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rfa.ceh.ac.uk/data/station/meanflow/39002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22CE8-EA35-4904-8974-32ADCCDA59F6}">
  <dimension ref="B1:L17"/>
  <sheetViews>
    <sheetView tabSelected="1" topLeftCell="C1" zoomScale="93" workbookViewId="0">
      <selection activeCell="J28" sqref="J28"/>
    </sheetView>
  </sheetViews>
  <sheetFormatPr defaultRowHeight="14.45"/>
  <cols>
    <col min="2" max="2" width="20.42578125" customWidth="1"/>
    <col min="3" max="3" width="25.42578125" bestFit="1" customWidth="1"/>
    <col min="4" max="4" width="13.5703125" customWidth="1"/>
    <col min="5" max="5" width="12" bestFit="1" customWidth="1"/>
    <col min="6" max="6" width="35" customWidth="1"/>
    <col min="7" max="7" width="12.7109375" customWidth="1"/>
    <col min="8" max="8" width="16.85546875" customWidth="1"/>
    <col min="9" max="9" width="15.28515625" customWidth="1"/>
    <col min="10" max="10" width="13.42578125" customWidth="1"/>
    <col min="11" max="11" width="13.7109375" customWidth="1"/>
    <col min="12" max="12" width="13.85546875" bestFit="1" customWidth="1"/>
  </cols>
  <sheetData>
    <row r="1" spans="2:12" ht="15" thickBot="1"/>
    <row r="2" spans="2:12" ht="15" thickBot="1">
      <c r="C2" s="128" t="s">
        <v>0</v>
      </c>
      <c r="D2" s="129"/>
      <c r="E2" s="129"/>
      <c r="F2" s="129"/>
      <c r="G2" s="129"/>
      <c r="H2" s="129"/>
      <c r="I2" s="129"/>
      <c r="J2" s="129"/>
      <c r="K2" s="129"/>
      <c r="L2" s="129"/>
    </row>
    <row r="3" spans="2:12" ht="72.599999999999994">
      <c r="B3" s="19"/>
      <c r="C3" s="41" t="s">
        <v>1</v>
      </c>
      <c r="D3" s="42" t="s">
        <v>2</v>
      </c>
      <c r="E3" s="42" t="s">
        <v>3</v>
      </c>
      <c r="F3" s="42" t="s">
        <v>4</v>
      </c>
      <c r="G3" s="42" t="s">
        <v>5</v>
      </c>
      <c r="H3" s="43" t="s">
        <v>6</v>
      </c>
      <c r="I3" s="41" t="s">
        <v>7</v>
      </c>
      <c r="J3" s="42" t="s">
        <v>8</v>
      </c>
      <c r="K3" s="42" t="s">
        <v>9</v>
      </c>
      <c r="L3" s="43" t="s">
        <v>10</v>
      </c>
    </row>
    <row r="4" spans="2:12">
      <c r="B4" s="130" t="s">
        <v>11</v>
      </c>
      <c r="C4" s="80" t="s">
        <v>12</v>
      </c>
      <c r="D4" s="81"/>
      <c r="E4" s="17">
        <v>100</v>
      </c>
      <c r="F4" s="17" t="s">
        <v>13</v>
      </c>
      <c r="G4" s="17">
        <v>30</v>
      </c>
      <c r="H4" s="32">
        <f>D4*E4/100*G4/100</f>
        <v>0</v>
      </c>
      <c r="I4" s="4">
        <f>H4*1000000</f>
        <v>0</v>
      </c>
      <c r="J4" s="26">
        <v>7268</v>
      </c>
      <c r="K4" s="26">
        <f>J4*1000</f>
        <v>7268000</v>
      </c>
      <c r="L4" s="29">
        <v>99.064391854705562</v>
      </c>
    </row>
    <row r="5" spans="2:12">
      <c r="B5" s="131"/>
      <c r="C5" s="78"/>
      <c r="D5" s="79"/>
      <c r="E5" s="17"/>
      <c r="F5" s="17" t="s">
        <v>14</v>
      </c>
      <c r="G5" s="17">
        <v>5</v>
      </c>
      <c r="H5" s="32">
        <f>D4*E4/100*G5/100</f>
        <v>0</v>
      </c>
      <c r="I5" s="4">
        <f t="shared" ref="I5:I16" si="0">H5*1000000</f>
        <v>0</v>
      </c>
      <c r="J5" s="26">
        <v>7268</v>
      </c>
      <c r="K5" s="26">
        <f t="shared" ref="K5:K16" si="1">J5*1000</f>
        <v>7268000</v>
      </c>
      <c r="L5" s="29">
        <v>16.51073197578426</v>
      </c>
    </row>
    <row r="6" spans="2:12">
      <c r="B6" s="131"/>
      <c r="C6" s="84" t="s">
        <v>15</v>
      </c>
      <c r="D6" s="85"/>
      <c r="E6" s="18">
        <v>100</v>
      </c>
      <c r="F6" s="18" t="s">
        <v>16</v>
      </c>
      <c r="G6" s="18">
        <v>60</v>
      </c>
      <c r="H6" s="33">
        <f t="shared" ref="H6:H16" si="2">D6*E6/100*G6/100</f>
        <v>0</v>
      </c>
      <c r="I6" s="4">
        <f t="shared" si="0"/>
        <v>0</v>
      </c>
      <c r="J6" s="26">
        <v>7268</v>
      </c>
      <c r="K6" s="26">
        <f t="shared" si="1"/>
        <v>7268000</v>
      </c>
      <c r="L6" s="29">
        <v>198.12878370941112</v>
      </c>
    </row>
    <row r="7" spans="2:12">
      <c r="B7" s="132"/>
      <c r="C7" s="82"/>
      <c r="D7" s="83"/>
      <c r="E7" s="18"/>
      <c r="F7" s="18" t="s">
        <v>17</v>
      </c>
      <c r="G7" s="18">
        <v>7</v>
      </c>
      <c r="H7" s="33">
        <f>D6*E6/100*G7/100</f>
        <v>0</v>
      </c>
      <c r="I7" s="4">
        <f t="shared" si="0"/>
        <v>0</v>
      </c>
      <c r="J7" s="26">
        <v>7268</v>
      </c>
      <c r="K7" s="26">
        <f t="shared" si="1"/>
        <v>7268000</v>
      </c>
      <c r="L7" s="29">
        <v>23.115024766097964</v>
      </c>
    </row>
    <row r="8" spans="2:12" ht="14.45" customHeight="1">
      <c r="B8" s="130" t="s">
        <v>18</v>
      </c>
      <c r="C8" s="34" t="s">
        <v>19</v>
      </c>
      <c r="D8" s="20"/>
      <c r="E8" s="20">
        <v>100</v>
      </c>
      <c r="F8" s="20" t="s">
        <v>20</v>
      </c>
      <c r="G8" s="20">
        <v>100</v>
      </c>
      <c r="H8" s="35">
        <f t="shared" si="2"/>
        <v>0</v>
      </c>
      <c r="I8" s="4">
        <f t="shared" si="0"/>
        <v>0</v>
      </c>
      <c r="J8" s="26">
        <v>7268</v>
      </c>
      <c r="K8" s="26">
        <f t="shared" si="1"/>
        <v>7268000</v>
      </c>
      <c r="L8" s="29">
        <v>5.7787561915244909</v>
      </c>
    </row>
    <row r="9" spans="2:12" ht="14.45" customHeight="1">
      <c r="B9" s="131"/>
      <c r="C9" s="34" t="s">
        <v>21</v>
      </c>
      <c r="D9" s="20"/>
      <c r="E9" s="20">
        <v>100</v>
      </c>
      <c r="F9" s="22" t="s">
        <v>22</v>
      </c>
      <c r="G9" s="20">
        <v>100</v>
      </c>
      <c r="H9" s="35">
        <f t="shared" si="2"/>
        <v>0</v>
      </c>
      <c r="I9" s="4">
        <f t="shared" si="0"/>
        <v>0</v>
      </c>
      <c r="J9" s="26">
        <v>7268</v>
      </c>
      <c r="K9" s="26">
        <f t="shared" si="1"/>
        <v>7268000</v>
      </c>
      <c r="L9" s="29">
        <v>0.11007154650522839</v>
      </c>
    </row>
    <row r="10" spans="2:12" ht="29.1">
      <c r="B10" s="131"/>
      <c r="C10" s="34" t="s">
        <v>23</v>
      </c>
      <c r="D10" s="20"/>
      <c r="E10" s="21">
        <v>100</v>
      </c>
      <c r="F10" s="23" t="s">
        <v>24</v>
      </c>
      <c r="G10" s="20">
        <v>100</v>
      </c>
      <c r="H10" s="35">
        <f t="shared" si="2"/>
        <v>0</v>
      </c>
      <c r="I10" s="4">
        <f t="shared" si="0"/>
        <v>0</v>
      </c>
      <c r="J10" s="26">
        <v>7268</v>
      </c>
      <c r="K10" s="26">
        <f t="shared" si="1"/>
        <v>7268000</v>
      </c>
      <c r="L10" s="29">
        <v>93.285635663181068</v>
      </c>
    </row>
    <row r="11" spans="2:12">
      <c r="B11" s="131"/>
      <c r="C11" s="36" t="s">
        <v>25</v>
      </c>
      <c r="D11" s="20"/>
      <c r="E11" s="21">
        <v>100</v>
      </c>
      <c r="F11" s="20" t="s">
        <v>26</v>
      </c>
      <c r="G11" s="20">
        <v>100</v>
      </c>
      <c r="H11" s="35">
        <f t="shared" si="2"/>
        <v>0</v>
      </c>
      <c r="I11" s="4">
        <f t="shared" si="0"/>
        <v>0</v>
      </c>
      <c r="J11" s="26">
        <v>7268</v>
      </c>
      <c r="K11" s="26">
        <f t="shared" si="1"/>
        <v>7268000</v>
      </c>
      <c r="L11" s="29">
        <v>76.086956521739125</v>
      </c>
    </row>
    <row r="12" spans="2:12">
      <c r="B12" s="131"/>
      <c r="C12" s="36" t="s">
        <v>27</v>
      </c>
      <c r="D12" s="20"/>
      <c r="E12" s="21">
        <v>100</v>
      </c>
      <c r="F12" s="20" t="s">
        <v>26</v>
      </c>
      <c r="G12" s="20">
        <v>30</v>
      </c>
      <c r="H12" s="35">
        <f t="shared" si="2"/>
        <v>0</v>
      </c>
      <c r="I12" s="4">
        <f t="shared" si="0"/>
        <v>0</v>
      </c>
      <c r="J12" s="26">
        <v>7268</v>
      </c>
      <c r="K12" s="26">
        <f t="shared" si="1"/>
        <v>7268000</v>
      </c>
      <c r="L12" s="29">
        <v>7.9251513483764446</v>
      </c>
    </row>
    <row r="13" spans="2:12">
      <c r="B13" s="131"/>
      <c r="C13" s="37" t="s">
        <v>28</v>
      </c>
      <c r="D13" s="20"/>
      <c r="E13" s="21">
        <v>100</v>
      </c>
      <c r="F13" s="20" t="s">
        <v>29</v>
      </c>
      <c r="G13" s="20">
        <v>40</v>
      </c>
      <c r="H13" s="35">
        <f t="shared" si="2"/>
        <v>0</v>
      </c>
      <c r="I13" s="4">
        <f t="shared" si="0"/>
        <v>0</v>
      </c>
      <c r="J13" s="26">
        <v>7268</v>
      </c>
      <c r="K13" s="26">
        <f t="shared" si="1"/>
        <v>7268000</v>
      </c>
      <c r="L13" s="29">
        <v>1.3758943313153549E-2</v>
      </c>
    </row>
    <row r="14" spans="2:12">
      <c r="B14" s="132"/>
      <c r="C14" s="37" t="s">
        <v>30</v>
      </c>
      <c r="D14" s="25"/>
      <c r="E14" s="21">
        <v>100</v>
      </c>
      <c r="F14" s="24" t="s">
        <v>30</v>
      </c>
      <c r="G14" s="25">
        <v>100</v>
      </c>
      <c r="H14" s="35">
        <f t="shared" si="2"/>
        <v>0</v>
      </c>
      <c r="I14" s="4">
        <f t="shared" si="0"/>
        <v>0</v>
      </c>
      <c r="J14" s="26">
        <v>7268</v>
      </c>
      <c r="K14" s="26">
        <f t="shared" si="1"/>
        <v>7268000</v>
      </c>
      <c r="L14" s="29">
        <v>3.1095211887727023</v>
      </c>
    </row>
    <row r="15" spans="2:12">
      <c r="B15" s="133" t="s">
        <v>31</v>
      </c>
      <c r="C15" s="38" t="s">
        <v>32</v>
      </c>
      <c r="D15" s="16"/>
      <c r="E15" s="16">
        <v>100</v>
      </c>
      <c r="F15" s="16" t="s">
        <v>32</v>
      </c>
      <c r="G15" s="16">
        <v>59.14</v>
      </c>
      <c r="H15" s="16">
        <f t="shared" si="2"/>
        <v>0</v>
      </c>
      <c r="I15" s="4">
        <f t="shared" si="0"/>
        <v>0</v>
      </c>
      <c r="J15" s="26">
        <v>7268</v>
      </c>
      <c r="K15" s="26">
        <f t="shared" si="1"/>
        <v>7268000</v>
      </c>
      <c r="L15" s="29">
        <v>16.274078150798019</v>
      </c>
    </row>
    <row r="16" spans="2:12" ht="15" thickBot="1">
      <c r="B16" s="133"/>
      <c r="C16" s="39" t="s">
        <v>33</v>
      </c>
      <c r="D16" s="40"/>
      <c r="E16" s="40">
        <v>100</v>
      </c>
      <c r="F16" s="40" t="s">
        <v>26</v>
      </c>
      <c r="G16" s="40">
        <v>52</v>
      </c>
      <c r="H16" s="40">
        <f t="shared" si="2"/>
        <v>0</v>
      </c>
      <c r="I16" s="8">
        <f t="shared" si="0"/>
        <v>0</v>
      </c>
      <c r="J16" s="26">
        <v>7268</v>
      </c>
      <c r="K16" s="9">
        <f t="shared" si="1"/>
        <v>7268000</v>
      </c>
      <c r="L16" s="44">
        <v>14.309301045679693</v>
      </c>
    </row>
    <row r="17" spans="9:12">
      <c r="I17" s="86"/>
      <c r="J17" s="86"/>
      <c r="K17" s="86"/>
      <c r="L17" s="87"/>
    </row>
  </sheetData>
  <mergeCells count="4">
    <mergeCell ref="C2:L2"/>
    <mergeCell ref="B4:B7"/>
    <mergeCell ref="B8:B14"/>
    <mergeCell ref="B15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A2AA4-6B49-433F-8D10-C11B0C5ABF5E}">
  <dimension ref="B1:G15"/>
  <sheetViews>
    <sheetView zoomScale="114" zoomScaleNormal="114" workbookViewId="0">
      <selection activeCell="E15" sqref="E15"/>
    </sheetView>
  </sheetViews>
  <sheetFormatPr defaultRowHeight="14.45"/>
  <cols>
    <col min="2" max="2" width="31.140625" customWidth="1"/>
    <col min="3" max="3" width="22.140625" bestFit="1" customWidth="1"/>
    <col min="4" max="4" width="13.5703125" bestFit="1" customWidth="1"/>
    <col min="5" max="5" width="29.140625" bestFit="1" customWidth="1"/>
    <col min="6" max="6" width="12.85546875" bestFit="1" customWidth="1"/>
    <col min="7" max="7" width="22.85546875" customWidth="1"/>
  </cols>
  <sheetData>
    <row r="1" spans="2:7" ht="15" thickBot="1"/>
    <row r="2" spans="2:7">
      <c r="B2" s="124"/>
      <c r="C2" s="126" t="s">
        <v>34</v>
      </c>
      <c r="D2" s="91" t="s">
        <v>35</v>
      </c>
      <c r="E2" s="91" t="s">
        <v>36</v>
      </c>
      <c r="F2" s="91" t="s">
        <v>37</v>
      </c>
      <c r="G2" s="92" t="s">
        <v>38</v>
      </c>
    </row>
    <row r="3" spans="2:7" ht="15" thickBot="1">
      <c r="B3" s="125"/>
      <c r="C3" s="127" t="s">
        <v>39</v>
      </c>
      <c r="D3" s="94" t="s">
        <v>39</v>
      </c>
      <c r="E3" s="94" t="s">
        <v>39</v>
      </c>
      <c r="F3" s="94" t="s">
        <v>39</v>
      </c>
      <c r="G3" s="95" t="s">
        <v>40</v>
      </c>
    </row>
    <row r="4" spans="2:7">
      <c r="B4" s="96" t="s">
        <v>13</v>
      </c>
      <c r="C4" s="90"/>
      <c r="D4" s="99"/>
      <c r="E4" s="99"/>
      <c r="F4" s="99">
        <v>720</v>
      </c>
      <c r="G4" s="100">
        <v>99064.391854705551</v>
      </c>
    </row>
    <row r="5" spans="2:7">
      <c r="B5" s="97" t="s">
        <v>14</v>
      </c>
      <c r="C5" s="101"/>
      <c r="D5" s="88"/>
      <c r="E5" s="88"/>
      <c r="F5" s="88">
        <v>798</v>
      </c>
      <c r="G5" s="102">
        <v>109796.36763896533</v>
      </c>
    </row>
    <row r="6" spans="2:7">
      <c r="B6" s="97" t="s">
        <v>16</v>
      </c>
      <c r="C6" s="101"/>
      <c r="D6" s="88"/>
      <c r="E6" s="88"/>
      <c r="F6" s="88">
        <v>1440</v>
      </c>
      <c r="G6" s="102">
        <v>198128.7837094111</v>
      </c>
    </row>
    <row r="7" spans="2:7">
      <c r="B7" s="97" t="s">
        <v>17</v>
      </c>
      <c r="C7" s="101"/>
      <c r="D7" s="88"/>
      <c r="E7" s="88"/>
      <c r="F7" s="88">
        <v>168</v>
      </c>
      <c r="G7" s="102">
        <v>23115.024766097966</v>
      </c>
    </row>
    <row r="8" spans="2:7">
      <c r="B8" s="97" t="s">
        <v>20</v>
      </c>
      <c r="C8" s="101"/>
      <c r="D8" s="88"/>
      <c r="E8" s="88"/>
      <c r="F8" s="88">
        <v>42</v>
      </c>
      <c r="G8" s="102">
        <v>5778.7561915244914</v>
      </c>
    </row>
    <row r="9" spans="2:7">
      <c r="B9" s="97" t="s">
        <v>22</v>
      </c>
      <c r="C9" s="101"/>
      <c r="D9" s="88"/>
      <c r="E9" s="88"/>
      <c r="F9" s="88">
        <v>0.8</v>
      </c>
      <c r="G9" s="102">
        <v>110.07154650522841</v>
      </c>
    </row>
    <row r="10" spans="2:7">
      <c r="B10" s="97" t="s">
        <v>26</v>
      </c>
      <c r="C10" s="101"/>
      <c r="D10" s="88"/>
      <c r="E10" s="88"/>
      <c r="F10" s="88">
        <v>714.6</v>
      </c>
      <c r="G10" s="102">
        <v>98321.408915795269</v>
      </c>
    </row>
    <row r="11" spans="2:7">
      <c r="B11" s="97" t="s">
        <v>29</v>
      </c>
      <c r="C11" s="101"/>
      <c r="D11" s="88"/>
      <c r="E11" s="88"/>
      <c r="F11" s="88">
        <v>0.1</v>
      </c>
      <c r="G11" s="102">
        <v>13.758943313153551</v>
      </c>
    </row>
    <row r="12" spans="2:7">
      <c r="B12" s="97" t="s">
        <v>30</v>
      </c>
      <c r="C12" s="101"/>
      <c r="D12" s="88"/>
      <c r="E12" s="88"/>
      <c r="F12" s="88">
        <v>22.6</v>
      </c>
      <c r="G12" s="102">
        <v>3109.5211887727023</v>
      </c>
    </row>
    <row r="13" spans="2:7" ht="15" thickBot="1">
      <c r="B13" s="98" t="s">
        <v>32</v>
      </c>
      <c r="C13" s="93"/>
      <c r="D13" s="103"/>
      <c r="E13" s="103"/>
      <c r="F13" s="103">
        <v>118.28</v>
      </c>
      <c r="G13" s="104">
        <v>16274.078150798017</v>
      </c>
    </row>
    <row r="14" spans="2:7">
      <c r="B14" s="89"/>
      <c r="C14" s="89"/>
      <c r="D14" s="89"/>
      <c r="E14" s="89"/>
      <c r="F14" s="89"/>
      <c r="G14" s="89"/>
    </row>
    <row r="15" spans="2:7">
      <c r="B15" s="89"/>
      <c r="C15" s="89"/>
      <c r="D15" s="89"/>
      <c r="E15" s="89"/>
      <c r="F15" s="89"/>
      <c r="G15" s="8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04985-941A-4F81-879C-13756EAA886C}">
  <dimension ref="B1:AB15"/>
  <sheetViews>
    <sheetView zoomScale="70" zoomScaleNormal="70" workbookViewId="0">
      <pane xSplit="4" ySplit="3" topLeftCell="K4" activePane="bottomRight" state="frozen"/>
      <selection pane="bottomRight" activeCell="C4" sqref="C4"/>
      <selection pane="bottomLeft" activeCell="A4" sqref="A4"/>
      <selection pane="topRight" activeCell="E1" sqref="E1"/>
    </sheetView>
  </sheetViews>
  <sheetFormatPr defaultRowHeight="14.45"/>
  <cols>
    <col min="1" max="1" width="16.28515625" bestFit="1" customWidth="1"/>
    <col min="2" max="2" width="26.28515625" bestFit="1" customWidth="1"/>
    <col min="3" max="3" width="18" bestFit="1" customWidth="1"/>
    <col min="4" max="4" width="13.42578125" bestFit="1" customWidth="1"/>
    <col min="5" max="5" width="15.85546875" customWidth="1"/>
    <col min="6" max="7" width="16.85546875" customWidth="1"/>
    <col min="8" max="9" width="16.42578125" bestFit="1" customWidth="1"/>
    <col min="10" max="10" width="12.42578125" customWidth="1"/>
    <col min="11" max="11" width="12.42578125" bestFit="1" customWidth="1"/>
    <col min="12" max="12" width="9.42578125" bestFit="1" customWidth="1"/>
    <col min="13" max="13" width="16.5703125" hidden="1" customWidth="1"/>
    <col min="14" max="14" width="12.140625" hidden="1" customWidth="1"/>
    <col min="15" max="15" width="8.140625" hidden="1" customWidth="1"/>
    <col min="16" max="16" width="7.42578125" hidden="1" customWidth="1"/>
    <col min="17" max="17" width="14.28515625" style="15" bestFit="1" customWidth="1"/>
    <col min="18" max="18" width="14.140625" style="15" bestFit="1" customWidth="1"/>
    <col min="19" max="19" width="43.42578125" bestFit="1" customWidth="1"/>
    <col min="20" max="20" width="3.28515625" customWidth="1"/>
    <col min="21" max="21" width="15.85546875" customWidth="1"/>
    <col min="22" max="22" width="14.85546875" customWidth="1"/>
    <col min="23" max="23" width="16.85546875" customWidth="1"/>
    <col min="24" max="24" width="18.28515625" customWidth="1"/>
    <col min="25" max="25" width="13.42578125" hidden="1" customWidth="1"/>
    <col min="26" max="26" width="14.5703125" hidden="1" customWidth="1"/>
    <col min="27" max="27" width="14.85546875" hidden="1" customWidth="1"/>
    <col min="28" max="28" width="19.5703125" hidden="1" customWidth="1"/>
  </cols>
  <sheetData>
    <row r="1" spans="2:28" ht="15" thickBot="1">
      <c r="D1">
        <f>20.5*1000</f>
        <v>20500</v>
      </c>
      <c r="U1" s="136" t="s">
        <v>41</v>
      </c>
      <c r="V1" s="137"/>
      <c r="W1" s="137"/>
      <c r="X1" s="137"/>
      <c r="Y1" s="137"/>
      <c r="Z1" s="137"/>
      <c r="AA1" s="137"/>
      <c r="AB1" s="137"/>
    </row>
    <row r="2" spans="2:28" s="1" customFormat="1" ht="15" thickBot="1">
      <c r="B2" s="140" t="s">
        <v>42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2"/>
      <c r="N2" s="142"/>
      <c r="O2" s="142"/>
      <c r="P2" s="142"/>
      <c r="Q2" s="142"/>
      <c r="R2" s="142"/>
      <c r="S2" s="143"/>
      <c r="T2" s="2"/>
      <c r="U2" s="138" t="s">
        <v>43</v>
      </c>
      <c r="V2" s="139"/>
      <c r="W2" s="144" t="s">
        <v>44</v>
      </c>
      <c r="X2" s="145"/>
      <c r="Y2" s="146" t="s">
        <v>45</v>
      </c>
      <c r="Z2" s="134"/>
      <c r="AA2" s="134" t="s">
        <v>46</v>
      </c>
      <c r="AB2" s="135"/>
    </row>
    <row r="3" spans="2:28" ht="72.95" thickBot="1">
      <c r="B3" s="54" t="s">
        <v>47</v>
      </c>
      <c r="C3" s="50" t="s">
        <v>48</v>
      </c>
      <c r="D3" s="50" t="s">
        <v>49</v>
      </c>
      <c r="E3" s="53" t="s">
        <v>50</v>
      </c>
      <c r="F3" s="55" t="s">
        <v>51</v>
      </c>
      <c r="G3" s="56" t="s">
        <v>52</v>
      </c>
      <c r="H3" s="106" t="s">
        <v>53</v>
      </c>
      <c r="I3" s="107" t="s">
        <v>54</v>
      </c>
      <c r="J3" s="55" t="s">
        <v>55</v>
      </c>
      <c r="K3" s="107" t="s">
        <v>56</v>
      </c>
      <c r="L3" s="110" t="s">
        <v>57</v>
      </c>
      <c r="M3" s="53" t="s">
        <v>58</v>
      </c>
      <c r="N3" s="59" t="s">
        <v>59</v>
      </c>
      <c r="O3" s="55" t="s">
        <v>60</v>
      </c>
      <c r="P3" s="61" t="s">
        <v>61</v>
      </c>
      <c r="Q3" s="69" t="s">
        <v>62</v>
      </c>
      <c r="R3" s="67" t="s">
        <v>63</v>
      </c>
      <c r="S3" s="56" t="s">
        <v>64</v>
      </c>
      <c r="T3" s="1"/>
      <c r="U3" s="6" t="s">
        <v>65</v>
      </c>
      <c r="V3" s="7" t="s">
        <v>66</v>
      </c>
      <c r="W3" s="6" t="s">
        <v>67</v>
      </c>
      <c r="X3" s="7" t="s">
        <v>68</v>
      </c>
      <c r="Y3" s="11" t="s">
        <v>69</v>
      </c>
      <c r="Z3" s="7" t="s">
        <v>70</v>
      </c>
      <c r="AA3" s="11" t="s">
        <v>71</v>
      </c>
      <c r="AB3" s="7" t="s">
        <v>72</v>
      </c>
    </row>
    <row r="4" spans="2:28" ht="29.1">
      <c r="B4" s="45" t="s">
        <v>13</v>
      </c>
      <c r="C4" s="57">
        <f>'Combined Concentrations'!G4</f>
        <v>99064.391854705551</v>
      </c>
      <c r="D4" s="57">
        <f>C4</f>
        <v>99064.391854705551</v>
      </c>
      <c r="E4" s="31">
        <f>'Combined Concentrations'!$F$15/365/24/3600</f>
        <v>0</v>
      </c>
      <c r="F4" s="31">
        <f>E4</f>
        <v>0</v>
      </c>
      <c r="G4" s="5">
        <v>3.3</v>
      </c>
      <c r="H4" s="108">
        <f>C4*E4*1000</f>
        <v>0</v>
      </c>
      <c r="I4" s="109">
        <f>D4*F4*1000</f>
        <v>0</v>
      </c>
      <c r="J4" s="27">
        <f>E4+G4</f>
        <v>3.3</v>
      </c>
      <c r="K4" s="27">
        <f>H4/(J4*1000)</f>
        <v>0</v>
      </c>
      <c r="L4" s="30">
        <f>I4/(J4*1000)</f>
        <v>0</v>
      </c>
      <c r="M4" s="68"/>
      <c r="N4" s="51"/>
      <c r="O4" s="52"/>
      <c r="P4" s="52"/>
      <c r="Q4" s="73" t="s">
        <v>73</v>
      </c>
      <c r="R4" s="62">
        <v>80000</v>
      </c>
      <c r="S4" s="65" t="s">
        <v>74</v>
      </c>
      <c r="U4" s="13"/>
      <c r="V4" s="14" t="str">
        <f t="shared" ref="V4:V13" si="0">IF(D4&lt;R4*0.1, "Pass","Fail")</f>
        <v>Fail</v>
      </c>
      <c r="W4" s="112"/>
      <c r="X4" s="113" t="str">
        <f t="shared" ref="X4:X6" si="1">IF(L4&lt;R4*0.04,"Pass","Fail")</f>
        <v>Pass</v>
      </c>
      <c r="Y4" s="60"/>
      <c r="Z4" s="14"/>
      <c r="AA4" s="60"/>
      <c r="AB4" s="14"/>
    </row>
    <row r="5" spans="2:28">
      <c r="B5" s="46" t="s">
        <v>14</v>
      </c>
      <c r="C5" s="57">
        <f>'Combined Concentrations'!G5</f>
        <v>109796.36763896533</v>
      </c>
      <c r="D5" s="57">
        <f t="shared" ref="D5:D13" si="2">C5</f>
        <v>109796.36763896533</v>
      </c>
      <c r="E5" s="31">
        <f>'Combined Concentrations'!$F$15/365/24/3600</f>
        <v>0</v>
      </c>
      <c r="F5" s="31">
        <f t="shared" ref="F5:F13" si="3">E5</f>
        <v>0</v>
      </c>
      <c r="G5" s="5">
        <v>3.3</v>
      </c>
      <c r="H5" s="108">
        <f t="shared" ref="H5:H13" si="4">C5*E5*1000</f>
        <v>0</v>
      </c>
      <c r="I5" s="109">
        <f t="shared" ref="I5:I13" si="5">D5*F5*1000</f>
        <v>0</v>
      </c>
      <c r="J5" s="27">
        <f t="shared" ref="J5:J13" si="6">E5+G5</f>
        <v>3.3</v>
      </c>
      <c r="K5" s="27">
        <f t="shared" ref="K5:K13" si="7">H5/(J5*1000)</f>
        <v>0</v>
      </c>
      <c r="L5" s="30">
        <f t="shared" ref="L5:L13" si="8">I5/(J5*1000)</f>
        <v>0</v>
      </c>
      <c r="M5" s="12"/>
      <c r="N5" s="48"/>
      <c r="O5" s="49"/>
      <c r="P5" s="49"/>
      <c r="Q5" s="111">
        <v>400</v>
      </c>
      <c r="R5" s="111">
        <v>4000</v>
      </c>
      <c r="S5" s="65" t="s">
        <v>75</v>
      </c>
      <c r="U5" s="13" t="str">
        <f>IF(C5&lt;Q5*0.1, "Pass","Fail")</f>
        <v>Fail</v>
      </c>
      <c r="V5" s="10" t="str">
        <f t="shared" si="0"/>
        <v>Fail</v>
      </c>
      <c r="W5" s="112" t="str">
        <f>IF(K5&lt;Q5*0.04,"Pass","Fail")</f>
        <v>Pass</v>
      </c>
      <c r="X5" s="113" t="str">
        <f t="shared" si="1"/>
        <v>Pass</v>
      </c>
      <c r="Y5" s="60"/>
      <c r="Z5" s="14"/>
      <c r="AA5" s="60"/>
      <c r="AB5" s="14"/>
    </row>
    <row r="6" spans="2:28" ht="29.1">
      <c r="B6" s="46" t="s">
        <v>16</v>
      </c>
      <c r="C6" s="57">
        <f>'Combined Concentrations'!G6</f>
        <v>198128.7837094111</v>
      </c>
      <c r="D6" s="57">
        <f t="shared" si="2"/>
        <v>198128.7837094111</v>
      </c>
      <c r="E6" s="31">
        <f>'Combined Concentrations'!$F$15/365/24/3600</f>
        <v>0</v>
      </c>
      <c r="F6" s="31">
        <f t="shared" si="3"/>
        <v>0</v>
      </c>
      <c r="G6" s="5">
        <v>3.3</v>
      </c>
      <c r="H6" s="108">
        <f t="shared" si="4"/>
        <v>0</v>
      </c>
      <c r="I6" s="109">
        <f t="shared" si="5"/>
        <v>0</v>
      </c>
      <c r="J6" s="27">
        <f t="shared" si="6"/>
        <v>3.3</v>
      </c>
      <c r="K6" s="27">
        <f t="shared" si="7"/>
        <v>0</v>
      </c>
      <c r="L6" s="30">
        <f t="shared" si="8"/>
        <v>0</v>
      </c>
      <c r="M6" s="12"/>
      <c r="N6" s="48"/>
      <c r="O6" s="49"/>
      <c r="P6" s="49"/>
      <c r="Q6" s="74" t="s">
        <v>73</v>
      </c>
      <c r="R6" s="63">
        <v>3500</v>
      </c>
      <c r="S6" s="65" t="s">
        <v>74</v>
      </c>
      <c r="U6" s="13"/>
      <c r="V6" s="5" t="str">
        <f t="shared" si="0"/>
        <v>Fail</v>
      </c>
      <c r="W6" s="112"/>
      <c r="X6" s="114" t="str">
        <f t="shared" si="1"/>
        <v>Pass</v>
      </c>
      <c r="Y6" s="3" t="e">
        <f t="shared" ref="Y6" si="9">IF((M6-P6)&lt;Q6*0.1,"Pass","Fail")</f>
        <v>#VALUE!</v>
      </c>
      <c r="Z6" s="5" t="str">
        <f t="shared" ref="Z6" si="10">IF((M6-P6)&lt;R6*0.1,"Pass","Fail")</f>
        <v>Pass</v>
      </c>
      <c r="AA6" s="3" t="str">
        <f t="shared" ref="AA6" si="11">IF(O6&lt;Q6,"Pass","Fail")</f>
        <v>Pass</v>
      </c>
      <c r="AB6" s="5" t="str">
        <f t="shared" ref="AB6" si="12">IF(P6&lt;R6,"Pass","Fail")</f>
        <v>Pass</v>
      </c>
    </row>
    <row r="7" spans="2:28" ht="29.1">
      <c r="B7" s="46" t="s">
        <v>17</v>
      </c>
      <c r="C7" s="57">
        <f>'Combined Concentrations'!G7</f>
        <v>23115.024766097966</v>
      </c>
      <c r="D7" s="57">
        <f t="shared" si="2"/>
        <v>23115.024766097966</v>
      </c>
      <c r="E7" s="31">
        <f>'Combined Concentrations'!$F$15/365/24/3600</f>
        <v>0</v>
      </c>
      <c r="F7" s="31">
        <f t="shared" si="3"/>
        <v>0</v>
      </c>
      <c r="G7" s="5">
        <v>3.3</v>
      </c>
      <c r="H7" s="108">
        <f t="shared" si="4"/>
        <v>0</v>
      </c>
      <c r="I7" s="109">
        <f t="shared" si="5"/>
        <v>0</v>
      </c>
      <c r="J7" s="27">
        <f t="shared" si="6"/>
        <v>3.3</v>
      </c>
      <c r="K7" s="27">
        <f t="shared" si="7"/>
        <v>0</v>
      </c>
      <c r="L7" s="30">
        <f t="shared" si="8"/>
        <v>0</v>
      </c>
      <c r="M7" s="12"/>
      <c r="N7" s="48"/>
      <c r="O7" s="49"/>
      <c r="P7" s="49"/>
      <c r="Q7" s="74" t="s">
        <v>73</v>
      </c>
      <c r="R7" s="75">
        <v>1516000</v>
      </c>
      <c r="S7" s="65" t="s">
        <v>74</v>
      </c>
      <c r="U7" s="13"/>
      <c r="V7" s="10" t="str">
        <f t="shared" si="0"/>
        <v>Pass</v>
      </c>
      <c r="W7" s="112"/>
      <c r="X7" s="113"/>
      <c r="Y7" s="60"/>
      <c r="Z7" s="14"/>
      <c r="AA7" s="60"/>
      <c r="AB7" s="14"/>
    </row>
    <row r="8" spans="2:28" ht="43.5">
      <c r="B8" s="46" t="s">
        <v>20</v>
      </c>
      <c r="C8" s="57">
        <f>'Combined Concentrations'!G8</f>
        <v>5778.7561915244914</v>
      </c>
      <c r="D8" s="57">
        <f t="shared" si="2"/>
        <v>5778.7561915244914</v>
      </c>
      <c r="E8" s="31">
        <f>'Combined Concentrations'!$F$15/365/24/3600</f>
        <v>0</v>
      </c>
      <c r="F8" s="31">
        <f t="shared" si="3"/>
        <v>0</v>
      </c>
      <c r="G8" s="5">
        <v>3.3</v>
      </c>
      <c r="H8" s="108">
        <f t="shared" si="4"/>
        <v>0</v>
      </c>
      <c r="I8" s="109">
        <f t="shared" si="5"/>
        <v>0</v>
      </c>
      <c r="J8" s="27">
        <f t="shared" si="6"/>
        <v>3.3</v>
      </c>
      <c r="K8" s="27">
        <f t="shared" si="7"/>
        <v>0</v>
      </c>
      <c r="L8" s="30">
        <f t="shared" si="8"/>
        <v>0</v>
      </c>
      <c r="M8" s="12"/>
      <c r="N8" s="48"/>
      <c r="O8" s="49"/>
      <c r="P8" s="49"/>
      <c r="Q8" s="74" t="s">
        <v>73</v>
      </c>
      <c r="R8" s="75">
        <v>34800</v>
      </c>
      <c r="S8" s="65" t="s">
        <v>76</v>
      </c>
      <c r="U8" s="13"/>
      <c r="V8" s="14" t="str">
        <f t="shared" si="0"/>
        <v>Fail</v>
      </c>
      <c r="W8" s="112"/>
      <c r="X8" s="113" t="str">
        <f t="shared" ref="X8:X13" si="13">IF(L8&lt;R8*0.04,"Pass","Fail")</f>
        <v>Pass</v>
      </c>
      <c r="Y8" s="60"/>
      <c r="Z8" s="14"/>
      <c r="AA8" s="60"/>
      <c r="AB8" s="14"/>
    </row>
    <row r="9" spans="2:28">
      <c r="B9" s="46" t="s">
        <v>22</v>
      </c>
      <c r="C9" s="57">
        <f>'Combined Concentrations'!G9</f>
        <v>110.07154650522841</v>
      </c>
      <c r="D9" s="57">
        <f t="shared" si="2"/>
        <v>110.07154650522841</v>
      </c>
      <c r="E9" s="31">
        <f>'Combined Concentrations'!$F$15/365/24/3600</f>
        <v>0</v>
      </c>
      <c r="F9" s="31">
        <f t="shared" si="3"/>
        <v>0</v>
      </c>
      <c r="G9" s="5">
        <v>3.3</v>
      </c>
      <c r="H9" s="108">
        <f t="shared" si="4"/>
        <v>0</v>
      </c>
      <c r="I9" s="109">
        <f t="shared" si="5"/>
        <v>0</v>
      </c>
      <c r="J9" s="27">
        <f t="shared" si="6"/>
        <v>3.3</v>
      </c>
      <c r="K9" s="27">
        <f t="shared" si="7"/>
        <v>0</v>
      </c>
      <c r="L9" s="30">
        <f t="shared" si="8"/>
        <v>0</v>
      </c>
      <c r="M9" s="12"/>
      <c r="N9" s="48"/>
      <c r="O9" s="49"/>
      <c r="P9" s="49"/>
      <c r="Q9" s="74" t="s">
        <v>73</v>
      </c>
      <c r="R9" s="74" t="s">
        <v>73</v>
      </c>
      <c r="S9" s="5" t="s">
        <v>77</v>
      </c>
      <c r="U9" s="13"/>
      <c r="V9" s="14"/>
      <c r="W9" s="112"/>
      <c r="X9" s="113"/>
      <c r="Y9" s="60"/>
      <c r="Z9" s="14"/>
      <c r="AA9" s="60"/>
      <c r="AB9" s="14"/>
    </row>
    <row r="10" spans="2:28" ht="29.1">
      <c r="B10" s="46" t="s">
        <v>26</v>
      </c>
      <c r="C10" s="57">
        <f>'Combined Concentrations'!G10</f>
        <v>98321.408915795269</v>
      </c>
      <c r="D10" s="57">
        <f t="shared" si="2"/>
        <v>98321.408915795269</v>
      </c>
      <c r="E10" s="31">
        <f>'Combined Concentrations'!$F$15/365/24/3600</f>
        <v>0</v>
      </c>
      <c r="F10" s="31">
        <f t="shared" si="3"/>
        <v>0</v>
      </c>
      <c r="G10" s="5">
        <v>3.3</v>
      </c>
      <c r="H10" s="108">
        <f t="shared" si="4"/>
        <v>0</v>
      </c>
      <c r="I10" s="109">
        <f t="shared" si="5"/>
        <v>0</v>
      </c>
      <c r="J10" s="27">
        <f t="shared" si="6"/>
        <v>3.3</v>
      </c>
      <c r="K10" s="27">
        <f t="shared" si="7"/>
        <v>0</v>
      </c>
      <c r="L10" s="30">
        <f t="shared" si="8"/>
        <v>0</v>
      </c>
      <c r="M10" s="12"/>
      <c r="N10" s="48"/>
      <c r="O10" s="49"/>
      <c r="P10" s="49"/>
      <c r="Q10" s="71" t="s">
        <v>73</v>
      </c>
      <c r="R10" s="76">
        <v>45400</v>
      </c>
      <c r="S10" s="65" t="s">
        <v>74</v>
      </c>
      <c r="U10" s="13"/>
      <c r="V10" s="14" t="str">
        <f t="shared" si="0"/>
        <v>Fail</v>
      </c>
      <c r="W10" s="112"/>
      <c r="X10" s="113" t="str">
        <f t="shared" si="13"/>
        <v>Pass</v>
      </c>
      <c r="Y10" s="60"/>
      <c r="Z10" s="14"/>
      <c r="AA10" s="60"/>
      <c r="AB10" s="14"/>
    </row>
    <row r="11" spans="2:28" ht="57.95">
      <c r="B11" s="46" t="s">
        <v>29</v>
      </c>
      <c r="C11" s="57">
        <f>'Combined Concentrations'!G11</f>
        <v>13.758943313153551</v>
      </c>
      <c r="D11" s="57">
        <f t="shared" si="2"/>
        <v>13.758943313153551</v>
      </c>
      <c r="E11" s="31">
        <f>'Combined Concentrations'!$F$15/365/24/3600</f>
        <v>0</v>
      </c>
      <c r="F11" s="31">
        <f t="shared" si="3"/>
        <v>0</v>
      </c>
      <c r="G11" s="5">
        <v>3.3</v>
      </c>
      <c r="H11" s="108">
        <f t="shared" si="4"/>
        <v>0</v>
      </c>
      <c r="I11" s="109">
        <f t="shared" si="5"/>
        <v>0</v>
      </c>
      <c r="J11" s="27">
        <f t="shared" si="6"/>
        <v>3.3</v>
      </c>
      <c r="K11" s="27">
        <f t="shared" si="7"/>
        <v>0</v>
      </c>
      <c r="L11" s="30">
        <f t="shared" si="8"/>
        <v>0</v>
      </c>
      <c r="M11" s="12"/>
      <c r="N11" s="48"/>
      <c r="O11" s="49"/>
      <c r="P11" s="49"/>
      <c r="Q11" s="71" t="s">
        <v>73</v>
      </c>
      <c r="R11" s="64">
        <v>20500</v>
      </c>
      <c r="S11" s="65" t="s">
        <v>78</v>
      </c>
      <c r="U11" s="13"/>
      <c r="V11" s="14" t="str">
        <f t="shared" si="0"/>
        <v>Pass</v>
      </c>
      <c r="W11" s="112"/>
      <c r="X11" s="113"/>
      <c r="Y11" s="60"/>
      <c r="Z11" s="14"/>
      <c r="AA11" s="60"/>
      <c r="AB11" s="14"/>
    </row>
    <row r="12" spans="2:28" ht="29.1">
      <c r="B12" s="46" t="s">
        <v>30</v>
      </c>
      <c r="C12" s="57">
        <f>'Combined Concentrations'!G12</f>
        <v>3109.5211887727023</v>
      </c>
      <c r="D12" s="57">
        <f t="shared" si="2"/>
        <v>3109.5211887727023</v>
      </c>
      <c r="E12" s="31">
        <f>'Combined Concentrations'!$F$15/365/24/3600</f>
        <v>0</v>
      </c>
      <c r="F12" s="31">
        <f t="shared" si="3"/>
        <v>0</v>
      </c>
      <c r="G12" s="5">
        <v>3.3</v>
      </c>
      <c r="H12" s="108">
        <f t="shared" si="4"/>
        <v>0</v>
      </c>
      <c r="I12" s="109">
        <f t="shared" si="5"/>
        <v>0</v>
      </c>
      <c r="J12" s="27">
        <f t="shared" si="6"/>
        <v>3.3</v>
      </c>
      <c r="K12" s="27">
        <f t="shared" si="7"/>
        <v>0</v>
      </c>
      <c r="L12" s="30">
        <f t="shared" si="8"/>
        <v>0</v>
      </c>
      <c r="M12" s="12"/>
      <c r="N12" s="48"/>
      <c r="O12" s="49"/>
      <c r="P12" s="49"/>
      <c r="Q12" s="71" t="s">
        <v>73</v>
      </c>
      <c r="R12" s="77">
        <v>15300000</v>
      </c>
      <c r="S12" s="65" t="s">
        <v>79</v>
      </c>
      <c r="U12" s="13"/>
      <c r="V12" s="14" t="str">
        <f t="shared" si="0"/>
        <v>Pass</v>
      </c>
      <c r="W12" s="112"/>
      <c r="X12" s="113"/>
      <c r="Y12" s="60"/>
      <c r="Z12" s="14"/>
      <c r="AA12" s="60"/>
      <c r="AB12" s="14"/>
    </row>
    <row r="13" spans="2:28" ht="58.5" thickBot="1">
      <c r="B13" s="47" t="s">
        <v>32</v>
      </c>
      <c r="C13" s="57">
        <f>'Combined Concentrations'!G13</f>
        <v>16274.078150798017</v>
      </c>
      <c r="D13" s="58">
        <f t="shared" si="2"/>
        <v>16274.078150798017</v>
      </c>
      <c r="E13" s="122">
        <f>'Combined Concentrations'!$F$15/365/24/3600</f>
        <v>0</v>
      </c>
      <c r="F13" s="122">
        <f t="shared" si="3"/>
        <v>0</v>
      </c>
      <c r="G13" s="123">
        <v>3.3</v>
      </c>
      <c r="H13" s="119">
        <f t="shared" si="4"/>
        <v>0</v>
      </c>
      <c r="I13" s="120">
        <f t="shared" si="5"/>
        <v>0</v>
      </c>
      <c r="J13" s="28">
        <f t="shared" si="6"/>
        <v>3.3</v>
      </c>
      <c r="K13" s="28">
        <f t="shared" si="7"/>
        <v>0</v>
      </c>
      <c r="L13" s="121">
        <f t="shared" si="8"/>
        <v>0</v>
      </c>
      <c r="M13" s="8"/>
      <c r="N13" s="9"/>
      <c r="O13" s="9"/>
      <c r="P13" s="9"/>
      <c r="Q13" s="72" t="s">
        <v>73</v>
      </c>
      <c r="R13" s="70">
        <v>28000</v>
      </c>
      <c r="S13" s="66" t="s">
        <v>80</v>
      </c>
      <c r="U13" s="115"/>
      <c r="V13" s="116" t="str">
        <f t="shared" si="0"/>
        <v>Fail</v>
      </c>
      <c r="W13" s="117"/>
      <c r="X13" s="118" t="str">
        <f t="shared" si="13"/>
        <v>Pass</v>
      </c>
      <c r="Y13" s="60"/>
      <c r="Z13" s="14"/>
      <c r="AA13" s="60"/>
      <c r="AB13" s="14"/>
    </row>
    <row r="15" spans="2:28">
      <c r="B15" t="s">
        <v>81</v>
      </c>
      <c r="C15" s="105" t="s">
        <v>82</v>
      </c>
    </row>
  </sheetData>
  <mergeCells count="6">
    <mergeCell ref="AA2:AB2"/>
    <mergeCell ref="U1:AB1"/>
    <mergeCell ref="U2:V2"/>
    <mergeCell ref="B2:S2"/>
    <mergeCell ref="W2:X2"/>
    <mergeCell ref="Y2:Z2"/>
  </mergeCells>
  <conditionalFormatting sqref="U1:AB1048576">
    <cfRule type="containsText" dxfId="2" priority="7" operator="containsText" text="VALUE">
      <formula>NOT(ISERROR(SEARCH("VALUE",U1)))</formula>
    </cfRule>
    <cfRule type="containsText" dxfId="1" priority="8" operator="containsText" text="Pass">
      <formula>NOT(ISERROR(SEARCH("Pass",U1)))</formula>
    </cfRule>
    <cfRule type="containsText" dxfId="0" priority="9" operator="containsText" text="Fail">
      <formula>NOT(ISERROR(SEARCH("Fail",U1)))</formula>
    </cfRule>
  </conditionalFormatting>
  <hyperlinks>
    <hyperlink ref="C15" r:id="rId1" display="https://nrfa.ceh.ac.uk/data/station/meanflow/39002" xr:uid="{A1F4F575-37B5-4A66-AE33-D437631C5404}"/>
  </hyperlinks>
  <pageMargins left="0.7" right="0.7" top="0.75" bottom="0.75" header="0.3" footer="0.3"/>
  <pageSetup paperSize="9"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4F39980E6E4466409E7A15C1D514AAA0" ma:contentTypeVersion="42" ma:contentTypeDescription="Create a new document." ma:contentTypeScope="" ma:versionID="d26432916e1489d1ee0b4fb5965ac5db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b8fba03f-b465-42d4-a04d-5eac66a5065f" targetNamespace="http://schemas.microsoft.com/office/2006/metadata/properties" ma:root="true" ma:fieldsID="8b9a53347e7796beaecb8fc8cf305e90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b8fba03f-b465-42d4-a04d-5eac66a5065f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ObjectDetectorVersions" minOccurs="0"/>
                <xsd:element ref="ns6:lcf76f155ced4ddcb4097134ff3c332f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Location" minOccurs="0"/>
                <xsd:element ref="ns6:MediaServiceSearchProperties" minOccurs="0"/>
                <xsd:element ref="ns6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fba03f-b465-42d4-a04d-5eac66a506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5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52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5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57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5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5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2024-02-20T00:00:00+00:00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EPR-TP3822SV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>EPR/TP3822SV</OtherReference>
    <EventLink xmlns="5ffd8e36-f429-4edc-ab50-c5be84842779" xsi:nil="true"/>
    <Customer_x002f_OperatorName xmlns="eebef177-55b5-4448-a5fb-28ea454417ee">Moderna UK Biotech Manufacturing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DocumentDate xmlns="eebef177-55b5-4448-a5fb-28ea454417ee">2024-02-20T00:00:00+00:00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lcf76f155ced4ddcb4097134ff3c332f xmlns="b8fba03f-b465-42d4-a04d-5eac66a5065f">
      <Terms xmlns="http://schemas.microsoft.com/office/infopath/2007/PartnerControls"/>
    </lcf76f155ced4ddcb4097134ff3c332f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EPR/TP3822SV</EPRNumber>
    <FacilityAddressPostcode xmlns="eebef177-55b5-4448-a5fb-28ea454417ee">OX11 0RL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41</Value>
      <Value>49</Value>
      <Value>11</Value>
      <Value>32</Value>
      <Value>14</Value>
    </TaxCatchAll>
    <ExternalAuthor xmlns="eebef177-55b5-4448-a5fb-28ea454417ee">Stephen Panton</ExternalAuthor>
    <SiteName xmlns="eebef177-55b5-4448-a5fb-28ea454417ee">Moderna Drug Substance Manufacturing Facility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FacilityAddress xmlns="eebef177-55b5-4448-a5fb-28ea454417ee">Harwell Science and Innovation Campus, Harwell, Oxfordshire, OX11 0RL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Bespoke</TermName>
          <TermId xmlns="http://schemas.microsoft.com/office/infopath/2007/PartnerControls">743fbb82-64b4-442a-8bac-afa632175399</TermId>
        </TermInfo>
      </Terms>
    </la34db7254a948be973d9738b9f07ba7>
  </documentManagement>
</p:properties>
</file>

<file path=customXml/itemProps1.xml><?xml version="1.0" encoding="utf-8"?>
<ds:datastoreItem xmlns:ds="http://schemas.openxmlformats.org/officeDocument/2006/customXml" ds:itemID="{F887C7B6-1AC5-4CD3-83DC-AD97A98BC586}"/>
</file>

<file path=customXml/itemProps2.xml><?xml version="1.0" encoding="utf-8"?>
<ds:datastoreItem xmlns:ds="http://schemas.openxmlformats.org/officeDocument/2006/customXml" ds:itemID="{81DFC71D-27C5-447D-B122-E6829A1D3F95}"/>
</file>

<file path=customXml/itemProps3.xml><?xml version="1.0" encoding="utf-8"?>
<ds:datastoreItem xmlns:ds="http://schemas.openxmlformats.org/officeDocument/2006/customXml" ds:itemID="{50FF9F32-8E24-4E24-A4B8-C90B6DFE3C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Taraka Rhodes</dc:creator>
  <cp:keywords/>
  <dc:description/>
  <cp:lastModifiedBy/>
  <cp:revision/>
  <dcterms:created xsi:type="dcterms:W3CDTF">2023-12-05T13:04:44Z</dcterms:created>
  <dcterms:modified xsi:type="dcterms:W3CDTF">2024-03-21T12:48:27Z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0x0101000E9AD557692E154F9D2697C8C6432F76004F39980E6E4466409E7A15C1D514AAA0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32;#Bespoke|743fbb82-64b4-442a-8bac-afa632175399</vt:lpwstr>
  </property>
  <property fmtid="{D5CDD505-2E9C-101B-9397-08002B2CF9AE}" pid="6" name="DisclosureStatus">
    <vt:lpwstr>41;#Public Register|f1fcf6a6-5d97-4f1d-964e-a2f916eb1f18</vt:lpwstr>
  </property>
  <property fmtid="{D5CDD505-2E9C-101B-9397-08002B2CF9AE}" pid="7" name="EventType1">
    <vt:lpwstr/>
  </property>
  <property fmtid="{D5CDD505-2E9C-101B-9397-08002B2CF9AE}" pid="8" name="ActivityGrouping">
    <vt:lpwstr>14;#Application ＆ Associated Docs|5eadfd3c-6deb-44e1-b7e1-16accd427bec</vt:lpwstr>
  </property>
  <property fmtid="{D5CDD505-2E9C-101B-9397-08002B2CF9AE}" pid="9" name="RegulatedActivityClass">
    <vt:lpwstr>49;#Installations|645f1c9c-65df-490a-9ce3-4a2aa7c5ff7f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11;#EPR|0e5af97d-1a8c-4d8f-a20b-528a11cab1f6</vt:lpwstr>
  </property>
  <property fmtid="{D5CDD505-2E9C-101B-9397-08002B2CF9AE}" pid="15" name="RegulatedActivitySub-Class">
    <vt:lpwstr/>
  </property>
  <property fmtid="{D5CDD505-2E9C-101B-9397-08002B2CF9AE}" pid="16" name="SysUpdateNoER">
    <vt:lpwstr>No</vt:lpwstr>
  </property>
</Properties>
</file>