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/>
  <mc:AlternateContent xmlns:mc="http://schemas.openxmlformats.org/markup-compatibility/2006">
    <mc:Choice Requires="x15">
      <x15ac:absPath xmlns:x15ac="http://schemas.microsoft.com/office/spreadsheetml/2010/11/ac" url="P:\Confidential Projects\0693210 Consolidated Moderna, Inc. Moderna Harwell EHS support.AR\Environmental Permit\9. Installation Permit\H1 Risk Assessment\"/>
    </mc:Choice>
  </mc:AlternateContent>
  <xr:revisionPtr revIDLastSave="0" documentId="8_{D4AF6A33-F1ED-40BA-B222-5A7B16CBD4B8}" xr6:coauthVersionLast="47" xr6:coauthVersionMax="47" xr10:uidLastSave="{00000000-0000-0000-0000-000000000000}"/>
  <bookViews>
    <workbookView xWindow="-120" yWindow="-120" windowWidth="29040" windowHeight="15840" firstSheet="1" activeTab="1" xr2:uid="{3288CE62-933B-384A-B492-E3C744E67A6A}"/>
  </bookViews>
  <sheets>
    <sheet name="Long Term Inputs" sheetId="1" r:id="rId1"/>
    <sheet name="Long Term Test 1&amp;2" sheetId="8" r:id="rId2"/>
    <sheet name="Short Term Inputs" sheetId="7" r:id="rId3"/>
    <sheet name="Short Term Test 1&amp;2" sheetId="9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8" l="1"/>
  <c r="K7" i="8"/>
  <c r="K8" i="8"/>
  <c r="K9" i="8"/>
  <c r="K10" i="8"/>
  <c r="K11" i="8"/>
  <c r="K13" i="8"/>
  <c r="K14" i="8"/>
  <c r="K16" i="8"/>
  <c r="K17" i="8"/>
  <c r="K5" i="8"/>
  <c r="C7" i="9"/>
  <c r="C7" i="8"/>
  <c r="H6" i="8" l="1"/>
  <c r="D4" i="1" l="1"/>
  <c r="H15" i="9"/>
  <c r="D20" i="7"/>
  <c r="F20" i="7" s="1"/>
  <c r="D17" i="9" s="1"/>
  <c r="E17" i="9" s="1"/>
  <c r="G17" i="9" s="1"/>
  <c r="D19" i="7"/>
  <c r="F19" i="7" s="1"/>
  <c r="D16" i="9" s="1"/>
  <c r="E16" i="9" s="1"/>
  <c r="G16" i="9" s="1"/>
  <c r="D18" i="7"/>
  <c r="F18" i="7" s="1"/>
  <c r="D15" i="9" s="1"/>
  <c r="E15" i="9" s="1"/>
  <c r="G15" i="9" s="1"/>
  <c r="D17" i="7"/>
  <c r="F17" i="7" s="1"/>
  <c r="D14" i="9" s="1"/>
  <c r="E14" i="9" s="1"/>
  <c r="G14" i="9" s="1"/>
  <c r="D16" i="7"/>
  <c r="F16" i="7" s="1"/>
  <c r="D13" i="9" s="1"/>
  <c r="E13" i="9" s="1"/>
  <c r="G13" i="9" s="1"/>
  <c r="D15" i="7"/>
  <c r="F15" i="7" s="1"/>
  <c r="D12" i="9" s="1"/>
  <c r="D14" i="7"/>
  <c r="F14" i="7" s="1"/>
  <c r="D11" i="9" s="1"/>
  <c r="E11" i="9" s="1"/>
  <c r="G11" i="9" s="1"/>
  <c r="D13" i="7"/>
  <c r="F13" i="7" s="1"/>
  <c r="D10" i="9" s="1"/>
  <c r="D12" i="7"/>
  <c r="F12" i="7" s="1"/>
  <c r="D9" i="9" s="1"/>
  <c r="E9" i="9" s="1"/>
  <c r="G9" i="9" s="1"/>
  <c r="D11" i="7"/>
  <c r="F11" i="7" s="1"/>
  <c r="D8" i="9" s="1"/>
  <c r="E8" i="9" s="1"/>
  <c r="G8" i="9" s="1"/>
  <c r="D10" i="7"/>
  <c r="F10" i="7" s="1"/>
  <c r="D7" i="9" s="1"/>
  <c r="D9" i="7"/>
  <c r="F9" i="7" s="1"/>
  <c r="D6" i="9" s="1"/>
  <c r="E6" i="9" s="1"/>
  <c r="G6" i="9" s="1"/>
  <c r="D8" i="7"/>
  <c r="F8" i="7" s="1"/>
  <c r="D5" i="9" s="1"/>
  <c r="E5" i="9" s="1"/>
  <c r="G5" i="9" s="1"/>
  <c r="D20" i="1"/>
  <c r="F20" i="1" s="1"/>
  <c r="D17" i="8" s="1"/>
  <c r="E17" i="8" s="1"/>
  <c r="G17" i="8" s="1"/>
  <c r="D19" i="1"/>
  <c r="F19" i="1" s="1"/>
  <c r="D16" i="8" s="1"/>
  <c r="E16" i="8" s="1"/>
  <c r="G16" i="8" s="1"/>
  <c r="D18" i="1"/>
  <c r="F18" i="1" s="1"/>
  <c r="D15" i="8" s="1"/>
  <c r="E15" i="8" s="1"/>
  <c r="G15" i="8" s="1"/>
  <c r="D17" i="1"/>
  <c r="F17" i="1" s="1"/>
  <c r="D14" i="8" s="1"/>
  <c r="E14" i="8" s="1"/>
  <c r="G14" i="8" s="1"/>
  <c r="D16" i="1"/>
  <c r="F16" i="1" s="1"/>
  <c r="D13" i="8" s="1"/>
  <c r="E13" i="8" s="1"/>
  <c r="G13" i="8" s="1"/>
  <c r="D15" i="1"/>
  <c r="F15" i="1" s="1"/>
  <c r="D12" i="8" s="1"/>
  <c r="D14" i="1"/>
  <c r="F14" i="1" s="1"/>
  <c r="D11" i="8" s="1"/>
  <c r="E11" i="8" s="1"/>
  <c r="G11" i="8" s="1"/>
  <c r="D13" i="1"/>
  <c r="F13" i="1" s="1"/>
  <c r="D10" i="8" s="1"/>
  <c r="D12" i="1"/>
  <c r="F12" i="1" s="1"/>
  <c r="D9" i="8" s="1"/>
  <c r="E9" i="8" s="1"/>
  <c r="G9" i="8" s="1"/>
  <c r="D11" i="1"/>
  <c r="F11" i="1" s="1"/>
  <c r="D8" i="8" s="1"/>
  <c r="E8" i="8" s="1"/>
  <c r="G8" i="8" s="1"/>
  <c r="D10" i="1"/>
  <c r="F10" i="1" s="1"/>
  <c r="D7" i="8" s="1"/>
  <c r="D9" i="1"/>
  <c r="F9" i="1" s="1"/>
  <c r="D6" i="8" s="1"/>
  <c r="E6" i="8" s="1"/>
  <c r="G6" i="8" s="1"/>
  <c r="D8" i="1"/>
  <c r="F8" i="1" s="1"/>
  <c r="D5" i="8" s="1"/>
  <c r="E5" i="8" s="1"/>
  <c r="G5" i="8" s="1"/>
  <c r="D6" i="7"/>
  <c r="F6" i="7" s="1"/>
  <c r="C10" i="9" s="1"/>
  <c r="D5" i="7"/>
  <c r="F5" i="7" s="1"/>
  <c r="E7" i="9" s="1"/>
  <c r="G7" i="9" s="1"/>
  <c r="D4" i="7"/>
  <c r="F4" i="7" s="1"/>
  <c r="C12" i="9" s="1"/>
  <c r="E10" i="9" l="1"/>
  <c r="G10" i="9" s="1"/>
  <c r="E12" i="9"/>
  <c r="G12" i="9" s="1"/>
  <c r="K17" i="9"/>
  <c r="K5" i="9"/>
  <c r="K13" i="9"/>
  <c r="K9" i="9"/>
  <c r="K11" i="9"/>
  <c r="K14" i="9"/>
  <c r="K15" i="9"/>
  <c r="K8" i="9"/>
  <c r="K16" i="9"/>
  <c r="K7" i="9"/>
  <c r="D5" i="1"/>
  <c r="D6" i="1"/>
  <c r="K12" i="9" l="1"/>
  <c r="K10" i="9"/>
  <c r="F4" i="1"/>
  <c r="C12" i="8" s="1"/>
  <c r="E12" i="8" s="1"/>
  <c r="G12" i="8" s="1"/>
  <c r="F5" i="1"/>
  <c r="F6" i="1"/>
  <c r="C10" i="8" s="1"/>
  <c r="E10" i="8" s="1"/>
  <c r="G10" i="8" s="1"/>
  <c r="E7" i="8" l="1"/>
  <c r="G7" i="8" s="1"/>
</calcChain>
</file>

<file path=xl/sharedStrings.xml><?xml version="1.0" encoding="utf-8"?>
<sst xmlns="http://schemas.openxmlformats.org/spreadsheetml/2006/main" count="138" uniqueCount="68">
  <si>
    <t>Input Data</t>
  </si>
  <si>
    <t>Emission Point</t>
  </si>
  <si>
    <t>Substance</t>
  </si>
  <si>
    <t>Emission Concentration (mg/m3)</t>
  </si>
  <si>
    <t>Total flow (m3/s)</t>
  </si>
  <si>
    <t>Effective height of release (m)</t>
  </si>
  <si>
    <t>Release Rate (g/s)</t>
  </si>
  <si>
    <t>A1 (Fume hood exhaust)</t>
  </si>
  <si>
    <t>Hydrochloric Acid, 6 mol/L</t>
  </si>
  <si>
    <t>Glacial Acetic Acid</t>
  </si>
  <si>
    <t>100% Ethanol</t>
  </si>
  <si>
    <t>A2 (QC lab)</t>
  </si>
  <si>
    <t>Acetonitrile</t>
  </si>
  <si>
    <t>Formic Acid</t>
  </si>
  <si>
    <t>Acetic Acid</t>
  </si>
  <si>
    <t>Methanol</t>
  </si>
  <si>
    <t>IPA</t>
  </si>
  <si>
    <t>Ethanol</t>
  </si>
  <si>
    <t>1,1,1,3,3,3-Hexafluro-2-propanol (HFIP)</t>
  </si>
  <si>
    <t>Hydrochloric Acid, 1 mol/L</t>
  </si>
  <si>
    <t>Tetrahydrofuran</t>
  </si>
  <si>
    <t>N,N-Diisopropylethylamine (DIEA)</t>
  </si>
  <si>
    <t>Chloroform</t>
  </si>
  <si>
    <t>Hydrogen peroxide 30%</t>
  </si>
  <si>
    <t>Phenol, Chloroform, Isoamyl Alcohol</t>
  </si>
  <si>
    <t>Assumptions</t>
  </si>
  <si>
    <t>Effective height based on stack above building being 3.5 m high, building height 12.7 m as per EA guidance (https://www.gov.uk/guidance/air-emissions-risk-assessment-for-your-environmental-permit#pc-dispersion-factor)</t>
  </si>
  <si>
    <t>Concentrations based on 16 hours operating per day max 240 days per year</t>
  </si>
  <si>
    <t>Release Rate g/s</t>
  </si>
  <si>
    <t>Total Release Rate g/s</t>
  </si>
  <si>
    <t>Annual Dispersion Factor (ug/m3 / g/s))</t>
  </si>
  <si>
    <t>PC to air (Annual) (ug/m3)</t>
  </si>
  <si>
    <t xml:space="preserve">Long Term EAL (ug/m3) </t>
  </si>
  <si>
    <t>Comments</t>
  </si>
  <si>
    <t>PC &lt;  1% of long term EAL?</t>
  </si>
  <si>
    <t>A1</t>
  </si>
  <si>
    <t>A2</t>
  </si>
  <si>
    <t>EAL</t>
  </si>
  <si>
    <t>https://assets.publishing.service.gov.uk/media/5f510e86d3bf7f329285a027/Derivation_of_new_EALs_to_air.pdf AND https://www.hse.gov.uk/pubns/priced/eh40.pdf, 9600ug/m3 8hr WEL, divide by 100 as per EA H1 Annex F</t>
  </si>
  <si>
    <t>IPA (2-propanol)</t>
  </si>
  <si>
    <t>EH40 Workplace Exposure Limits (https://www.hse.gov.uk/pubns/priced/eh40.pdf) 1920000, divided by 100 as per EA H1 Annex F</t>
  </si>
  <si>
    <t>no short term tox data found, used benzene as proxy</t>
  </si>
  <si>
    <t>Hydrochloric Acid</t>
  </si>
  <si>
    <t>n/a</t>
  </si>
  <si>
    <t>no long term EAL</t>
  </si>
  <si>
    <t>benzene as proxy</t>
  </si>
  <si>
    <t>Hydrogen peroxide</t>
  </si>
  <si>
    <t>https://assets.publishing.service.gov.uk/media/5f510e86d3bf7f329285a027/Derivation_of_new_EALs_to_air.pdf AND https://www.hse.gov.uk/pubns/priced/eh40.pdf, 1400ug/m3 8hr WEL, divide by 100 as per EA H1 Annex F</t>
  </si>
  <si>
    <r>
      <t>https://assets.publishing.service.gov.uk/media/5f510e86d3bf7f329285a027/Derivation_of_new_EALs_to_air.pdf AND https://www.hse.gov.uk/pubns/priced/eh40.pdf, 
Phenol EAL = 200 ug/m3</t>
    </r>
    <r>
      <rPr>
        <i/>
        <u/>
        <sz val="10"/>
        <color theme="1"/>
        <rFont val="Verdana"/>
        <family val="2"/>
        <scheme val="minor"/>
      </rPr>
      <t xml:space="preserve">
</t>
    </r>
    <r>
      <rPr>
        <i/>
        <sz val="10"/>
        <color theme="1"/>
        <rFont val="Verdana"/>
        <family val="2"/>
        <scheme val="minor"/>
      </rPr>
      <t>EAL chloroform = n/a no long term EAL
WEL isoamyl alcohol (aka 3-Methylbutan-1-ol) = 366ug/m3, divide by 100 as per EA H1 Annex F = 3.66 ug/m3
use most stringent as EAL = 3.66 ug/m3</t>
    </r>
  </si>
  <si>
    <t>Dispersion factors taken from EA guidance based on 0 m effective height (https://www.gov.uk/guidance/air-emissions-risk-assessment-for-your-environmental-permit#pc-dispersion-factor)</t>
  </si>
  <si>
    <t>A1 (Fume Hood Exhaust)</t>
  </si>
  <si>
    <t>A2 (QC Lab)</t>
  </si>
  <si>
    <t xml:space="preserve">Effective Height based on stack above building being 3.5 m high, building height 12.7 m as per EA guidance (https://www.gov.uk/guidance/air-emissions-risk-assessment-for-your-environmental-permit#pc-dispersion-factor) </t>
  </si>
  <si>
    <t>Concentrations based on 1 hour operating per day max 240 days per year</t>
  </si>
  <si>
    <t>Test 1</t>
  </si>
  <si>
    <t>Hourly Dispersion Factor (ug/m3 / g/s))</t>
  </si>
  <si>
    <t>PC to air (hourly) (ug/m3)</t>
  </si>
  <si>
    <t xml:space="preserve">Short Term EAL (ug/m3) </t>
  </si>
  <si>
    <t>PC &lt; 10% of short term EAL?</t>
  </si>
  <si>
    <t>https://assets.publishing.service.gov.uk/media/5f510e86d3bf7f329285a027/Derivation_of_new_EALs_to_air.pdf AND https://www.hse.gov.uk/pubns/priced/eh40.pdf, no short term exposure limit</t>
  </si>
  <si>
    <t>EH40 Workplace Exposure Limits (https://www.hse.gov.uk/pubns/priced/eh40.pdf)</t>
  </si>
  <si>
    <t>msds (fishersci.com), LC50 4h = 1974ppm, assume 1/1000000 safety factor = 14.03 ug/m3</t>
  </si>
  <si>
    <t>Treated as 100% benzene</t>
  </si>
  <si>
    <t>EAL - 24hr mean</t>
  </si>
  <si>
    <t>https://assets.publishing.service.gov.uk/media/5f510e86d3bf7f329285a027/Derivation_of_new_EALs_to_air.pdf AND https://www.hse.gov.uk/pubns/priced/eh40.pdf, STEL = 2800ug/m3, divide by 10 as per EA H1 Annex F</t>
  </si>
  <si>
    <t>https://assets.publishing.service.gov.uk/media/5f510e86d3bf7f329285a027/Derivation_of_new_EALs_to_air.pdf AND https://www.hse.gov.uk/pubns/priced/eh40.pdf, 
Phenol EAL = 3900 ug/m3
EAL chloroform = 100 ug/m3
STEL isamyl alcohol (aka 3-Methylbutan-1-ol) = 458ug/m3, divide by 10 as per EA H1 Annex F = 45.8 ug/m3
use most stringent as EAL = 45.8 ug/m3</t>
  </si>
  <si>
    <t>Background concentrations conservatively based on half EAL for benzene as no background data</t>
  </si>
  <si>
    <t>Multiplied by 0.59 to covert to 24 hour average as 24 short term EAL used as per EA gudance on averaging periods (https://www.gov.uk/guidance/air-emissions-risk-assessment-for-your-environmental-permit#pc-dispersion-factor)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</si>
</sst>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0.00000"/>
    <numFmt numFmtId="165" formatCode="0.000000"/>
    <numFmt numFmtId="166" formatCode="0.0"/>
    <numFmt numFmtId="167" formatCode="0.00000000"/>
    <numFmt numFmtId="168" formatCode="0.0000000"/>
    <numFmt numFmtId="169" formatCode="0.0000"/>
    <numFmt numFmtId="170" formatCode="0.000"/>
  </numFmts>
  <fonts count="17">
    <font>
      <sz val="10"/>
      <color theme="1"/>
      <name val="Verdana"/>
      <family val="2"/>
      <scheme val="minor"/>
    </font>
    <font>
      <sz val="12"/>
      <color theme="0"/>
      <name val="Verdana"/>
      <family val="2"/>
      <scheme val="minor"/>
    </font>
    <font>
      <sz val="10"/>
      <name val="Verdana"/>
      <family val="2"/>
      <scheme val="minor"/>
    </font>
    <font>
      <sz val="10"/>
      <name val="Verdana (Body)"/>
    </font>
    <font>
      <b/>
      <sz val="10"/>
      <name val="Verdana"/>
      <family val="2"/>
      <scheme val="minor"/>
    </font>
    <font>
      <b/>
      <sz val="10"/>
      <color theme="0"/>
      <name val="Verdana"/>
      <family val="2"/>
      <scheme val="minor"/>
    </font>
    <font>
      <sz val="12"/>
      <color theme="4"/>
      <name val="Verdana"/>
      <family val="2"/>
      <scheme val="minor"/>
    </font>
    <font>
      <sz val="12"/>
      <name val="Verdana"/>
      <family val="2"/>
      <scheme val="minor"/>
    </font>
    <font>
      <sz val="10"/>
      <color rgb="FFFF3600"/>
      <name val="Verdana"/>
      <family val="2"/>
      <scheme val="minor"/>
    </font>
    <font>
      <i/>
      <sz val="10"/>
      <color theme="1"/>
      <name val="Verdana"/>
      <family val="2"/>
      <scheme val="minor"/>
    </font>
    <font>
      <sz val="12"/>
      <color theme="4"/>
      <name val="Verdana"/>
      <family val="2"/>
      <scheme val="major"/>
    </font>
    <font>
      <b/>
      <sz val="10"/>
      <color theme="1"/>
      <name val="Verdana"/>
      <family val="2"/>
      <scheme val="minor"/>
    </font>
    <font>
      <b/>
      <sz val="10"/>
      <name val="Verdana (Body)"/>
    </font>
    <font>
      <b/>
      <sz val="11"/>
      <color theme="1"/>
      <name val="Verdana"/>
      <family val="2"/>
      <scheme val="minor"/>
    </font>
    <font>
      <u/>
      <sz val="10"/>
      <color theme="10"/>
      <name val="Verdana"/>
      <family val="2"/>
      <scheme val="minor"/>
    </font>
    <font>
      <i/>
      <sz val="10"/>
      <name val="Verdana"/>
      <family val="2"/>
      <scheme val="minor"/>
    </font>
    <font>
      <i/>
      <u/>
      <sz val="10"/>
      <color theme="1"/>
      <name val="Verdana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EB00"/>
      </patternFill>
    </fill>
    <fill>
      <patternFill patternType="solid">
        <fgColor rgb="FFDCFF00"/>
      </patternFill>
    </fill>
    <fill>
      <patternFill patternType="solid">
        <fgColor rgb="FFD9D9D9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theme="2"/>
      </patternFill>
    </fill>
    <fill>
      <patternFill patternType="solid">
        <fgColor theme="3"/>
      </patternFill>
    </fill>
    <fill>
      <patternFill patternType="solid">
        <fgColor theme="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9EFE7"/>
        <bgColor indexed="64"/>
      </patternFill>
    </fill>
    <fill>
      <patternFill patternType="solid">
        <fgColor rgb="FFC0F6C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10" fillId="0" borderId="0" applyNumberFormat="0" applyFill="0" applyBorder="0" applyAlignment="0" applyProtection="0"/>
    <xf numFmtId="0" fontId="4" fillId="11" borderId="0" applyNumberFormat="0" applyAlignment="0" applyProtection="0"/>
    <xf numFmtId="0" fontId="4" fillId="0" borderId="5" applyNumberFormat="0" applyFill="0" applyAlignment="0" applyProtection="0"/>
    <xf numFmtId="0" fontId="5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1" applyNumberFormat="0" applyAlignment="0" applyProtection="0"/>
    <xf numFmtId="0" fontId="4" fillId="9" borderId="2" applyNumberFormat="0" applyAlignment="0" applyProtection="0"/>
    <xf numFmtId="0" fontId="4" fillId="9" borderId="1" applyNumberFormat="0" applyAlignment="0" applyProtection="0"/>
    <xf numFmtId="0" fontId="6" fillId="0" borderId="7" applyNumberFormat="0" applyFill="0" applyAlignment="0" applyProtection="0"/>
    <xf numFmtId="0" fontId="5" fillId="5" borderId="3" applyNumberFormat="0" applyAlignment="0" applyProtection="0"/>
    <xf numFmtId="0" fontId="8" fillId="0" borderId="0" applyNumberFormat="0" applyFill="0" applyBorder="0" applyAlignment="0" applyProtection="0"/>
    <xf numFmtId="0" fontId="7" fillId="0" borderId="4" applyNumberFormat="0" applyAlignment="0" applyProtection="0"/>
    <xf numFmtId="0" fontId="9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11" borderId="0"/>
    <xf numFmtId="0" fontId="12" fillId="13" borderId="0"/>
    <xf numFmtId="0" fontId="14" fillId="0" borderId="0" applyNumberForma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1" fillId="0" borderId="17" xfId="0" applyFont="1" applyBorder="1" applyAlignment="1">
      <alignment wrapText="1"/>
    </xf>
    <xf numFmtId="0" fontId="3" fillId="17" borderId="0" xfId="0" applyFont="1" applyFill="1" applyAlignment="1">
      <alignment wrapText="1"/>
    </xf>
    <xf numFmtId="0" fontId="3" fillId="16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1" fillId="0" borderId="27" xfId="0" applyFont="1" applyBorder="1" applyAlignment="1">
      <alignment wrapText="1"/>
    </xf>
    <xf numFmtId="0" fontId="3" fillId="18" borderId="0" xfId="0" applyFont="1" applyFill="1" applyAlignment="1">
      <alignment wrapText="1"/>
    </xf>
    <xf numFmtId="0" fontId="3" fillId="19" borderId="0" xfId="0" applyFont="1" applyFill="1" applyAlignment="1">
      <alignment wrapText="1"/>
    </xf>
    <xf numFmtId="0" fontId="3" fillId="20" borderId="0" xfId="0" applyFont="1" applyFill="1" applyAlignment="1">
      <alignment wrapText="1"/>
    </xf>
    <xf numFmtId="0" fontId="2" fillId="19" borderId="14" xfId="0" applyFont="1" applyFill="1" applyBorder="1" applyAlignment="1">
      <alignment wrapText="1"/>
    </xf>
    <xf numFmtId="0" fontId="2" fillId="19" borderId="12" xfId="0" applyFont="1" applyFill="1" applyBorder="1" applyAlignment="1">
      <alignment wrapText="1"/>
    </xf>
    <xf numFmtId="0" fontId="3" fillId="18" borderId="13" xfId="0" applyFont="1" applyFill="1" applyBorder="1" applyAlignment="1">
      <alignment wrapText="1"/>
    </xf>
    <xf numFmtId="0" fontId="3" fillId="18" borderId="16" xfId="0" applyFont="1" applyFill="1" applyBorder="1" applyAlignment="1">
      <alignment wrapText="1"/>
    </xf>
    <xf numFmtId="2" fontId="0" fillId="0" borderId="8" xfId="0" applyNumberFormat="1" applyBorder="1"/>
    <xf numFmtId="2" fontId="0" fillId="0" borderId="15" xfId="0" applyNumberFormat="1" applyBorder="1"/>
    <xf numFmtId="166" fontId="0" fillId="18" borderId="13" xfId="0" applyNumberFormat="1" applyFill="1" applyBorder="1"/>
    <xf numFmtId="166" fontId="0" fillId="18" borderId="16" xfId="0" applyNumberFormat="1" applyFill="1" applyBorder="1"/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165" fontId="0" fillId="19" borderId="0" xfId="0" applyNumberFormat="1" applyFill="1"/>
    <xf numFmtId="2" fontId="0" fillId="19" borderId="12" xfId="0" applyNumberFormat="1" applyFill="1" applyBorder="1"/>
    <xf numFmtId="2" fontId="0" fillId="19" borderId="14" xfId="0" applyNumberFormat="1" applyFill="1" applyBorder="1"/>
    <xf numFmtId="0" fontId="11" fillId="0" borderId="0" xfId="0" applyFont="1" applyAlignment="1">
      <alignment wrapText="1"/>
    </xf>
    <xf numFmtId="0" fontId="13" fillId="15" borderId="32" xfId="0" applyFont="1" applyFill="1" applyBorder="1" applyAlignment="1">
      <alignment wrapText="1"/>
    </xf>
    <xf numFmtId="0" fontId="0" fillId="15" borderId="31" xfId="0" applyFill="1" applyBorder="1"/>
    <xf numFmtId="0" fontId="11" fillId="15" borderId="32" xfId="0" applyFont="1" applyFill="1" applyBorder="1" applyAlignment="1">
      <alignment wrapText="1"/>
    </xf>
    <xf numFmtId="0" fontId="11" fillId="14" borderId="38" xfId="0" applyFont="1" applyFill="1" applyBorder="1" applyAlignment="1">
      <alignment horizontal="center" wrapText="1"/>
    </xf>
    <xf numFmtId="0" fontId="0" fillId="0" borderId="37" xfId="0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2" fontId="0" fillId="0" borderId="0" xfId="0" applyNumberFormat="1"/>
    <xf numFmtId="165" fontId="0" fillId="0" borderId="0" xfId="0" applyNumberFormat="1"/>
    <xf numFmtId="165" fontId="0" fillId="0" borderId="17" xfId="0" applyNumberFormat="1" applyBorder="1"/>
    <xf numFmtId="165" fontId="0" fillId="0" borderId="27" xfId="0" applyNumberFormat="1" applyBorder="1"/>
    <xf numFmtId="0" fontId="11" fillId="0" borderId="39" xfId="0" applyFont="1" applyBorder="1" applyAlignment="1">
      <alignment wrapText="1"/>
    </xf>
    <xf numFmtId="0" fontId="11" fillId="21" borderId="21" xfId="0" applyFont="1" applyFill="1" applyBorder="1"/>
    <xf numFmtId="0" fontId="0" fillId="21" borderId="40" xfId="0" applyFill="1" applyBorder="1"/>
    <xf numFmtId="0" fontId="0" fillId="21" borderId="41" xfId="0" applyFill="1" applyBorder="1"/>
    <xf numFmtId="0" fontId="11" fillId="0" borderId="30" xfId="0" applyFont="1" applyBorder="1" applyAlignment="1">
      <alignment wrapText="1"/>
    </xf>
    <xf numFmtId="0" fontId="2" fillId="19" borderId="9" xfId="0" applyFont="1" applyFill="1" applyBorder="1" applyAlignment="1">
      <alignment wrapText="1"/>
    </xf>
    <xf numFmtId="2" fontId="0" fillId="0" borderId="10" xfId="0" applyNumberFormat="1" applyBorder="1"/>
    <xf numFmtId="0" fontId="3" fillId="18" borderId="11" xfId="0" applyFont="1" applyFill="1" applyBorder="1" applyAlignment="1">
      <alignment wrapText="1"/>
    </xf>
    <xf numFmtId="165" fontId="0" fillId="0" borderId="24" xfId="0" applyNumberFormat="1" applyBorder="1"/>
    <xf numFmtId="0" fontId="13" fillId="0" borderId="0" xfId="0" applyFont="1" applyAlignment="1">
      <alignment horizontal="center" vertical="center" wrapText="1"/>
    </xf>
    <xf numFmtId="0" fontId="13" fillId="14" borderId="38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37" xfId="0" applyFont="1" applyBorder="1" applyAlignment="1">
      <alignment wrapText="1"/>
    </xf>
    <xf numFmtId="2" fontId="0" fillId="19" borderId="19" xfId="0" applyNumberFormat="1" applyFill="1" applyBorder="1"/>
    <xf numFmtId="2" fontId="0" fillId="0" borderId="20" xfId="0" applyNumberFormat="1" applyBorder="1"/>
    <xf numFmtId="166" fontId="0" fillId="18" borderId="18" xfId="0" applyNumberFormat="1" applyFill="1" applyBorder="1"/>
    <xf numFmtId="165" fontId="0" fillId="0" borderId="37" xfId="0" applyNumberFormat="1" applyBorder="1"/>
    <xf numFmtId="0" fontId="13" fillId="15" borderId="40" xfId="0" applyFont="1" applyFill="1" applyBorder="1" applyAlignment="1">
      <alignment wrapText="1"/>
    </xf>
    <xf numFmtId="0" fontId="13" fillId="15" borderId="41" xfId="0" applyFont="1" applyFill="1" applyBorder="1" applyAlignment="1">
      <alignment wrapText="1"/>
    </xf>
    <xf numFmtId="0" fontId="13" fillId="15" borderId="34" xfId="0" applyFont="1" applyFill="1" applyBorder="1" applyAlignment="1">
      <alignment wrapText="1"/>
    </xf>
    <xf numFmtId="170" fontId="2" fillId="19" borderId="9" xfId="0" applyNumberFormat="1" applyFont="1" applyFill="1" applyBorder="1" applyAlignment="1">
      <alignment wrapText="1"/>
    </xf>
    <xf numFmtId="170" fontId="2" fillId="19" borderId="12" xfId="0" applyNumberFormat="1" applyFont="1" applyFill="1" applyBorder="1" applyAlignment="1">
      <alignment wrapText="1"/>
    </xf>
    <xf numFmtId="170" fontId="2" fillId="19" borderId="14" xfId="0" applyNumberFormat="1" applyFont="1" applyFill="1" applyBorder="1" applyAlignment="1">
      <alignment wrapText="1"/>
    </xf>
    <xf numFmtId="170" fontId="0" fillId="19" borderId="19" xfId="0" applyNumberFormat="1" applyFill="1" applyBorder="1"/>
    <xf numFmtId="168" fontId="0" fillId="0" borderId="37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1" fillId="0" borderId="28" xfId="0" applyFont="1" applyBorder="1" applyAlignment="1">
      <alignment vertical="center" wrapText="1"/>
    </xf>
    <xf numFmtId="164" fontId="0" fillId="0" borderId="12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164" fontId="0" fillId="0" borderId="28" xfId="0" applyNumberFormat="1" applyBorder="1" applyAlignment="1">
      <alignment vertical="center"/>
    </xf>
    <xf numFmtId="0" fontId="0" fillId="17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0" fillId="0" borderId="17" xfId="0" applyBorder="1" applyAlignment="1">
      <alignment horizontal="right" vertical="center"/>
    </xf>
    <xf numFmtId="0" fontId="0" fillId="22" borderId="17" xfId="0" applyFill="1" applyBorder="1" applyAlignment="1">
      <alignment vertical="center"/>
    </xf>
    <xf numFmtId="0" fontId="14" fillId="0" borderId="0" xfId="23" applyFill="1" applyAlignment="1">
      <alignment vertical="center"/>
    </xf>
    <xf numFmtId="0" fontId="0" fillId="0" borderId="0" xfId="0" applyAlignment="1">
      <alignment vertical="center" wrapText="1"/>
    </xf>
    <xf numFmtId="3" fontId="0" fillId="0" borderId="17" xfId="0" applyNumberFormat="1" applyBorder="1" applyAlignment="1">
      <alignment vertical="center"/>
    </xf>
    <xf numFmtId="3" fontId="9" fillId="0" borderId="17" xfId="0" applyNumberFormat="1" applyFont="1" applyBorder="1" applyAlignment="1">
      <alignment vertical="center" wrapText="1"/>
    </xf>
    <xf numFmtId="0" fontId="14" fillId="0" borderId="0" xfId="23" applyAlignment="1">
      <alignment vertical="center"/>
    </xf>
    <xf numFmtId="169" fontId="0" fillId="0" borderId="12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11" fillId="0" borderId="29" xfId="0" applyFont="1" applyBorder="1" applyAlignment="1">
      <alignment vertical="center" wrapText="1"/>
    </xf>
    <xf numFmtId="164" fontId="0" fillId="0" borderId="14" xfId="0" applyNumberFormat="1" applyBorder="1" applyAlignment="1">
      <alignment vertical="center"/>
    </xf>
    <xf numFmtId="164" fontId="0" fillId="0" borderId="45" xfId="0" applyNumberFormat="1" applyBorder="1" applyAlignment="1">
      <alignment vertical="center"/>
    </xf>
    <xf numFmtId="164" fontId="0" fillId="0" borderId="29" xfId="0" applyNumberFormat="1" applyBorder="1" applyAlignment="1">
      <alignment vertical="center"/>
    </xf>
    <xf numFmtId="0" fontId="0" fillId="17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9" fillId="0" borderId="27" xfId="0" applyFont="1" applyBorder="1" applyAlignment="1">
      <alignment vertical="center" wrapText="1"/>
    </xf>
    <xf numFmtId="164" fontId="0" fillId="0" borderId="17" xfId="0" applyNumberFormat="1" applyBorder="1" applyAlignment="1">
      <alignment vertical="center"/>
    </xf>
    <xf numFmtId="0" fontId="0" fillId="17" borderId="35" xfId="0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15" fillId="0" borderId="17" xfId="0" applyNumberFormat="1" applyFont="1" applyBorder="1" applyAlignment="1">
      <alignment vertical="center" wrapText="1"/>
    </xf>
    <xf numFmtId="167" fontId="0" fillId="0" borderId="12" xfId="0" applyNumberFormat="1" applyBorder="1" applyAlignment="1">
      <alignment vertical="center"/>
    </xf>
    <xf numFmtId="164" fontId="0" fillId="0" borderId="27" xfId="0" applyNumberFormat="1" applyBorder="1" applyAlignment="1">
      <alignment vertical="center"/>
    </xf>
    <xf numFmtId="0" fontId="0" fillId="17" borderId="36" xfId="0" applyFill="1" applyBorder="1" applyAlignment="1">
      <alignment vertical="center"/>
    </xf>
    <xf numFmtId="0" fontId="13" fillId="14" borderId="21" xfId="0" applyFont="1" applyFill="1" applyBorder="1" applyAlignment="1">
      <alignment horizontal="center" wrapText="1"/>
    </xf>
    <xf numFmtId="0" fontId="13" fillId="14" borderId="22" xfId="0" applyFont="1" applyFill="1" applyBorder="1" applyAlignment="1">
      <alignment horizontal="center" wrapText="1"/>
    </xf>
    <xf numFmtId="0" fontId="13" fillId="14" borderId="26" xfId="0" applyFont="1" applyFill="1" applyBorder="1" applyAlignment="1">
      <alignment horizontal="center" wrapText="1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11" fillId="15" borderId="21" xfId="0" applyFont="1" applyFill="1" applyBorder="1" applyAlignment="1">
      <alignment horizontal="center" vertical="center" wrapText="1"/>
    </xf>
    <xf numFmtId="0" fontId="11" fillId="15" borderId="22" xfId="0" applyFont="1" applyFill="1" applyBorder="1" applyAlignment="1">
      <alignment horizontal="center" vertical="center" wrapText="1"/>
    </xf>
    <xf numFmtId="0" fontId="11" fillId="14" borderId="21" xfId="0" applyFont="1" applyFill="1" applyBorder="1" applyAlignment="1">
      <alignment horizontal="center" wrapText="1"/>
    </xf>
    <xf numFmtId="0" fontId="11" fillId="14" borderId="22" xfId="0" applyFont="1" applyFill="1" applyBorder="1" applyAlignment="1">
      <alignment horizontal="center" wrapText="1"/>
    </xf>
    <xf numFmtId="0" fontId="11" fillId="14" borderId="23" xfId="0" applyFont="1" applyFill="1" applyBorder="1" applyAlignment="1">
      <alignment horizontal="center" wrapText="1"/>
    </xf>
    <xf numFmtId="0" fontId="11" fillId="15" borderId="38" xfId="0" applyFont="1" applyFill="1" applyBorder="1" applyAlignment="1">
      <alignment horizontal="center" vertical="center" wrapText="1"/>
    </xf>
    <xf numFmtId="0" fontId="11" fillId="15" borderId="42" xfId="0" applyFont="1" applyFill="1" applyBorder="1" applyAlignment="1">
      <alignment horizontal="center" vertical="center" wrapText="1"/>
    </xf>
    <xf numFmtId="0" fontId="13" fillId="15" borderId="38" xfId="0" applyFont="1" applyFill="1" applyBorder="1" applyAlignment="1">
      <alignment horizontal="center" vertical="center" wrapText="1"/>
    </xf>
    <xf numFmtId="0" fontId="13" fillId="15" borderId="42" xfId="0" applyFont="1" applyFill="1" applyBorder="1" applyAlignment="1">
      <alignment horizontal="center" vertical="center" wrapText="1"/>
    </xf>
    <xf numFmtId="0" fontId="13" fillId="14" borderId="2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3" fillId="14" borderId="21" xfId="0" applyFont="1" applyFill="1" applyBorder="1" applyAlignment="1">
      <alignment horizontal="center" vertical="center" wrapText="1"/>
    </xf>
    <xf numFmtId="0" fontId="13" fillId="14" borderId="22" xfId="0" applyFont="1" applyFill="1" applyBorder="1" applyAlignment="1">
      <alignment horizontal="center" vertical="center" wrapText="1"/>
    </xf>
    <xf numFmtId="0" fontId="13" fillId="14" borderId="23" xfId="0" applyFont="1" applyFill="1" applyBorder="1" applyAlignment="1">
      <alignment horizontal="center" vertical="center" wrapText="1"/>
    </xf>
    <xf numFmtId="0" fontId="11" fillId="15" borderId="24" xfId="0" applyFont="1" applyFill="1" applyBorder="1" applyAlignment="1">
      <alignment horizontal="center" vertical="center" wrapText="1"/>
    </xf>
    <xf numFmtId="0" fontId="11" fillId="15" borderId="27" xfId="0" applyFont="1" applyFill="1" applyBorder="1" applyAlignment="1">
      <alignment horizontal="center" vertical="center" wrapText="1"/>
    </xf>
    <xf numFmtId="0" fontId="11" fillId="15" borderId="44" xfId="0" applyFont="1" applyFill="1" applyBorder="1" applyAlignment="1">
      <alignment horizontal="center" vertical="center" wrapText="1"/>
    </xf>
    <xf numFmtId="0" fontId="11" fillId="15" borderId="21" xfId="0" applyFont="1" applyFill="1" applyBorder="1" applyAlignment="1">
      <alignment horizontal="center" vertical="center"/>
    </xf>
    <xf numFmtId="0" fontId="11" fillId="15" borderId="22" xfId="0" applyFont="1" applyFill="1" applyBorder="1" applyAlignment="1">
      <alignment horizontal="center" vertical="center"/>
    </xf>
    <xf numFmtId="0" fontId="11" fillId="15" borderId="31" xfId="0" applyFont="1" applyFill="1" applyBorder="1" applyAlignment="1">
      <alignment horizontal="center" vertical="center" wrapText="1"/>
    </xf>
    <xf numFmtId="0" fontId="11" fillId="15" borderId="43" xfId="0" applyFont="1" applyFill="1" applyBorder="1" applyAlignment="1">
      <alignment horizontal="center" vertical="center" wrapText="1"/>
    </xf>
  </cellXfs>
  <cellStyles count="24">
    <cellStyle name="Accent3" xfId="18" builtinId="37" customBuiltin="1"/>
    <cellStyle name="Accent4" xfId="19" builtinId="41" customBuiltin="1"/>
    <cellStyle name="Accent5" xfId="20" builtinId="45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2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Sub-header" xfId="22" xr:uid="{C6EFD1BB-A2C3-E845-BE80-924550D97F4F}"/>
    <cellStyle name="Table header" xfId="21" xr:uid="{3C8134F2-EEAD-0147-AE5F-AB92DC5F81EB}"/>
    <cellStyle name="Title" xfId="1" builtinId="15" customBuiltin="1"/>
    <cellStyle name="Total" xfId="17" builtinId="25" customBuiltin="1"/>
    <cellStyle name="Warning Text" xfId="14" builtinId="11" customBuiltin="1"/>
  </cellStyles>
  <dxfs count="16">
    <dxf>
      <fill>
        <patternFill>
          <bgColor theme="5" tint="0.74996185186315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4996185186315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4996185186315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49961851863155"/>
        </patternFill>
      </fill>
    </dxf>
    <dxf>
      <fill>
        <patternFill>
          <bgColor rgb="FFFF0000"/>
        </patternFill>
      </fill>
    </dxf>
    <dxf>
      <fill>
        <patternFill>
          <bgColor theme="3"/>
        </patternFill>
      </fill>
    </dxf>
    <dxf>
      <font>
        <b/>
        <i val="0"/>
      </font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 style="thin">
          <color theme="9"/>
        </vertical>
        <horizontal style="thin">
          <color theme="9"/>
        </horizontal>
      </border>
    </dxf>
  </dxfs>
  <tableStyles count="1" defaultTableStyle="ERM table 1" defaultPivotStyle="PivotStyleLight16">
    <tableStyle name="ERM table 1" pivot="0" count="2" xr9:uid="{D894E281-B236-4745-8EC9-44A57C0774B5}">
      <tableStyleElement type="wholeTable" dxfId="15"/>
      <tableStyleElement type="headerRow" dxfId="14"/>
    </tableStyle>
  </tableStyles>
  <colors>
    <mruColors>
      <color rgb="FFFFFFCC"/>
      <color rgb="FFFFE1FF"/>
      <color rgb="FFD9D9D9"/>
      <color rgb="FFC0F6C1"/>
      <color rgb="FFF9EFE7"/>
      <color rgb="FFFF3600"/>
      <color rgb="FFDCFF00"/>
      <color rgb="FF00E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ERM">
      <a:dk1>
        <a:srgbClr val="1C1C1C"/>
      </a:dk1>
      <a:lt1>
        <a:srgbClr val="FFFFFF"/>
      </a:lt1>
      <a:dk2>
        <a:srgbClr val="D1DDD3"/>
      </a:dk2>
      <a:lt2>
        <a:srgbClr val="00FFBE"/>
      </a:lt2>
      <a:accent1>
        <a:srgbClr val="018219"/>
      </a:accent1>
      <a:accent2>
        <a:srgbClr val="0A2C14"/>
      </a:accent2>
      <a:accent3>
        <a:srgbClr val="446D5D"/>
      </a:accent3>
      <a:accent4>
        <a:srgbClr val="82A78D"/>
      </a:accent4>
      <a:accent5>
        <a:srgbClr val="B7B2AA"/>
      </a:accent5>
      <a:accent6>
        <a:srgbClr val="82887E"/>
      </a:accent6>
      <a:hlink>
        <a:srgbClr val="1C1C1C"/>
      </a:hlink>
      <a:folHlink>
        <a:srgbClr val="1C1C1C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ishersci.com/store/msds?partNumber=AC445822500&amp;productDescription=1%2C1%2C1%2C3%2C3%2C3-HEXAFLUORO-2+250ML&amp;vendorId=VN00032119&amp;countryCode=US&amp;language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C4A3C-6EB2-4C40-B17A-857F4DE5448F}">
  <sheetPr>
    <tabColor rgb="FF92D050"/>
  </sheetPr>
  <dimension ref="A1:F39"/>
  <sheetViews>
    <sheetView zoomScale="107" zoomScaleNormal="90" workbookViewId="0">
      <selection activeCell="B23" sqref="B23"/>
    </sheetView>
  </sheetViews>
  <sheetFormatPr defaultColWidth="11.25" defaultRowHeight="14.1" customHeight="1"/>
  <cols>
    <col min="1" max="1" width="12.75" style="1" customWidth="1"/>
    <col min="2" max="2" width="36.75" style="4" customWidth="1"/>
    <col min="3" max="3" width="15.5" style="1" customWidth="1"/>
    <col min="4" max="4" width="10.625" style="1" customWidth="1"/>
    <col min="5" max="5" width="10.375" style="1" bestFit="1" customWidth="1"/>
    <col min="6" max="6" width="12.75" style="1" customWidth="1"/>
    <col min="7" max="16384" width="11.25" style="1"/>
  </cols>
  <sheetData>
    <row r="1" spans="1:6" ht="14.1" customHeight="1" thickBot="1"/>
    <row r="2" spans="1:6" ht="15" thickBot="1">
      <c r="A2" s="8"/>
      <c r="B2" s="96" t="s">
        <v>0</v>
      </c>
      <c r="C2" s="97"/>
      <c r="D2" s="97"/>
      <c r="E2" s="97"/>
      <c r="F2" s="98"/>
    </row>
    <row r="3" spans="1:6" ht="58.5" customHeight="1" thickBot="1">
      <c r="A3" s="49" t="s">
        <v>1</v>
      </c>
      <c r="B3" s="27" t="s">
        <v>2</v>
      </c>
      <c r="C3" s="55" t="s">
        <v>3</v>
      </c>
      <c r="D3" s="56" t="s">
        <v>4</v>
      </c>
      <c r="E3" s="57" t="s">
        <v>5</v>
      </c>
      <c r="F3" s="27" t="s">
        <v>6</v>
      </c>
    </row>
    <row r="4" spans="1:6" ht="12.75">
      <c r="A4" s="100" t="s">
        <v>7</v>
      </c>
      <c r="B4" s="38" t="s">
        <v>8</v>
      </c>
      <c r="C4" s="61">
        <v>1E-3</v>
      </c>
      <c r="D4" s="52">
        <f>1480/3600</f>
        <v>0.41111111111111109</v>
      </c>
      <c r="E4" s="53">
        <v>0</v>
      </c>
      <c r="F4" s="62">
        <f>(C4*D4)/1000</f>
        <v>4.1111111111111112E-7</v>
      </c>
    </row>
    <row r="5" spans="1:6" ht="12.75">
      <c r="A5" s="100"/>
      <c r="B5" s="21" t="s">
        <v>9</v>
      </c>
      <c r="C5" s="24">
        <v>0.93</v>
      </c>
      <c r="D5" s="17">
        <f t="shared" ref="D5:D6" si="0">1480/3600</f>
        <v>0.41111111111111109</v>
      </c>
      <c r="E5" s="19">
        <v>0</v>
      </c>
      <c r="F5" s="36">
        <f>(C5*D5)/1000</f>
        <v>3.8233333333333337E-4</v>
      </c>
    </row>
    <row r="6" spans="1:6" ht="13.5" thickBot="1">
      <c r="A6" s="100"/>
      <c r="B6" s="22" t="s">
        <v>10</v>
      </c>
      <c r="C6" s="25">
        <v>0.3</v>
      </c>
      <c r="D6" s="18">
        <f t="shared" si="0"/>
        <v>0.41111111111111109</v>
      </c>
      <c r="E6" s="20">
        <v>0</v>
      </c>
      <c r="F6" s="37">
        <f>(C6*D6)/1000</f>
        <v>1.2333333333333331E-4</v>
      </c>
    </row>
    <row r="7" spans="1:6" ht="14.1" customHeight="1" thickBot="1"/>
    <row r="8" spans="1:6" ht="14.1" customHeight="1">
      <c r="A8" s="99" t="s">
        <v>11</v>
      </c>
      <c r="B8" s="42" t="s">
        <v>12</v>
      </c>
      <c r="C8" s="43">
        <v>0.42</v>
      </c>
      <c r="D8" s="44">
        <f>5918/3600</f>
        <v>1.643888888888889</v>
      </c>
      <c r="E8" s="45">
        <v>0</v>
      </c>
      <c r="F8" s="46">
        <f t="shared" ref="F8:F20" si="1">(C8*D8)/1000</f>
        <v>6.9043333333333333E-4</v>
      </c>
    </row>
    <row r="9" spans="1:6" ht="14.1" customHeight="1">
      <c r="A9" s="99"/>
      <c r="B9" s="21" t="s">
        <v>13</v>
      </c>
      <c r="C9" s="14">
        <v>0.01</v>
      </c>
      <c r="D9" s="17">
        <f t="shared" ref="D9:D20" si="2">5918/3600</f>
        <v>1.643888888888889</v>
      </c>
      <c r="E9" s="15">
        <v>0</v>
      </c>
      <c r="F9" s="36">
        <f t="shared" si="1"/>
        <v>1.6438888888888887E-5</v>
      </c>
    </row>
    <row r="10" spans="1:6" ht="14.1" customHeight="1">
      <c r="A10" s="99"/>
      <c r="B10" s="21" t="s">
        <v>14</v>
      </c>
      <c r="C10" s="14">
        <v>0.04</v>
      </c>
      <c r="D10" s="17">
        <f t="shared" si="2"/>
        <v>1.643888888888889</v>
      </c>
      <c r="E10" s="15">
        <v>0</v>
      </c>
      <c r="F10" s="36">
        <f t="shared" si="1"/>
        <v>6.5755555555555549E-5</v>
      </c>
    </row>
    <row r="11" spans="1:6" ht="14.1" customHeight="1">
      <c r="A11" s="99"/>
      <c r="B11" s="21" t="s">
        <v>15</v>
      </c>
      <c r="C11" s="14">
        <v>0.11</v>
      </c>
      <c r="D11" s="17">
        <f t="shared" si="2"/>
        <v>1.643888888888889</v>
      </c>
      <c r="E11" s="15">
        <v>0</v>
      </c>
      <c r="F11" s="36">
        <f t="shared" si="1"/>
        <v>1.8082777777777778E-4</v>
      </c>
    </row>
    <row r="12" spans="1:6" ht="14.1" customHeight="1">
      <c r="A12" s="99"/>
      <c r="B12" s="21" t="s">
        <v>16</v>
      </c>
      <c r="C12" s="14">
        <v>0.42</v>
      </c>
      <c r="D12" s="17">
        <f t="shared" si="2"/>
        <v>1.643888888888889</v>
      </c>
      <c r="E12" s="15">
        <v>0</v>
      </c>
      <c r="F12" s="36">
        <f t="shared" si="1"/>
        <v>6.9043333333333333E-4</v>
      </c>
    </row>
    <row r="13" spans="1:6" ht="14.1" customHeight="1">
      <c r="A13" s="99"/>
      <c r="B13" s="21" t="s">
        <v>17</v>
      </c>
      <c r="C13" s="14">
        <v>0.42</v>
      </c>
      <c r="D13" s="17">
        <f t="shared" si="2"/>
        <v>1.643888888888889</v>
      </c>
      <c r="E13" s="15">
        <v>0</v>
      </c>
      <c r="F13" s="36">
        <f t="shared" si="1"/>
        <v>6.9043333333333333E-4</v>
      </c>
    </row>
    <row r="14" spans="1:6" ht="14.1" customHeight="1">
      <c r="A14" s="99"/>
      <c r="B14" s="21" t="s">
        <v>18</v>
      </c>
      <c r="C14" s="14">
        <v>0.01</v>
      </c>
      <c r="D14" s="17">
        <f t="shared" si="2"/>
        <v>1.643888888888889</v>
      </c>
      <c r="E14" s="15">
        <v>0</v>
      </c>
      <c r="F14" s="36">
        <f t="shared" si="1"/>
        <v>1.6438888888888887E-5</v>
      </c>
    </row>
    <row r="15" spans="1:6" ht="14.1" customHeight="1">
      <c r="A15" s="99"/>
      <c r="B15" s="21" t="s">
        <v>19</v>
      </c>
      <c r="C15" s="14">
        <v>0.01</v>
      </c>
      <c r="D15" s="17">
        <f t="shared" si="2"/>
        <v>1.643888888888889</v>
      </c>
      <c r="E15" s="15">
        <v>0</v>
      </c>
      <c r="F15" s="36">
        <f t="shared" si="1"/>
        <v>1.6438888888888887E-5</v>
      </c>
    </row>
    <row r="16" spans="1:6" ht="14.1" customHeight="1">
      <c r="A16" s="99"/>
      <c r="B16" s="21" t="s">
        <v>20</v>
      </c>
      <c r="C16" s="14">
        <v>0.24</v>
      </c>
      <c r="D16" s="17">
        <f t="shared" si="2"/>
        <v>1.643888888888889</v>
      </c>
      <c r="E16" s="15">
        <v>0</v>
      </c>
      <c r="F16" s="36">
        <f t="shared" si="1"/>
        <v>3.9453333333333335E-4</v>
      </c>
    </row>
    <row r="17" spans="1:6" ht="14.1" customHeight="1">
      <c r="A17" s="99"/>
      <c r="B17" s="21" t="s">
        <v>21</v>
      </c>
      <c r="C17" s="14">
        <v>2E-3</v>
      </c>
      <c r="D17" s="17">
        <f t="shared" si="2"/>
        <v>1.643888888888889</v>
      </c>
      <c r="E17" s="15">
        <v>0</v>
      </c>
      <c r="F17" s="36">
        <f t="shared" si="1"/>
        <v>3.2877777777777781E-6</v>
      </c>
    </row>
    <row r="18" spans="1:6" ht="14.1" customHeight="1">
      <c r="A18" s="99"/>
      <c r="B18" s="21" t="s">
        <v>22</v>
      </c>
      <c r="C18" s="14">
        <v>0.02</v>
      </c>
      <c r="D18" s="17">
        <f t="shared" si="2"/>
        <v>1.643888888888889</v>
      </c>
      <c r="E18" s="15">
        <v>0</v>
      </c>
      <c r="F18" s="36">
        <f t="shared" si="1"/>
        <v>3.2877777777777774E-5</v>
      </c>
    </row>
    <row r="19" spans="1:6" ht="14.1" customHeight="1">
      <c r="A19" s="99"/>
      <c r="B19" s="21" t="s">
        <v>23</v>
      </c>
      <c r="C19" s="14">
        <v>0.01</v>
      </c>
      <c r="D19" s="17">
        <f t="shared" si="2"/>
        <v>1.643888888888889</v>
      </c>
      <c r="E19" s="15">
        <v>0</v>
      </c>
      <c r="F19" s="36">
        <f t="shared" si="1"/>
        <v>1.6438888888888887E-5</v>
      </c>
    </row>
    <row r="20" spans="1:6" ht="14.1" customHeight="1" thickBot="1">
      <c r="A20" s="99"/>
      <c r="B20" s="22" t="s">
        <v>24</v>
      </c>
      <c r="C20" s="13">
        <v>0.01</v>
      </c>
      <c r="D20" s="18">
        <f t="shared" si="2"/>
        <v>1.643888888888889</v>
      </c>
      <c r="E20" s="16">
        <v>0</v>
      </c>
      <c r="F20" s="37">
        <f t="shared" si="1"/>
        <v>1.6438888888888887E-5</v>
      </c>
    </row>
    <row r="22" spans="1:6" ht="14.1" customHeight="1">
      <c r="B22" s="8" t="s">
        <v>25</v>
      </c>
    </row>
    <row r="23" spans="1:6" ht="14.1" customHeight="1">
      <c r="B23" s="10"/>
      <c r="C23" s="1" t="s">
        <v>26</v>
      </c>
    </row>
    <row r="24" spans="1:6" ht="14.1" customHeight="1">
      <c r="B24" s="23"/>
      <c r="C24" s="1" t="s">
        <v>27</v>
      </c>
    </row>
    <row r="26" spans="1:6" ht="14.1" customHeight="1">
      <c r="B26" s="1"/>
    </row>
    <row r="27" spans="1:6" ht="14.1" customHeight="1">
      <c r="B27" s="1"/>
    </row>
    <row r="28" spans="1:6" ht="14.1" customHeight="1">
      <c r="B28" s="1"/>
    </row>
    <row r="29" spans="1:6" ht="14.1" customHeight="1">
      <c r="B29" s="1"/>
    </row>
    <row r="30" spans="1:6" ht="14.1" customHeight="1">
      <c r="B30" s="1"/>
    </row>
    <row r="31" spans="1:6" ht="14.1" customHeight="1">
      <c r="B31" s="1"/>
    </row>
    <row r="32" spans="1:6" ht="14.1" customHeight="1">
      <c r="B32" s="1"/>
    </row>
    <row r="33" spans="2:2" ht="14.1" customHeight="1">
      <c r="B33" s="1"/>
    </row>
    <row r="34" spans="2:2" ht="14.1" customHeight="1">
      <c r="B34" s="1"/>
    </row>
    <row r="35" spans="2:2" ht="14.1" customHeight="1">
      <c r="B35" s="1"/>
    </row>
    <row r="36" spans="2:2" ht="14.1" customHeight="1">
      <c r="B36" s="1"/>
    </row>
    <row r="37" spans="2:2" ht="14.1" customHeight="1">
      <c r="B37" s="1"/>
    </row>
    <row r="38" spans="2:2" ht="14.1" customHeight="1">
      <c r="B38" s="1"/>
    </row>
    <row r="39" spans="2:2" ht="14.1" customHeight="1">
      <c r="B39" s="1"/>
    </row>
  </sheetData>
  <mergeCells count="3">
    <mergeCell ref="B2:F2"/>
    <mergeCell ref="A8:A20"/>
    <mergeCell ref="A4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8E8D8-C41E-4477-ACCB-6CA9E08C2BB1}">
  <sheetPr>
    <tabColor theme="0"/>
  </sheetPr>
  <dimension ref="B1:K19"/>
  <sheetViews>
    <sheetView tabSelected="1" zoomScale="88" zoomScaleNormal="100" workbookViewId="0">
      <selection activeCell="K17" sqref="K17"/>
    </sheetView>
  </sheetViews>
  <sheetFormatPr defaultRowHeight="12.75"/>
  <cols>
    <col min="2" max="2" width="24.25" customWidth="1"/>
    <col min="3" max="3" width="10.5" customWidth="1"/>
    <col min="4" max="4" width="12.125" customWidth="1"/>
    <col min="5" max="5" width="12.5" bestFit="1" customWidth="1"/>
    <col min="6" max="6" width="18.875" customWidth="1"/>
    <col min="7" max="7" width="16.5" bestFit="1" customWidth="1"/>
    <col min="8" max="8" width="12.375" customWidth="1"/>
    <col min="9" max="9" width="48.625" customWidth="1"/>
    <col min="10" max="10" width="4.875" customWidth="1"/>
    <col min="11" max="11" width="17.625" customWidth="1"/>
  </cols>
  <sheetData>
    <row r="1" spans="2:11" ht="13.5" thickBot="1"/>
    <row r="2" spans="2:11" ht="13.5" thickBot="1">
      <c r="B2" s="103" t="s">
        <v>0</v>
      </c>
      <c r="C2" s="104"/>
      <c r="D2" s="104"/>
      <c r="E2" s="104"/>
      <c r="F2" s="104"/>
      <c r="G2" s="104"/>
      <c r="H2" s="104"/>
      <c r="I2" s="105"/>
      <c r="K2" s="30"/>
    </row>
    <row r="3" spans="2:11" ht="54.6" customHeight="1" thickBot="1">
      <c r="B3" s="28"/>
      <c r="C3" s="101" t="s">
        <v>28</v>
      </c>
      <c r="D3" s="102"/>
      <c r="E3" s="106" t="s">
        <v>29</v>
      </c>
      <c r="F3" s="106" t="s">
        <v>30</v>
      </c>
      <c r="G3" s="106" t="s">
        <v>31</v>
      </c>
      <c r="H3" s="106" t="s">
        <v>32</v>
      </c>
      <c r="I3" s="108" t="s">
        <v>33</v>
      </c>
      <c r="K3" s="29" t="s">
        <v>34</v>
      </c>
    </row>
    <row r="4" spans="2:11" ht="13.5" thickBot="1">
      <c r="B4" s="39" t="s">
        <v>2</v>
      </c>
      <c r="C4" s="40" t="s">
        <v>35</v>
      </c>
      <c r="D4" s="41" t="s">
        <v>36</v>
      </c>
      <c r="E4" s="107"/>
      <c r="F4" s="107"/>
      <c r="G4" s="107"/>
      <c r="H4" s="107"/>
      <c r="I4" s="109"/>
      <c r="K4" s="31"/>
    </row>
    <row r="5" spans="2:11" s="64" customFormat="1">
      <c r="B5" s="65" t="s">
        <v>12</v>
      </c>
      <c r="C5" s="66"/>
      <c r="D5" s="67">
        <f>+'Long Term Inputs'!F8</f>
        <v>6.9043333333333333E-4</v>
      </c>
      <c r="E5" s="89">
        <f t="shared" ref="E5:E17" si="0">SUM(C5:D5)</f>
        <v>6.9043333333333333E-4</v>
      </c>
      <c r="F5" s="90">
        <v>148</v>
      </c>
      <c r="G5" s="70">
        <f t="shared" ref="G5:G17" si="1">E5*F5</f>
        <v>0.10218413333333333</v>
      </c>
      <c r="H5" s="76">
        <v>680</v>
      </c>
      <c r="I5" s="71" t="s">
        <v>37</v>
      </c>
      <c r="K5" s="70" t="str">
        <f>IF(G5&lt;H5*0.01,"Yes","No")</f>
        <v>Yes</v>
      </c>
    </row>
    <row r="6" spans="2:11" s="64" customFormat="1" ht="76.5">
      <c r="B6" s="65" t="s">
        <v>13</v>
      </c>
      <c r="C6" s="66"/>
      <c r="D6" s="67">
        <f>+'Long Term Inputs'!F9</f>
        <v>1.6438888888888887E-5</v>
      </c>
      <c r="E6" s="89">
        <f t="shared" si="0"/>
        <v>1.6438888888888887E-5</v>
      </c>
      <c r="F6" s="90">
        <v>148</v>
      </c>
      <c r="G6" s="70">
        <f t="shared" si="1"/>
        <v>2.4329555555555552E-3</v>
      </c>
      <c r="H6" s="70">
        <f>9600/100</f>
        <v>96</v>
      </c>
      <c r="I6" s="71" t="s">
        <v>38</v>
      </c>
      <c r="K6" s="70" t="str">
        <f t="shared" ref="K6:K17" si="2">IF(G6&lt;H6*0.01,"Yes","No")</f>
        <v>Yes</v>
      </c>
    </row>
    <row r="7" spans="2:11" s="64" customFormat="1">
      <c r="B7" s="65" t="s">
        <v>14</v>
      </c>
      <c r="C7" s="66">
        <f>+'Long Term Inputs'!F5</f>
        <v>3.8233333333333337E-4</v>
      </c>
      <c r="D7" s="67">
        <f>+'Long Term Inputs'!F10</f>
        <v>6.5755555555555549E-5</v>
      </c>
      <c r="E7" s="89">
        <f t="shared" si="0"/>
        <v>4.4808888888888895E-4</v>
      </c>
      <c r="F7" s="90">
        <v>148</v>
      </c>
      <c r="G7" s="70">
        <f t="shared" si="1"/>
        <v>6.6317155555555563E-2</v>
      </c>
      <c r="H7" s="70">
        <v>250</v>
      </c>
      <c r="I7" s="77" t="s">
        <v>37</v>
      </c>
      <c r="K7" s="70" t="str">
        <f t="shared" si="2"/>
        <v>Yes</v>
      </c>
    </row>
    <row r="8" spans="2:11" s="64" customFormat="1">
      <c r="B8" s="65" t="s">
        <v>15</v>
      </c>
      <c r="C8" s="66"/>
      <c r="D8" s="67">
        <f>+'Long Term Inputs'!F11</f>
        <v>1.8082777777777778E-4</v>
      </c>
      <c r="E8" s="89">
        <f t="shared" si="0"/>
        <v>1.8082777777777778E-4</v>
      </c>
      <c r="F8" s="90">
        <v>148</v>
      </c>
      <c r="G8" s="70">
        <f t="shared" si="1"/>
        <v>2.6762511111111113E-2</v>
      </c>
      <c r="H8" s="76">
        <v>2660</v>
      </c>
      <c r="I8" s="71" t="s">
        <v>37</v>
      </c>
      <c r="K8" s="70" t="str">
        <f t="shared" si="2"/>
        <v>Yes</v>
      </c>
    </row>
    <row r="9" spans="2:11" s="64" customFormat="1">
      <c r="B9" s="65" t="s">
        <v>39</v>
      </c>
      <c r="C9" s="66"/>
      <c r="D9" s="67">
        <f>+'Long Term Inputs'!F12</f>
        <v>6.9043333333333333E-4</v>
      </c>
      <c r="E9" s="89">
        <f t="shared" si="0"/>
        <v>6.9043333333333333E-4</v>
      </c>
      <c r="F9" s="90">
        <v>148</v>
      </c>
      <c r="G9" s="70">
        <f t="shared" si="1"/>
        <v>0.10218413333333333</v>
      </c>
      <c r="H9" s="91">
        <v>9990</v>
      </c>
      <c r="I9" s="92" t="s">
        <v>37</v>
      </c>
      <c r="K9" s="70" t="str">
        <f t="shared" si="2"/>
        <v>Yes</v>
      </c>
    </row>
    <row r="10" spans="2:11" s="64" customFormat="1" ht="38.25">
      <c r="B10" s="65" t="s">
        <v>17</v>
      </c>
      <c r="C10" s="66">
        <f>+'Long Term Inputs'!F6</f>
        <v>1.2333333333333331E-4</v>
      </c>
      <c r="D10" s="67">
        <f>+'Long Term Inputs'!F13</f>
        <v>6.9043333333333333E-4</v>
      </c>
      <c r="E10" s="89">
        <f t="shared" si="0"/>
        <v>8.1376666666666659E-4</v>
      </c>
      <c r="F10" s="90">
        <v>148</v>
      </c>
      <c r="G10" s="70">
        <f t="shared" si="1"/>
        <v>0.12043746666666666</v>
      </c>
      <c r="H10" s="70">
        <v>19200</v>
      </c>
      <c r="I10" s="71" t="s">
        <v>40</v>
      </c>
      <c r="K10" s="70" t="str">
        <f t="shared" si="2"/>
        <v>Yes</v>
      </c>
    </row>
    <row r="11" spans="2:11" s="64" customFormat="1" ht="25.5">
      <c r="B11" s="65" t="s">
        <v>18</v>
      </c>
      <c r="C11" s="80"/>
      <c r="D11" s="67">
        <f>+'Long Term Inputs'!F14</f>
        <v>1.6438888888888887E-5</v>
      </c>
      <c r="E11" s="89">
        <f t="shared" si="0"/>
        <v>1.6438888888888887E-5</v>
      </c>
      <c r="F11" s="90">
        <v>148</v>
      </c>
      <c r="G11" s="70">
        <f t="shared" si="1"/>
        <v>2.4329555555555552E-3</v>
      </c>
      <c r="H11" s="70">
        <v>5</v>
      </c>
      <c r="I11" s="77" t="s">
        <v>41</v>
      </c>
      <c r="K11" s="70" t="str">
        <f t="shared" si="2"/>
        <v>Yes</v>
      </c>
    </row>
    <row r="12" spans="2:11" s="64" customFormat="1">
      <c r="B12" s="65" t="s">
        <v>42</v>
      </c>
      <c r="C12" s="93">
        <f>+'Long Term Inputs'!F4</f>
        <v>4.1111111111111112E-7</v>
      </c>
      <c r="D12" s="67">
        <f>+'Long Term Inputs'!F15</f>
        <v>1.6438888888888887E-5</v>
      </c>
      <c r="E12" s="89">
        <f t="shared" si="0"/>
        <v>1.685E-5</v>
      </c>
      <c r="F12" s="90">
        <v>148</v>
      </c>
      <c r="G12" s="70">
        <f t="shared" si="1"/>
        <v>2.4938E-3</v>
      </c>
      <c r="H12" s="72" t="s">
        <v>43</v>
      </c>
      <c r="I12" s="77" t="s">
        <v>44</v>
      </c>
      <c r="K12" s="70"/>
    </row>
    <row r="13" spans="2:11" s="64" customFormat="1">
      <c r="B13" s="65" t="s">
        <v>20</v>
      </c>
      <c r="C13" s="66"/>
      <c r="D13" s="67">
        <f>+'Long Term Inputs'!F16</f>
        <v>3.9453333333333335E-4</v>
      </c>
      <c r="E13" s="89">
        <f t="shared" si="0"/>
        <v>3.9453333333333335E-4</v>
      </c>
      <c r="F13" s="90">
        <v>148</v>
      </c>
      <c r="G13" s="70">
        <f t="shared" si="1"/>
        <v>5.8390933333333332E-2</v>
      </c>
      <c r="H13" s="76">
        <v>3000</v>
      </c>
      <c r="I13" s="71" t="s">
        <v>37</v>
      </c>
      <c r="K13" s="70" t="str">
        <f t="shared" si="2"/>
        <v>Yes</v>
      </c>
    </row>
    <row r="14" spans="2:11" s="64" customFormat="1" ht="38.25">
      <c r="B14" s="65" t="s">
        <v>21</v>
      </c>
      <c r="C14" s="66"/>
      <c r="D14" s="67">
        <f>+'Long Term Inputs'!F17</f>
        <v>3.2877777777777781E-6</v>
      </c>
      <c r="E14" s="89">
        <f t="shared" si="0"/>
        <v>3.2877777777777781E-6</v>
      </c>
      <c r="F14" s="90">
        <v>148</v>
      </c>
      <c r="G14" s="70">
        <f t="shared" si="1"/>
        <v>4.8659111111111117E-4</v>
      </c>
      <c r="H14" s="70">
        <v>5</v>
      </c>
      <c r="I14" s="77" t="s">
        <v>45</v>
      </c>
      <c r="K14" s="70" t="str">
        <f t="shared" si="2"/>
        <v>Yes</v>
      </c>
    </row>
    <row r="15" spans="2:11" s="64" customFormat="1">
      <c r="B15" s="65" t="s">
        <v>22</v>
      </c>
      <c r="C15" s="66"/>
      <c r="D15" s="67">
        <f>+'Long Term Inputs'!F18</f>
        <v>3.2877777777777774E-5</v>
      </c>
      <c r="E15" s="89">
        <f t="shared" si="0"/>
        <v>3.2877777777777774E-5</v>
      </c>
      <c r="F15" s="90">
        <v>148</v>
      </c>
      <c r="G15" s="70">
        <f t="shared" si="1"/>
        <v>4.8659111111111104E-3</v>
      </c>
      <c r="H15" s="72" t="s">
        <v>43</v>
      </c>
      <c r="I15" s="77" t="s">
        <v>44</v>
      </c>
      <c r="K15" s="70"/>
    </row>
    <row r="16" spans="2:11" s="64" customFormat="1" ht="76.5">
      <c r="B16" s="65" t="s">
        <v>46</v>
      </c>
      <c r="C16" s="66"/>
      <c r="D16" s="67">
        <f>+'Long Term Inputs'!F19</f>
        <v>1.6438888888888887E-5</v>
      </c>
      <c r="E16" s="89">
        <f t="shared" si="0"/>
        <v>1.6438888888888887E-5</v>
      </c>
      <c r="F16" s="90">
        <v>148</v>
      </c>
      <c r="G16" s="70">
        <f t="shared" si="1"/>
        <v>2.4329555555555552E-3</v>
      </c>
      <c r="H16" s="70">
        <v>14</v>
      </c>
      <c r="I16" s="71" t="s">
        <v>47</v>
      </c>
      <c r="K16" s="70" t="str">
        <f t="shared" si="2"/>
        <v>Yes</v>
      </c>
    </row>
    <row r="17" spans="2:11" s="64" customFormat="1" ht="128.25" thickBot="1">
      <c r="B17" s="82" t="s">
        <v>24</v>
      </c>
      <c r="C17" s="83"/>
      <c r="D17" s="84">
        <f>+'Long Term Inputs'!F20</f>
        <v>1.6438888888888887E-5</v>
      </c>
      <c r="E17" s="94">
        <f t="shared" si="0"/>
        <v>1.6438888888888887E-5</v>
      </c>
      <c r="F17" s="95">
        <v>148</v>
      </c>
      <c r="G17" s="87">
        <f t="shared" si="1"/>
        <v>2.4329555555555552E-3</v>
      </c>
      <c r="H17" s="87">
        <v>3.66</v>
      </c>
      <c r="I17" s="88" t="s">
        <v>48</v>
      </c>
      <c r="K17" s="70" t="str">
        <f t="shared" si="2"/>
        <v>Yes</v>
      </c>
    </row>
    <row r="19" spans="2:11">
      <c r="B19" s="6"/>
      <c r="C19" s="1" t="s">
        <v>49</v>
      </c>
      <c r="D19" s="1"/>
    </row>
  </sheetData>
  <mergeCells count="7">
    <mergeCell ref="C3:D3"/>
    <mergeCell ref="B2:I2"/>
    <mergeCell ref="E3:E4"/>
    <mergeCell ref="F3:F4"/>
    <mergeCell ref="G3:G4"/>
    <mergeCell ref="H3:H4"/>
    <mergeCell ref="I3:I4"/>
  </mergeCells>
  <conditionalFormatting sqref="B2">
    <cfRule type="containsText" dxfId="13" priority="7" operator="containsText" text="No">
      <formula>NOT(ISERROR(SEARCH("No",B2)))</formula>
    </cfRule>
    <cfRule type="containsText" dxfId="12" priority="8" operator="containsText" text="Yes">
      <formula>NOT(ISERROR(SEARCH("Yes",B2)))</formula>
    </cfRule>
  </conditionalFormatting>
  <conditionalFormatting sqref="K1:K1048576">
    <cfRule type="containsText" dxfId="11" priority="3" operator="containsText" text="No">
      <formula>NOT(ISERROR(SEARCH("No",K1)))</formula>
    </cfRule>
    <cfRule type="containsText" dxfId="10" priority="4" operator="containsText" text="Yes">
      <formula>NOT(ISERROR(SEARCH("Yes",K1)))</formula>
    </cfRule>
  </conditionalFormatting>
  <conditionalFormatting sqref="K2:K3">
    <cfRule type="containsText" dxfId="9" priority="11" operator="containsText" text="No">
      <formula>NOT(ISERROR(SEARCH("No",K2)))</formula>
    </cfRule>
    <cfRule type="containsText" dxfId="8" priority="12" operator="containsText" text="Yes">
      <formula>NOT(ISERROR(SEARCH("Yes",K2)))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0760E-A880-482F-95CD-3D2661E89BEF}">
  <sheetPr>
    <tabColor rgb="FF92D050"/>
  </sheetPr>
  <dimension ref="A1:G24"/>
  <sheetViews>
    <sheetView zoomScale="125" zoomScaleNormal="90" workbookViewId="0">
      <selection activeCell="B33" sqref="B33"/>
    </sheetView>
  </sheetViews>
  <sheetFormatPr defaultColWidth="11.25" defaultRowHeight="14.1" customHeight="1"/>
  <cols>
    <col min="1" max="1" width="11.25" style="1"/>
    <col min="2" max="2" width="37.625" style="4" bestFit="1" customWidth="1"/>
    <col min="3" max="3" width="15.5" style="1" customWidth="1"/>
    <col min="4" max="4" width="10.625" style="1" customWidth="1"/>
    <col min="5" max="5" width="10.375" style="1" bestFit="1" customWidth="1"/>
    <col min="6" max="6" width="12.75" style="1" customWidth="1"/>
    <col min="7" max="7" width="7" style="1" customWidth="1"/>
    <col min="8" max="16384" width="11.25" style="1"/>
  </cols>
  <sheetData>
    <row r="1" spans="1:7" ht="14.1" customHeight="1" thickBot="1"/>
    <row r="2" spans="1:7" ht="14.1" customHeight="1" thickBot="1">
      <c r="B2" s="96" t="s">
        <v>0</v>
      </c>
      <c r="C2" s="97"/>
      <c r="D2" s="97"/>
      <c r="E2" s="97"/>
      <c r="F2" s="110"/>
      <c r="G2" s="2"/>
    </row>
    <row r="3" spans="1:7" ht="58.5" customHeight="1" thickBot="1">
      <c r="A3" s="49" t="s">
        <v>1</v>
      </c>
      <c r="B3" s="27" t="s">
        <v>2</v>
      </c>
      <c r="C3" s="55" t="s">
        <v>3</v>
      </c>
      <c r="D3" s="56" t="s">
        <v>4</v>
      </c>
      <c r="E3" s="57" t="s">
        <v>5</v>
      </c>
      <c r="F3" s="27" t="s">
        <v>6</v>
      </c>
      <c r="G3" s="3"/>
    </row>
    <row r="4" spans="1:7" ht="12.75">
      <c r="A4" s="111" t="s">
        <v>50</v>
      </c>
      <c r="B4" s="50" t="s">
        <v>8</v>
      </c>
      <c r="C4" s="51">
        <v>0.02</v>
      </c>
      <c r="D4" s="52">
        <f>1480/3600</f>
        <v>0.41111111111111109</v>
      </c>
      <c r="E4" s="53">
        <v>0</v>
      </c>
      <c r="F4" s="54">
        <f>(C4*D4)/1000</f>
        <v>8.2222222222222235E-6</v>
      </c>
      <c r="G4"/>
    </row>
    <row r="5" spans="1:7" ht="12.75">
      <c r="A5" s="111"/>
      <c r="B5" s="5" t="s">
        <v>9</v>
      </c>
      <c r="C5" s="24">
        <v>14.88</v>
      </c>
      <c r="D5" s="17">
        <f t="shared" ref="D5:D6" si="0">1480/3600</f>
        <v>0.41111111111111109</v>
      </c>
      <c r="E5" s="19">
        <v>0</v>
      </c>
      <c r="F5" s="36">
        <f>(C5*D5)/1000</f>
        <v>6.117333333333334E-3</v>
      </c>
      <c r="G5"/>
    </row>
    <row r="6" spans="1:7" ht="13.5" thickBot="1">
      <c r="A6" s="111"/>
      <c r="B6" s="9" t="s">
        <v>10</v>
      </c>
      <c r="C6" s="25">
        <v>4.7699999999999996</v>
      </c>
      <c r="D6" s="18">
        <f t="shared" si="0"/>
        <v>0.41111111111111109</v>
      </c>
      <c r="E6" s="20">
        <v>0</v>
      </c>
      <c r="F6" s="37">
        <f>(C6*D6)/1000</f>
        <v>1.9609999999999996E-3</v>
      </c>
      <c r="G6"/>
    </row>
    <row r="7" spans="1:7" ht="14.1" customHeight="1" thickBot="1"/>
    <row r="8" spans="1:7" ht="14.1" customHeight="1">
      <c r="A8" s="99" t="s">
        <v>51</v>
      </c>
      <c r="B8" s="42" t="s">
        <v>12</v>
      </c>
      <c r="C8" s="58">
        <v>6.7293004393376137</v>
      </c>
      <c r="D8" s="44">
        <f>5918/3600</f>
        <v>1.643888888888889</v>
      </c>
      <c r="E8" s="45">
        <v>0</v>
      </c>
      <c r="F8" s="46">
        <f t="shared" ref="F8:F20" si="1">(C8*D8)/1000</f>
        <v>1.1062222222222222E-2</v>
      </c>
      <c r="G8"/>
    </row>
    <row r="9" spans="1:7" ht="14.1" customHeight="1">
      <c r="A9" s="99"/>
      <c r="B9" s="21" t="s">
        <v>13</v>
      </c>
      <c r="C9" s="59">
        <v>0.20400332319477299</v>
      </c>
      <c r="D9" s="17">
        <f t="shared" ref="D9:D20" si="2">5918/3600</f>
        <v>1.643888888888889</v>
      </c>
      <c r="E9" s="15">
        <v>0</v>
      </c>
      <c r="F9" s="36">
        <f t="shared" si="1"/>
        <v>3.3535879629629627E-4</v>
      </c>
      <c r="G9"/>
    </row>
    <row r="10" spans="1:7" ht="14.1" customHeight="1">
      <c r="A10" s="99"/>
      <c r="B10" s="21" t="s">
        <v>14</v>
      </c>
      <c r="C10" s="59">
        <v>0.70230652247380854</v>
      </c>
      <c r="D10" s="17">
        <f t="shared" si="2"/>
        <v>1.643888888888889</v>
      </c>
      <c r="E10" s="15">
        <v>0</v>
      </c>
      <c r="F10" s="36">
        <f t="shared" si="1"/>
        <v>1.1545138888888885E-3</v>
      </c>
      <c r="G10"/>
    </row>
    <row r="11" spans="1:7" ht="14.1" customHeight="1">
      <c r="A11" s="99"/>
      <c r="B11" s="21" t="s">
        <v>15</v>
      </c>
      <c r="C11" s="59">
        <v>1.6951672862453535</v>
      </c>
      <c r="D11" s="17">
        <f t="shared" si="2"/>
        <v>1.643888888888889</v>
      </c>
      <c r="E11" s="15">
        <v>0</v>
      </c>
      <c r="F11" s="36">
        <f t="shared" si="1"/>
        <v>2.7866666666666673E-3</v>
      </c>
      <c r="G11"/>
    </row>
    <row r="12" spans="1:7" ht="14.1" customHeight="1">
      <c r="A12" s="99"/>
      <c r="B12" s="21" t="s">
        <v>16</v>
      </c>
      <c r="C12" s="59">
        <v>6.7293004393376137</v>
      </c>
      <c r="D12" s="17">
        <f t="shared" si="2"/>
        <v>1.643888888888889</v>
      </c>
      <c r="E12" s="15">
        <v>0</v>
      </c>
      <c r="F12" s="36">
        <f t="shared" si="1"/>
        <v>1.1062222222222222E-2</v>
      </c>
      <c r="G12"/>
    </row>
    <row r="13" spans="1:7" ht="14.1" customHeight="1">
      <c r="A13" s="99"/>
      <c r="B13" s="21" t="s">
        <v>17</v>
      </c>
      <c r="C13" s="59">
        <v>6.7549847921595143</v>
      </c>
      <c r="D13" s="17">
        <f t="shared" si="2"/>
        <v>1.643888888888889</v>
      </c>
      <c r="E13" s="15">
        <v>0</v>
      </c>
      <c r="F13" s="36">
        <f t="shared" si="1"/>
        <v>1.1104444444444446E-2</v>
      </c>
      <c r="G13"/>
    </row>
    <row r="14" spans="1:7" ht="14.1" customHeight="1">
      <c r="A14" s="99"/>
      <c r="B14" s="21" t="s">
        <v>18</v>
      </c>
      <c r="C14" s="59">
        <v>0.12842176410949646</v>
      </c>
      <c r="D14" s="17">
        <f t="shared" si="2"/>
        <v>1.643888888888889</v>
      </c>
      <c r="E14" s="15">
        <v>0</v>
      </c>
      <c r="F14" s="36">
        <f t="shared" si="1"/>
        <v>2.1111111111111113E-4</v>
      </c>
      <c r="G14"/>
    </row>
    <row r="15" spans="1:7" ht="14.1" customHeight="1">
      <c r="A15" s="99"/>
      <c r="B15" s="21" t="s">
        <v>42</v>
      </c>
      <c r="C15" s="59">
        <v>9.8991776501070175E-2</v>
      </c>
      <c r="D15" s="17">
        <f t="shared" si="2"/>
        <v>1.643888888888889</v>
      </c>
      <c r="E15" s="15">
        <v>0</v>
      </c>
      <c r="F15" s="36">
        <f t="shared" si="1"/>
        <v>1.6273148148148147E-4</v>
      </c>
      <c r="G15"/>
    </row>
    <row r="16" spans="1:7" ht="14.1" customHeight="1">
      <c r="A16" s="99"/>
      <c r="B16" s="21" t="s">
        <v>20</v>
      </c>
      <c r="C16" s="59">
        <v>3.805564943111412</v>
      </c>
      <c r="D16" s="17">
        <f t="shared" si="2"/>
        <v>1.643888888888889</v>
      </c>
      <c r="E16" s="15">
        <v>0</v>
      </c>
      <c r="F16" s="36">
        <f t="shared" si="1"/>
        <v>6.2559259259259278E-3</v>
      </c>
      <c r="G16"/>
    </row>
    <row r="17" spans="1:7" ht="14.1" customHeight="1">
      <c r="A17" s="99"/>
      <c r="B17" s="21" t="s">
        <v>21</v>
      </c>
      <c r="C17" s="59">
        <v>3.9703728737185986E-2</v>
      </c>
      <c r="D17" s="17">
        <f t="shared" si="2"/>
        <v>1.643888888888889</v>
      </c>
      <c r="E17" s="15">
        <v>0</v>
      </c>
      <c r="F17" s="36">
        <f t="shared" si="1"/>
        <v>6.5268518518518513E-5</v>
      </c>
      <c r="G17"/>
    </row>
    <row r="18" spans="1:7" ht="14.1" customHeight="1">
      <c r="A18" s="99"/>
      <c r="B18" s="21" t="s">
        <v>22</v>
      </c>
      <c r="C18" s="59">
        <v>0.39864255942322852</v>
      </c>
      <c r="D18" s="17">
        <f t="shared" si="2"/>
        <v>1.643888888888889</v>
      </c>
      <c r="E18" s="15">
        <v>0</v>
      </c>
      <c r="F18" s="36">
        <f t="shared" si="1"/>
        <v>6.5532407407407401E-4</v>
      </c>
      <c r="G18"/>
    </row>
    <row r="19" spans="1:7" ht="14.1" customHeight="1">
      <c r="A19" s="99"/>
      <c r="B19" s="21" t="s">
        <v>23</v>
      </c>
      <c r="C19" s="59">
        <v>8.909259885096317E-2</v>
      </c>
      <c r="D19" s="17">
        <f t="shared" si="2"/>
        <v>1.643888888888889</v>
      </c>
      <c r="E19" s="15">
        <v>0</v>
      </c>
      <c r="F19" s="36">
        <f t="shared" si="1"/>
        <v>1.4645833333333335E-4</v>
      </c>
      <c r="G19"/>
    </row>
    <row r="20" spans="1:7" ht="14.1" customHeight="1" thickBot="1">
      <c r="A20" s="99"/>
      <c r="B20" s="22" t="s">
        <v>24</v>
      </c>
      <c r="C20" s="60">
        <v>0.17122901881266195</v>
      </c>
      <c r="D20" s="18">
        <f t="shared" si="2"/>
        <v>1.643888888888889</v>
      </c>
      <c r="E20" s="16">
        <v>0</v>
      </c>
      <c r="F20" s="37">
        <f t="shared" si="1"/>
        <v>2.8148148148148151E-4</v>
      </c>
      <c r="G20"/>
    </row>
    <row r="21" spans="1:7" ht="14.1" customHeight="1">
      <c r="A21" s="32"/>
      <c r="B21" s="26"/>
      <c r="C21" s="33"/>
      <c r="D21" s="34"/>
      <c r="E21" s="4"/>
      <c r="F21" s="35"/>
      <c r="G21"/>
    </row>
    <row r="22" spans="1:7" ht="14.1" customHeight="1">
      <c r="A22" s="32"/>
      <c r="B22" s="26" t="s">
        <v>25</v>
      </c>
      <c r="C22" s="33"/>
      <c r="D22" s="34"/>
      <c r="E22" s="4"/>
      <c r="F22" s="35"/>
      <c r="G22"/>
    </row>
    <row r="23" spans="1:7" ht="14.1" customHeight="1">
      <c r="B23" s="10"/>
      <c r="C23" s="1" t="s">
        <v>52</v>
      </c>
    </row>
    <row r="24" spans="1:7" ht="14.1" customHeight="1">
      <c r="B24" s="11"/>
      <c r="C24" s="1" t="s">
        <v>53</v>
      </c>
    </row>
  </sheetData>
  <mergeCells count="3">
    <mergeCell ref="B2:F2"/>
    <mergeCell ref="A4:A6"/>
    <mergeCell ref="A8:A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ED02C-955D-4302-AE94-45688807266E}">
  <sheetPr>
    <tabColor theme="0"/>
  </sheetPr>
  <dimension ref="B1:T22"/>
  <sheetViews>
    <sheetView zoomScale="102" zoomScaleNormal="100" workbookViewId="0">
      <selection activeCell="M11" sqref="M11"/>
    </sheetView>
  </sheetViews>
  <sheetFormatPr defaultRowHeight="12.75"/>
  <cols>
    <col min="1" max="1" width="12.25" bestFit="1" customWidth="1"/>
    <col min="2" max="2" width="17.75" customWidth="1"/>
    <col min="5" max="5" width="12.875" customWidth="1"/>
    <col min="6" max="6" width="17.25" customWidth="1"/>
    <col min="7" max="8" width="12.25" customWidth="1"/>
    <col min="9" max="9" width="54.25" customWidth="1"/>
    <col min="10" max="10" width="1.75" customWidth="1"/>
    <col min="11" max="11" width="16.125" customWidth="1"/>
    <col min="13" max="13" width="40.875" bestFit="1" customWidth="1"/>
  </cols>
  <sheetData>
    <row r="1" spans="2:20" ht="13.5" thickBot="1"/>
    <row r="2" spans="2:20" ht="15" thickBot="1">
      <c r="B2" s="112" t="s">
        <v>0</v>
      </c>
      <c r="C2" s="113"/>
      <c r="D2" s="113"/>
      <c r="E2" s="113"/>
      <c r="F2" s="113"/>
      <c r="G2" s="113"/>
      <c r="H2" s="113"/>
      <c r="I2" s="114"/>
      <c r="K2" s="48" t="s">
        <v>54</v>
      </c>
      <c r="L2" s="49"/>
    </row>
    <row r="3" spans="2:20" ht="29.1" customHeight="1" thickBot="1">
      <c r="B3" s="28"/>
      <c r="C3" s="118" t="s">
        <v>28</v>
      </c>
      <c r="D3" s="119"/>
      <c r="E3" s="120" t="s">
        <v>29</v>
      </c>
      <c r="F3" s="106" t="s">
        <v>55</v>
      </c>
      <c r="G3" s="106" t="s">
        <v>56</v>
      </c>
      <c r="H3" s="106" t="s">
        <v>57</v>
      </c>
      <c r="I3" s="106" t="s">
        <v>33</v>
      </c>
      <c r="J3" s="47"/>
      <c r="K3" s="115" t="s">
        <v>58</v>
      </c>
    </row>
    <row r="4" spans="2:20" ht="23.1" customHeight="1" thickBot="1">
      <c r="B4" s="39" t="s">
        <v>2</v>
      </c>
      <c r="C4" s="40" t="s">
        <v>35</v>
      </c>
      <c r="D4" s="41" t="s">
        <v>36</v>
      </c>
      <c r="E4" s="121"/>
      <c r="F4" s="107"/>
      <c r="G4" s="107"/>
      <c r="H4" s="117"/>
      <c r="I4" s="117"/>
      <c r="J4" s="47"/>
      <c r="K4" s="116"/>
    </row>
    <row r="5" spans="2:20" s="64" customFormat="1">
      <c r="B5" s="65" t="s">
        <v>12</v>
      </c>
      <c r="C5" s="66"/>
      <c r="D5" s="67">
        <f>+'Short Term Inputs'!F8</f>
        <v>1.1062222222222222E-2</v>
      </c>
      <c r="E5" s="68">
        <f t="shared" ref="E5:E17" si="0">SUM(C5:D5)</f>
        <v>1.1062222222222222E-2</v>
      </c>
      <c r="F5" s="69">
        <v>3900</v>
      </c>
      <c r="G5" s="70">
        <f t="shared" ref="G5:G14" si="1">E5*F5</f>
        <v>43.142666666666663</v>
      </c>
      <c r="H5" s="70">
        <v>10200</v>
      </c>
      <c r="I5" s="71" t="s">
        <v>37</v>
      </c>
      <c r="K5" s="70" t="str">
        <f>IF(G5&lt;H5*0.1,"Yes","No")</f>
        <v>Yes</v>
      </c>
    </row>
    <row r="6" spans="2:20" s="64" customFormat="1" ht="51">
      <c r="B6" s="65" t="s">
        <v>13</v>
      </c>
      <c r="C6" s="66"/>
      <c r="D6" s="67">
        <f>+'Short Term Inputs'!F9</f>
        <v>3.3535879629629627E-4</v>
      </c>
      <c r="E6" s="68">
        <f t="shared" si="0"/>
        <v>3.3535879629629627E-4</v>
      </c>
      <c r="F6" s="69">
        <v>3900</v>
      </c>
      <c r="G6" s="70">
        <f t="shared" si="1"/>
        <v>1.3078993055555554</v>
      </c>
      <c r="H6" s="72" t="s">
        <v>43</v>
      </c>
      <c r="I6" s="71" t="s">
        <v>59</v>
      </c>
      <c r="K6" s="73"/>
      <c r="M6" s="74"/>
      <c r="O6" s="75"/>
    </row>
    <row r="7" spans="2:20" s="64" customFormat="1">
      <c r="B7" s="65" t="s">
        <v>14</v>
      </c>
      <c r="C7" s="66">
        <f>+'Short Term Inputs'!F5</f>
        <v>6.117333333333334E-3</v>
      </c>
      <c r="D7" s="67">
        <f>+'Short Term Inputs'!F10</f>
        <v>1.1545138888888885E-3</v>
      </c>
      <c r="E7" s="68">
        <f t="shared" si="0"/>
        <v>7.2718472222222229E-3</v>
      </c>
      <c r="F7" s="69">
        <v>3900</v>
      </c>
      <c r="G7" s="70">
        <f t="shared" si="1"/>
        <v>28.360204166666669</v>
      </c>
      <c r="H7" s="76">
        <v>3700</v>
      </c>
      <c r="I7" s="77" t="s">
        <v>37</v>
      </c>
      <c r="K7" s="70" t="str">
        <f t="shared" ref="K7:K17" si="2">IF(G7&lt;H7*0.1,"Yes","No")</f>
        <v>Yes</v>
      </c>
    </row>
    <row r="8" spans="2:20" s="64" customFormat="1">
      <c r="B8" s="65" t="s">
        <v>15</v>
      </c>
      <c r="C8" s="66"/>
      <c r="D8" s="67">
        <f>+'Short Term Inputs'!F11</f>
        <v>2.7866666666666673E-3</v>
      </c>
      <c r="E8" s="68">
        <f t="shared" si="0"/>
        <v>2.7866666666666673E-3</v>
      </c>
      <c r="F8" s="69">
        <v>3900</v>
      </c>
      <c r="G8" s="70">
        <f t="shared" si="1"/>
        <v>10.868000000000002</v>
      </c>
      <c r="H8" s="76">
        <v>33300</v>
      </c>
      <c r="I8" s="77" t="s">
        <v>37</v>
      </c>
      <c r="K8" s="70" t="str">
        <f t="shared" si="2"/>
        <v>Yes</v>
      </c>
    </row>
    <row r="9" spans="2:20" s="64" customFormat="1">
      <c r="B9" s="65" t="s">
        <v>39</v>
      </c>
      <c r="C9" s="66"/>
      <c r="D9" s="67">
        <f>+'Short Term Inputs'!F12</f>
        <v>1.1062222222222222E-2</v>
      </c>
      <c r="E9" s="68">
        <f t="shared" si="0"/>
        <v>1.1062222222222222E-2</v>
      </c>
      <c r="F9" s="69">
        <v>3900</v>
      </c>
      <c r="G9" s="70">
        <f t="shared" si="1"/>
        <v>43.142666666666663</v>
      </c>
      <c r="H9" s="70">
        <v>125000</v>
      </c>
      <c r="I9" s="71" t="s">
        <v>37</v>
      </c>
      <c r="K9" s="70" t="str">
        <f t="shared" si="2"/>
        <v>Yes</v>
      </c>
      <c r="M9" s="78"/>
    </row>
    <row r="10" spans="2:20" s="64" customFormat="1" ht="25.5">
      <c r="B10" s="65" t="s">
        <v>17</v>
      </c>
      <c r="C10" s="79">
        <f>+'Short Term Inputs'!F6</f>
        <v>1.9609999999999996E-3</v>
      </c>
      <c r="D10" s="67">
        <f>+'Short Term Inputs'!F13</f>
        <v>1.1104444444444446E-2</v>
      </c>
      <c r="E10" s="68">
        <f t="shared" si="0"/>
        <v>1.3065444444444445E-2</v>
      </c>
      <c r="F10" s="69">
        <v>3900</v>
      </c>
      <c r="G10" s="70">
        <f t="shared" si="1"/>
        <v>50.955233333333339</v>
      </c>
      <c r="H10" s="70">
        <v>1920000</v>
      </c>
      <c r="I10" s="71" t="s">
        <v>60</v>
      </c>
      <c r="K10" s="70" t="str">
        <f t="shared" si="2"/>
        <v>Yes</v>
      </c>
    </row>
    <row r="11" spans="2:20" s="64" customFormat="1" ht="38.25">
      <c r="B11" s="65" t="s">
        <v>18</v>
      </c>
      <c r="C11" s="80"/>
      <c r="D11" s="67">
        <f>+'Short Term Inputs'!F14</f>
        <v>2.1111111111111113E-4</v>
      </c>
      <c r="E11" s="68">
        <f t="shared" si="0"/>
        <v>2.1111111111111113E-4</v>
      </c>
      <c r="F11" s="69">
        <v>3900</v>
      </c>
      <c r="G11" s="70">
        <f t="shared" si="1"/>
        <v>0.82333333333333347</v>
      </c>
      <c r="H11" s="70">
        <v>14.03</v>
      </c>
      <c r="I11" s="77" t="s">
        <v>61</v>
      </c>
      <c r="K11" s="70" t="str">
        <f t="shared" si="2"/>
        <v>Yes</v>
      </c>
      <c r="M11" s="74"/>
      <c r="O11" s="75"/>
      <c r="T11" s="75"/>
    </row>
    <row r="12" spans="2:20" s="64" customFormat="1">
      <c r="B12" s="65" t="s">
        <v>42</v>
      </c>
      <c r="C12" s="66">
        <f>+'Short Term Inputs'!F4</f>
        <v>8.2222222222222235E-6</v>
      </c>
      <c r="D12" s="67">
        <f>+'Short Term Inputs'!F15</f>
        <v>1.6273148148148147E-4</v>
      </c>
      <c r="E12" s="68">
        <f t="shared" si="0"/>
        <v>1.7095370370370371E-4</v>
      </c>
      <c r="F12" s="69">
        <v>3900</v>
      </c>
      <c r="G12" s="70">
        <f t="shared" si="1"/>
        <v>0.66671944444444442</v>
      </c>
      <c r="H12" s="70">
        <v>750</v>
      </c>
      <c r="I12" s="71" t="s">
        <v>37</v>
      </c>
      <c r="K12" s="70" t="str">
        <f t="shared" si="2"/>
        <v>Yes</v>
      </c>
      <c r="M12" s="78"/>
    </row>
    <row r="13" spans="2:20" s="64" customFormat="1">
      <c r="B13" s="65" t="s">
        <v>20</v>
      </c>
      <c r="C13" s="66"/>
      <c r="D13" s="67">
        <f>+'Short Term Inputs'!F16</f>
        <v>6.2559259259259278E-3</v>
      </c>
      <c r="E13" s="68">
        <f t="shared" si="0"/>
        <v>6.2559259259259278E-3</v>
      </c>
      <c r="F13" s="69">
        <v>3900</v>
      </c>
      <c r="G13" s="70">
        <f t="shared" si="1"/>
        <v>24.398111111111117</v>
      </c>
      <c r="H13" s="76">
        <v>59900</v>
      </c>
      <c r="I13" s="71" t="s">
        <v>37</v>
      </c>
      <c r="K13" s="70" t="str">
        <f t="shared" si="2"/>
        <v>Yes</v>
      </c>
    </row>
    <row r="14" spans="2:20" s="64" customFormat="1" ht="38.25">
      <c r="B14" s="65" t="s">
        <v>21</v>
      </c>
      <c r="C14" s="66"/>
      <c r="D14" s="67">
        <f>+'Short Term Inputs'!F17</f>
        <v>6.5268518518518513E-5</v>
      </c>
      <c r="E14" s="68">
        <f t="shared" si="0"/>
        <v>6.5268518518518513E-5</v>
      </c>
      <c r="F14" s="69">
        <v>3900</v>
      </c>
      <c r="G14" s="70">
        <f t="shared" si="1"/>
        <v>0.2545472222222222</v>
      </c>
      <c r="H14" s="70">
        <v>5</v>
      </c>
      <c r="I14" s="71" t="s">
        <v>62</v>
      </c>
      <c r="K14" s="70" t="str">
        <f t="shared" si="2"/>
        <v>Yes</v>
      </c>
    </row>
    <row r="15" spans="2:20" s="64" customFormat="1">
      <c r="B15" s="65" t="s">
        <v>22</v>
      </c>
      <c r="C15" s="66"/>
      <c r="D15" s="67">
        <f>+'Short Term Inputs'!F18</f>
        <v>6.5532407407407401E-4</v>
      </c>
      <c r="E15" s="68">
        <f t="shared" si="0"/>
        <v>6.5532407407407401E-4</v>
      </c>
      <c r="F15" s="69">
        <v>3900</v>
      </c>
      <c r="G15" s="81">
        <f>(E15*F15)*0.59</f>
        <v>1.5079006944444442</v>
      </c>
      <c r="H15" s="70">
        <f>100</f>
        <v>100</v>
      </c>
      <c r="I15" s="77" t="s">
        <v>63</v>
      </c>
      <c r="K15" s="70" t="str">
        <f t="shared" si="2"/>
        <v>Yes</v>
      </c>
    </row>
    <row r="16" spans="2:20" s="64" customFormat="1" ht="51">
      <c r="B16" s="65" t="s">
        <v>46</v>
      </c>
      <c r="C16" s="66"/>
      <c r="D16" s="67">
        <f>+'Short Term Inputs'!F19</f>
        <v>1.4645833333333335E-4</v>
      </c>
      <c r="E16" s="68">
        <f t="shared" si="0"/>
        <v>1.4645833333333335E-4</v>
      </c>
      <c r="F16" s="69">
        <v>3900</v>
      </c>
      <c r="G16" s="70">
        <f>E16*F16</f>
        <v>0.57118750000000007</v>
      </c>
      <c r="H16" s="70">
        <v>280</v>
      </c>
      <c r="I16" s="71" t="s">
        <v>64</v>
      </c>
      <c r="K16" s="70" t="str">
        <f t="shared" si="2"/>
        <v>Yes</v>
      </c>
      <c r="M16" s="74"/>
    </row>
    <row r="17" spans="2:13" s="64" customFormat="1" ht="102.75" thickBot="1">
      <c r="B17" s="82" t="s">
        <v>24</v>
      </c>
      <c r="C17" s="83"/>
      <c r="D17" s="84">
        <f>+'Short Term Inputs'!F20</f>
        <v>2.8148148148148151E-4</v>
      </c>
      <c r="E17" s="85">
        <f t="shared" si="0"/>
        <v>2.8148148148148151E-4</v>
      </c>
      <c r="F17" s="86">
        <v>3900</v>
      </c>
      <c r="G17" s="87">
        <f>E17*F17</f>
        <v>1.097777777777778</v>
      </c>
      <c r="H17" s="87">
        <v>45.8</v>
      </c>
      <c r="I17" s="88" t="s">
        <v>65</v>
      </c>
      <c r="K17" s="87" t="str">
        <f t="shared" si="2"/>
        <v>Yes</v>
      </c>
      <c r="M17" s="74"/>
    </row>
    <row r="20" spans="2:13">
      <c r="B20" s="6"/>
      <c r="C20" s="1" t="s">
        <v>49</v>
      </c>
      <c r="D20" s="1"/>
      <c r="L20" s="63"/>
    </row>
    <row r="21" spans="2:13" hidden="1">
      <c r="B21" s="7"/>
      <c r="C21" s="1" t="s">
        <v>66</v>
      </c>
      <c r="D21" s="1"/>
    </row>
    <row r="22" spans="2:13">
      <c r="B22" s="12"/>
      <c r="C22" s="1" t="s">
        <v>67</v>
      </c>
    </row>
  </sheetData>
  <mergeCells count="8">
    <mergeCell ref="B2:I2"/>
    <mergeCell ref="K3:K4"/>
    <mergeCell ref="H3:H4"/>
    <mergeCell ref="I3:I4"/>
    <mergeCell ref="C3:D3"/>
    <mergeCell ref="E3:E4"/>
    <mergeCell ref="F3:F4"/>
    <mergeCell ref="G3:G4"/>
  </mergeCells>
  <conditionalFormatting sqref="B2">
    <cfRule type="containsText" dxfId="7" priority="1" operator="containsText" text="No">
      <formula>NOT(ISERROR(SEARCH("No",B2)))</formula>
    </cfRule>
    <cfRule type="containsText" dxfId="6" priority="2" operator="containsText" text="Yes">
      <formula>NOT(ISERROR(SEARCH("Yes",B2)))</formula>
    </cfRule>
    <cfRule type="containsText" dxfId="5" priority="3" operator="containsText" text="No">
      <formula>NOT(ISERROR(SEARCH("No",B2)))</formula>
    </cfRule>
    <cfRule type="containsText" dxfId="4" priority="4" operator="containsText" text="Yes">
      <formula>NOT(ISERROR(SEARCH("Yes",B2)))</formula>
    </cfRule>
  </conditionalFormatting>
  <conditionalFormatting sqref="K1:K1048576">
    <cfRule type="containsText" dxfId="3" priority="5" operator="containsText" text="No">
      <formula>NOT(ISERROR(SEARCH("No",K1)))</formula>
    </cfRule>
    <cfRule type="containsText" dxfId="2" priority="6" operator="containsText" text="Yes">
      <formula>NOT(ISERROR(SEARCH("Yes",K1)))</formula>
    </cfRule>
  </conditionalFormatting>
  <conditionalFormatting sqref="K2">
    <cfRule type="containsText" dxfId="1" priority="11" operator="containsText" text="No">
      <formula>NOT(ISERROR(SEARCH("No",K2)))</formula>
    </cfRule>
    <cfRule type="containsText" dxfId="0" priority="12" operator="containsText" text="Yes">
      <formula>NOT(ISERROR(SEARCH("Yes",K2)))</formula>
    </cfRule>
  </conditionalFormatting>
  <hyperlinks>
    <hyperlink ref="I11" r:id="rId1" display="https://www.fishersci.com/store/msds?partNumber=AC445822500&amp;productDescription=1%2C1%2C1%2C3%2C3%2C3-HEXAFLUORO-2+250ML&amp;vendorId=VN00032119&amp;countryCode=US&amp;language=en" xr:uid="{33113A45-BC9D-4619-9AB3-CBE9F07D6F9C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2024-02-20T00:00:00+00:00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EPR-TP3822SV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>EPR/TP3822SV</OtherReference>
    <EventLink xmlns="5ffd8e36-f429-4edc-ab50-c5be84842779" xsi:nil="true"/>
    <Customer_x002f_OperatorName xmlns="eebef177-55b5-4448-a5fb-28ea454417ee">Moderna UK Biotech Manufacturing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DocumentDate xmlns="eebef177-55b5-4448-a5fb-28ea454417ee">2024-02-20T00:00:00+00:00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lcf76f155ced4ddcb4097134ff3c332f xmlns="b8fba03f-b465-42d4-a04d-5eac66a5065f">
      <Terms xmlns="http://schemas.microsoft.com/office/infopath/2007/PartnerControls"/>
    </lcf76f155ced4ddcb4097134ff3c332f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EPR/TP3822SV</EPRNumber>
    <FacilityAddressPostcode xmlns="eebef177-55b5-4448-a5fb-28ea454417ee">OX11 0RL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41</Value>
      <Value>49</Value>
      <Value>11</Value>
      <Value>32</Value>
      <Value>14</Value>
    </TaxCatchAll>
    <ExternalAuthor xmlns="eebef177-55b5-4448-a5fb-28ea454417ee">Stephen Panton</ExternalAuthor>
    <SiteName xmlns="eebef177-55b5-4448-a5fb-28ea454417ee">Moderna Drug Substance Manufacturing Facility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FacilityAddress xmlns="eebef177-55b5-4448-a5fb-28ea454417ee">Harwell Science and Innovation Campus, Harwell, Oxfordshire, OX11 0RL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Bespoke</TermName>
          <TermId xmlns="http://schemas.microsoft.com/office/infopath/2007/PartnerControls">743fbb82-64b4-442a-8bac-afa632175399</TermId>
        </TermInfo>
      </Terms>
    </la34db7254a948be973d9738b9f07ba7>
  </documentManagement>
</p:properties>
</file>

<file path=customXml/item3.xml><?xml version="1.0" encoding="utf-8"?>
<TemplafyFormConfiguration><![CDATA[{"formFields":[],"formDataEntries":[]}]]></TemplafyFormConfiguratio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4F39980E6E4466409E7A15C1D514AAA0" ma:contentTypeVersion="42" ma:contentTypeDescription="Create a new document." ma:contentTypeScope="" ma:versionID="d26432916e1489d1ee0b4fb5965ac5db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b8fba03f-b465-42d4-a04d-5eac66a5065f" targetNamespace="http://schemas.microsoft.com/office/2006/metadata/properties" ma:root="true" ma:fieldsID="8b9a53347e7796beaecb8fc8cf305e90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b8fba03f-b465-42d4-a04d-5eac66a5065f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ObjectDetectorVersions" minOccurs="0"/>
                <xsd:element ref="ns6:lcf76f155ced4ddcb4097134ff3c332f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Location" minOccurs="0"/>
                <xsd:element ref="ns6:MediaServiceSearchProperties" minOccurs="0"/>
                <xsd:element ref="ns6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fba03f-b465-42d4-a04d-5eac66a506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5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52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5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57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5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5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TemplafyTemplateConfiguration><![CDATA[{"transformationConfigurations":[],"templateName":"ERM_Blank_template","templateDescription":"","enableDocumentContentUpdater":false,"version":"2.0"}]]></TemplafyTemplateConfiguration>
</file>

<file path=customXml/itemProps1.xml><?xml version="1.0" encoding="utf-8"?>
<ds:datastoreItem xmlns:ds="http://schemas.openxmlformats.org/officeDocument/2006/customXml" ds:itemID="{6FFF64D8-AE69-45BD-BBCD-BA8463239862}"/>
</file>

<file path=customXml/itemProps2.xml><?xml version="1.0" encoding="utf-8"?>
<ds:datastoreItem xmlns:ds="http://schemas.openxmlformats.org/officeDocument/2006/customXml" ds:itemID="{06141611-F455-43D2-9AC5-4C2C2BDED491}"/>
</file>

<file path=customXml/itemProps3.xml><?xml version="1.0" encoding="utf-8"?>
<ds:datastoreItem xmlns:ds="http://schemas.openxmlformats.org/officeDocument/2006/customXml" ds:itemID="{F8EC40AC-B302-4A69-BF1C-9561DB48FA4D}"/>
</file>

<file path=customXml/itemProps4.xml><?xml version="1.0" encoding="utf-8"?>
<ds:datastoreItem xmlns:ds="http://schemas.openxmlformats.org/officeDocument/2006/customXml" ds:itemID="{65E7D3E6-92C9-43EF-AA82-FEED8E688F6A}"/>
</file>

<file path=customXml/itemProps5.xml><?xml version="1.0" encoding="utf-8"?>
<ds:datastoreItem xmlns:ds="http://schemas.openxmlformats.org/officeDocument/2006/customXml" ds:itemID="{3C4A0877-99A5-481F-91A0-664D5863CC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Taraka Rhodes</dc:creator>
  <cp:keywords/>
  <dc:description/>
  <cp:lastModifiedBy/>
  <cp:revision/>
  <dcterms:created xsi:type="dcterms:W3CDTF">2023-11-30T00:56:05Z</dcterms:created>
  <dcterms:modified xsi:type="dcterms:W3CDTF">2024-03-21T12:48:08Z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0x0101000E9AD557692E154F9D2697C8C6432F76004F39980E6E4466409E7A15C1D514AAA0</vt:lpwstr>
  </property>
  <property fmtid="{D5CDD505-2E9C-101B-9397-08002B2CF9AE}" pid="3" name="MediaServiceImageTags">
    <vt:lpwstr/>
  </property>
  <property fmtid="{D5CDD505-2E9C-101B-9397-08002B2CF9AE}" pid="4" name="TemplafyTenantId">
    <vt:lpwstr>erm</vt:lpwstr>
  </property>
  <property fmtid="{D5CDD505-2E9C-101B-9397-08002B2CF9AE}" pid="5" name="TemplafyTemplateId">
    <vt:lpwstr>769357270545334394</vt:lpwstr>
  </property>
  <property fmtid="{D5CDD505-2E9C-101B-9397-08002B2CF9AE}" pid="6" name="TemplafyUserProfileId">
    <vt:lpwstr>727649691690336377</vt:lpwstr>
  </property>
  <property fmtid="{D5CDD505-2E9C-101B-9397-08002B2CF9AE}" pid="7" name="TemplafyFromBlank">
    <vt:bool>true</vt:bool>
  </property>
  <property fmtid="{D5CDD505-2E9C-101B-9397-08002B2CF9AE}" pid="8" name="PermitDocumentType">
    <vt:lpwstr/>
  </property>
  <property fmtid="{D5CDD505-2E9C-101B-9397-08002B2CF9AE}" pid="9" name="TypeofPermit">
    <vt:lpwstr>32;#Bespoke|743fbb82-64b4-442a-8bac-afa632175399</vt:lpwstr>
  </property>
  <property fmtid="{D5CDD505-2E9C-101B-9397-08002B2CF9AE}" pid="10" name="DisclosureStatus">
    <vt:lpwstr>41;#Public Register|f1fcf6a6-5d97-4f1d-964e-a2f916eb1f18</vt:lpwstr>
  </property>
  <property fmtid="{D5CDD505-2E9C-101B-9397-08002B2CF9AE}" pid="11" name="EventType1">
    <vt:lpwstr/>
  </property>
  <property fmtid="{D5CDD505-2E9C-101B-9397-08002B2CF9AE}" pid="12" name="ActivityGrouping">
    <vt:lpwstr>14;#Application ＆ Associated Docs|5eadfd3c-6deb-44e1-b7e1-16accd427bec</vt:lpwstr>
  </property>
  <property fmtid="{D5CDD505-2E9C-101B-9397-08002B2CF9AE}" pid="13" name="RegulatedActivityClass">
    <vt:lpwstr>49;#Installations|645f1c9c-65df-490a-9ce3-4a2aa7c5ff7f</vt:lpwstr>
  </property>
  <property fmtid="{D5CDD505-2E9C-101B-9397-08002B2CF9AE}" pid="14" name="Catchment">
    <vt:lpwstr/>
  </property>
  <property fmtid="{D5CDD505-2E9C-101B-9397-08002B2CF9AE}" pid="15" name="MajorProjectID">
    <vt:lpwstr/>
  </property>
  <property fmtid="{D5CDD505-2E9C-101B-9397-08002B2CF9AE}" pid="16" name="StandardRulesID">
    <vt:lpwstr/>
  </property>
  <property fmtid="{D5CDD505-2E9C-101B-9397-08002B2CF9AE}" pid="17" name="CessationStatus">
    <vt:lpwstr/>
  </property>
  <property fmtid="{D5CDD505-2E9C-101B-9397-08002B2CF9AE}" pid="18" name="Regime">
    <vt:lpwstr>11;#EPR|0e5af97d-1a8c-4d8f-a20b-528a11cab1f6</vt:lpwstr>
  </property>
  <property fmtid="{D5CDD505-2E9C-101B-9397-08002B2CF9AE}" pid="19" name="RegulatedActivitySub-Class">
    <vt:lpwstr/>
  </property>
</Properties>
</file>