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M\GM13945 - Ergo Oldham\04 - Reports\0001 Air Quality\3. Results\"/>
    </mc:Choice>
  </mc:AlternateContent>
  <xr:revisionPtr revIDLastSave="0" documentId="13_ncr:1_{C80701AB-3B62-4610-A126-1534558942F8}" xr6:coauthVersionLast="47" xr6:coauthVersionMax="47" xr10:uidLastSave="{00000000-0000-0000-0000-000000000000}"/>
  <bookViews>
    <workbookView xWindow="22932" yWindow="672" windowWidth="23256" windowHeight="13896" tabRatio="835" xr2:uid="{DF009FD7-EFF5-4BE2-9F2B-DBD096FB05EB}"/>
  </bookViews>
  <sheets>
    <sheet name="Critical Loads " sheetId="2" r:id="rId1"/>
    <sheet name="1 - Rochdale Canal SSSI SAC" sheetId="5" r:id="rId2"/>
    <sheet name="Summary of Results" sheetId="11" r:id="rId3"/>
    <sheet name="PEC calcs" sheetId="17" r:id="rId4"/>
    <sheet name="Supporting Info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4" i="11" l="1"/>
  <c r="AA15" i="11"/>
  <c r="AA16" i="11"/>
  <c r="AA17" i="11"/>
  <c r="AA18" i="11"/>
  <c r="AA12" i="11"/>
  <c r="AA13" i="11"/>
  <c r="I12" i="11"/>
  <c r="I13" i="11"/>
  <c r="D12" i="11"/>
  <c r="D13" i="11"/>
  <c r="K14" i="17" l="1"/>
  <c r="L14" i="17" s="1"/>
  <c r="K13" i="17"/>
  <c r="L13" i="17" s="1"/>
  <c r="K12" i="17"/>
  <c r="L12" i="17" s="1"/>
  <c r="K7" i="17"/>
  <c r="L7" i="17" s="1"/>
  <c r="K6" i="17"/>
  <c r="L6" i="17" s="1"/>
  <c r="K5" i="17"/>
  <c r="L5" i="17" s="1"/>
  <c r="D12" i="17"/>
  <c r="E12" i="17" s="1"/>
  <c r="D7" i="17"/>
  <c r="E7" i="17" s="1"/>
  <c r="D6" i="17"/>
  <c r="E6" i="17" s="1"/>
  <c r="D5" i="17"/>
  <c r="E5" i="17" s="1"/>
  <c r="D14" i="11" l="1"/>
  <c r="I14" i="11"/>
  <c r="D15" i="11"/>
  <c r="I15" i="11"/>
  <c r="D16" i="11"/>
  <c r="I16" i="11"/>
  <c r="D17" i="11"/>
  <c r="I17" i="11"/>
  <c r="D18" i="11"/>
  <c r="I18" i="11"/>
  <c r="M84" i="5" l="1"/>
  <c r="J113" i="5" l="1"/>
  <c r="G14" i="11" s="1"/>
  <c r="K113" i="5"/>
  <c r="Q14" i="11" s="1"/>
  <c r="L113" i="5"/>
  <c r="M113" i="5"/>
  <c r="L14" i="11" s="1"/>
  <c r="P113" i="5"/>
  <c r="Q113" i="5"/>
  <c r="V113" i="5" s="1"/>
  <c r="R113" i="5"/>
  <c r="J114" i="5"/>
  <c r="G15" i="11" s="1"/>
  <c r="K114" i="5"/>
  <c r="Q15" i="11" s="1"/>
  <c r="L114" i="5"/>
  <c r="M114" i="5"/>
  <c r="L15" i="11" s="1"/>
  <c r="P114" i="5"/>
  <c r="Q114" i="5"/>
  <c r="V114" i="5" s="1"/>
  <c r="R114" i="5"/>
  <c r="J115" i="5"/>
  <c r="G16" i="11" s="1"/>
  <c r="K115" i="5"/>
  <c r="Q16" i="11" s="1"/>
  <c r="L115" i="5"/>
  <c r="M115" i="5"/>
  <c r="L16" i="11" s="1"/>
  <c r="P115" i="5"/>
  <c r="Q115" i="5"/>
  <c r="V115" i="5" s="1"/>
  <c r="R115" i="5"/>
  <c r="J116" i="5"/>
  <c r="G17" i="11" s="1"/>
  <c r="K116" i="5"/>
  <c r="Q17" i="11" s="1"/>
  <c r="L116" i="5"/>
  <c r="M116" i="5"/>
  <c r="L17" i="11" s="1"/>
  <c r="P116" i="5"/>
  <c r="Q116" i="5"/>
  <c r="V116" i="5" s="1"/>
  <c r="R116" i="5"/>
  <c r="J117" i="5"/>
  <c r="G18" i="11" s="1"/>
  <c r="K117" i="5"/>
  <c r="Q18" i="11" s="1"/>
  <c r="L117" i="5"/>
  <c r="M117" i="5"/>
  <c r="L18" i="11" s="1"/>
  <c r="P117" i="5"/>
  <c r="Q117" i="5"/>
  <c r="V117" i="5" s="1"/>
  <c r="R117" i="5"/>
  <c r="J89" i="5"/>
  <c r="F14" i="11" s="1"/>
  <c r="K89" i="5"/>
  <c r="P14" i="11" s="1"/>
  <c r="L89" i="5"/>
  <c r="M89" i="5"/>
  <c r="K14" i="11" s="1"/>
  <c r="P89" i="5"/>
  <c r="Q89" i="5"/>
  <c r="V89" i="5" s="1"/>
  <c r="R89" i="5"/>
  <c r="J90" i="5"/>
  <c r="F15" i="11" s="1"/>
  <c r="K90" i="5"/>
  <c r="P15" i="11" s="1"/>
  <c r="L90" i="5"/>
  <c r="M90" i="5"/>
  <c r="K15" i="11" s="1"/>
  <c r="P90" i="5"/>
  <c r="Q90" i="5"/>
  <c r="V90" i="5" s="1"/>
  <c r="R90" i="5"/>
  <c r="J91" i="5"/>
  <c r="F16" i="11" s="1"/>
  <c r="K91" i="5"/>
  <c r="P16" i="11" s="1"/>
  <c r="L91" i="5"/>
  <c r="M91" i="5"/>
  <c r="K16" i="11" s="1"/>
  <c r="P91" i="5"/>
  <c r="Q91" i="5"/>
  <c r="V91" i="5" s="1"/>
  <c r="R91" i="5"/>
  <c r="J92" i="5"/>
  <c r="F17" i="11" s="1"/>
  <c r="K92" i="5"/>
  <c r="P17" i="11" s="1"/>
  <c r="L92" i="5"/>
  <c r="M92" i="5"/>
  <c r="K17" i="11" s="1"/>
  <c r="P92" i="5"/>
  <c r="Q92" i="5"/>
  <c r="V92" i="5" s="1"/>
  <c r="R92" i="5"/>
  <c r="J93" i="5"/>
  <c r="F18" i="11" s="1"/>
  <c r="K93" i="5"/>
  <c r="P18" i="11" s="1"/>
  <c r="L93" i="5"/>
  <c r="M93" i="5"/>
  <c r="K18" i="11" s="1"/>
  <c r="P93" i="5"/>
  <c r="Q93" i="5"/>
  <c r="V93" i="5" s="1"/>
  <c r="R93" i="5"/>
  <c r="J64" i="5"/>
  <c r="E14" i="11" s="1"/>
  <c r="K64" i="5"/>
  <c r="O14" i="11" s="1"/>
  <c r="L64" i="5"/>
  <c r="M64" i="5"/>
  <c r="J14" i="11" s="1"/>
  <c r="P64" i="5"/>
  <c r="Q64" i="5"/>
  <c r="V64" i="5" s="1"/>
  <c r="R64" i="5"/>
  <c r="J65" i="5"/>
  <c r="E15" i="11" s="1"/>
  <c r="K65" i="5"/>
  <c r="O15" i="11" s="1"/>
  <c r="L65" i="5"/>
  <c r="M65" i="5"/>
  <c r="J15" i="11" s="1"/>
  <c r="P65" i="5"/>
  <c r="Q65" i="5"/>
  <c r="V65" i="5" s="1"/>
  <c r="R65" i="5"/>
  <c r="J66" i="5"/>
  <c r="E16" i="11" s="1"/>
  <c r="K66" i="5"/>
  <c r="O16" i="11" s="1"/>
  <c r="L66" i="5"/>
  <c r="M66" i="5"/>
  <c r="J16" i="11" s="1"/>
  <c r="P66" i="5"/>
  <c r="Q66" i="5"/>
  <c r="V66" i="5" s="1"/>
  <c r="R66" i="5"/>
  <c r="J67" i="5"/>
  <c r="E17" i="11" s="1"/>
  <c r="K67" i="5"/>
  <c r="O17" i="11" s="1"/>
  <c r="L67" i="5"/>
  <c r="M67" i="5"/>
  <c r="J17" i="11" s="1"/>
  <c r="P67" i="5"/>
  <c r="Q67" i="5"/>
  <c r="V67" i="5" s="1"/>
  <c r="R67" i="5"/>
  <c r="J68" i="5"/>
  <c r="E18" i="11" s="1"/>
  <c r="K68" i="5"/>
  <c r="O18" i="11" s="1"/>
  <c r="L68" i="5"/>
  <c r="M68" i="5"/>
  <c r="J18" i="11" s="1"/>
  <c r="P68" i="5"/>
  <c r="Q68" i="5"/>
  <c r="V68" i="5" s="1"/>
  <c r="R68" i="5"/>
  <c r="P38" i="5"/>
  <c r="Q38" i="5"/>
  <c r="V38" i="5" s="1"/>
  <c r="R38" i="5"/>
  <c r="P39" i="5"/>
  <c r="Q39" i="5"/>
  <c r="V39" i="5" s="1"/>
  <c r="R39" i="5"/>
  <c r="P40" i="5"/>
  <c r="Q40" i="5"/>
  <c r="V40" i="5" s="1"/>
  <c r="R40" i="5"/>
  <c r="P41" i="5"/>
  <c r="Q41" i="5"/>
  <c r="V41" i="5" s="1"/>
  <c r="R41" i="5"/>
  <c r="P42" i="5"/>
  <c r="Q42" i="5"/>
  <c r="V42" i="5" s="1"/>
  <c r="R42" i="5"/>
  <c r="P43" i="5"/>
  <c r="Q43" i="5"/>
  <c r="V43" i="5" s="1"/>
  <c r="R43" i="5"/>
  <c r="P44" i="5"/>
  <c r="Q44" i="5"/>
  <c r="V44" i="5" s="1"/>
  <c r="R44" i="5"/>
  <c r="J38" i="5"/>
  <c r="K38" i="5"/>
  <c r="N12" i="11" s="1"/>
  <c r="L38" i="5"/>
  <c r="M38" i="5"/>
  <c r="J39" i="5"/>
  <c r="K39" i="5"/>
  <c r="N13" i="11" s="1"/>
  <c r="L39" i="5"/>
  <c r="M39" i="5"/>
  <c r="J40" i="5"/>
  <c r="K40" i="5"/>
  <c r="N14" i="11" s="1"/>
  <c r="L40" i="5"/>
  <c r="M40" i="5"/>
  <c r="J41" i="5"/>
  <c r="K41" i="5"/>
  <c r="N15" i="11" s="1"/>
  <c r="L41" i="5"/>
  <c r="M41" i="5"/>
  <c r="J42" i="5"/>
  <c r="K42" i="5"/>
  <c r="N16" i="11" s="1"/>
  <c r="L42" i="5"/>
  <c r="M42" i="5"/>
  <c r="J43" i="5"/>
  <c r="K43" i="5"/>
  <c r="N17" i="11" s="1"/>
  <c r="L43" i="5"/>
  <c r="M43" i="5"/>
  <c r="J44" i="5"/>
  <c r="K44" i="5"/>
  <c r="N18" i="11" s="1"/>
  <c r="L44" i="5"/>
  <c r="M44" i="5"/>
  <c r="J17" i="5"/>
  <c r="C14" i="11" s="1"/>
  <c r="K17" i="5"/>
  <c r="M14" i="11" s="1"/>
  <c r="L17" i="5"/>
  <c r="M17" i="5"/>
  <c r="H14" i="11" s="1"/>
  <c r="P17" i="5"/>
  <c r="Q17" i="5"/>
  <c r="V17" i="5" s="1"/>
  <c r="R17" i="5"/>
  <c r="J18" i="5"/>
  <c r="C15" i="11" s="1"/>
  <c r="K18" i="5"/>
  <c r="M15" i="11" s="1"/>
  <c r="L18" i="5"/>
  <c r="M18" i="5"/>
  <c r="H15" i="11" s="1"/>
  <c r="P18" i="5"/>
  <c r="Q18" i="5"/>
  <c r="V18" i="5" s="1"/>
  <c r="R18" i="5"/>
  <c r="J19" i="5"/>
  <c r="C16" i="11" s="1"/>
  <c r="K19" i="5"/>
  <c r="M16" i="11" s="1"/>
  <c r="L19" i="5"/>
  <c r="M19" i="5"/>
  <c r="H16" i="11" s="1"/>
  <c r="P19" i="5"/>
  <c r="Q19" i="5"/>
  <c r="V19" i="5" s="1"/>
  <c r="R19" i="5"/>
  <c r="J20" i="5"/>
  <c r="C17" i="11" s="1"/>
  <c r="K20" i="5"/>
  <c r="M17" i="11" s="1"/>
  <c r="L20" i="5"/>
  <c r="M20" i="5"/>
  <c r="H17" i="11" s="1"/>
  <c r="P20" i="5"/>
  <c r="Q20" i="5"/>
  <c r="V20" i="5" s="1"/>
  <c r="R20" i="5"/>
  <c r="J21" i="5"/>
  <c r="C18" i="11" s="1"/>
  <c r="K21" i="5"/>
  <c r="M18" i="11" s="1"/>
  <c r="L21" i="5"/>
  <c r="M21" i="5"/>
  <c r="H18" i="11" s="1"/>
  <c r="P21" i="5"/>
  <c r="Q21" i="5"/>
  <c r="V21" i="5" s="1"/>
  <c r="R21" i="5"/>
  <c r="U117" i="5" l="1"/>
  <c r="Z117" i="5" s="1"/>
  <c r="U116" i="5"/>
  <c r="Z116" i="5" s="1"/>
  <c r="T113" i="5"/>
  <c r="Y113" i="5" s="1"/>
  <c r="Y14" i="11" s="1"/>
  <c r="T115" i="5"/>
  <c r="Y115" i="5" s="1"/>
  <c r="Y16" i="11" s="1"/>
  <c r="T89" i="5"/>
  <c r="Y89" i="5" s="1"/>
  <c r="X14" i="11" s="1"/>
  <c r="T117" i="5"/>
  <c r="Y117" i="5" s="1"/>
  <c r="Y18" i="11" s="1"/>
  <c r="T116" i="5"/>
  <c r="Y116" i="5" s="1"/>
  <c r="Y17" i="11" s="1"/>
  <c r="U115" i="5"/>
  <c r="Z115" i="5" s="1"/>
  <c r="T114" i="5"/>
  <c r="Y114" i="5" s="1"/>
  <c r="Y15" i="11" s="1"/>
  <c r="U113" i="5"/>
  <c r="Z113" i="5" s="1"/>
  <c r="U114" i="5"/>
  <c r="Z114" i="5" s="1"/>
  <c r="U91" i="5"/>
  <c r="Z91" i="5" s="1"/>
  <c r="T92" i="5"/>
  <c r="Y92" i="5" s="1"/>
  <c r="X17" i="11" s="1"/>
  <c r="U89" i="5"/>
  <c r="Z89" i="5" s="1"/>
  <c r="T91" i="5"/>
  <c r="Y91" i="5" s="1"/>
  <c r="X16" i="11" s="1"/>
  <c r="U92" i="5"/>
  <c r="Z92" i="5" s="1"/>
  <c r="T93" i="5"/>
  <c r="Y93" i="5" s="1"/>
  <c r="X18" i="11" s="1"/>
  <c r="T90" i="5"/>
  <c r="Y90" i="5" s="1"/>
  <c r="X15" i="11" s="1"/>
  <c r="U90" i="5"/>
  <c r="Z90" i="5" s="1"/>
  <c r="U93" i="5"/>
  <c r="Z93" i="5" s="1"/>
  <c r="T64" i="5"/>
  <c r="Y64" i="5" s="1"/>
  <c r="W14" i="11" s="1"/>
  <c r="T42" i="5"/>
  <c r="Y42" i="5" s="1"/>
  <c r="V16" i="11" s="1"/>
  <c r="T68" i="5"/>
  <c r="Y68" i="5" s="1"/>
  <c r="W18" i="11" s="1"/>
  <c r="T67" i="5"/>
  <c r="Y67" i="5" s="1"/>
  <c r="W17" i="11" s="1"/>
  <c r="U38" i="5"/>
  <c r="Z38" i="5" s="1"/>
  <c r="U66" i="5"/>
  <c r="Z66" i="5" s="1"/>
  <c r="T65" i="5"/>
  <c r="Y65" i="5" s="1"/>
  <c r="W15" i="11" s="1"/>
  <c r="U64" i="5"/>
  <c r="Z64" i="5" s="1"/>
  <c r="U42" i="5"/>
  <c r="Z42" i="5" s="1"/>
  <c r="U67" i="5"/>
  <c r="Z67" i="5" s="1"/>
  <c r="T66" i="5"/>
  <c r="Y66" i="5" s="1"/>
  <c r="W16" i="11" s="1"/>
  <c r="U65" i="5"/>
  <c r="Z65" i="5" s="1"/>
  <c r="U68" i="5"/>
  <c r="Z68" i="5" s="1"/>
  <c r="T44" i="5"/>
  <c r="Y44" i="5" s="1"/>
  <c r="V18" i="11" s="1"/>
  <c r="U20" i="5"/>
  <c r="Z20" i="5" s="1"/>
  <c r="U41" i="5"/>
  <c r="Z41" i="5" s="1"/>
  <c r="U44" i="5"/>
  <c r="Z44" i="5" s="1"/>
  <c r="U40" i="5"/>
  <c r="Z40" i="5" s="1"/>
  <c r="T41" i="5"/>
  <c r="Y41" i="5" s="1"/>
  <c r="V15" i="11" s="1"/>
  <c r="T39" i="5"/>
  <c r="Y39" i="5" s="1"/>
  <c r="V13" i="11" s="1"/>
  <c r="T38" i="5"/>
  <c r="Y38" i="5" s="1"/>
  <c r="V12" i="11" s="1"/>
  <c r="T43" i="5"/>
  <c r="Y43" i="5" s="1"/>
  <c r="V17" i="11" s="1"/>
  <c r="T40" i="5"/>
  <c r="Y40" i="5" s="1"/>
  <c r="V14" i="11" s="1"/>
  <c r="U39" i="5"/>
  <c r="Z39" i="5" s="1"/>
  <c r="U43" i="5"/>
  <c r="Z43" i="5" s="1"/>
  <c r="U17" i="5"/>
  <c r="Z17" i="5" s="1"/>
  <c r="T18" i="5"/>
  <c r="Y18" i="5" s="1"/>
  <c r="U15" i="11" s="1"/>
  <c r="U19" i="5"/>
  <c r="Z19" i="5" s="1"/>
  <c r="T21" i="5"/>
  <c r="Y21" i="5" s="1"/>
  <c r="U18" i="11" s="1"/>
  <c r="T20" i="5"/>
  <c r="Y20" i="5" s="1"/>
  <c r="U17" i="11" s="1"/>
  <c r="T19" i="5"/>
  <c r="Y19" i="5" s="1"/>
  <c r="U16" i="11" s="1"/>
  <c r="T17" i="5"/>
  <c r="Y17" i="5" s="1"/>
  <c r="U14" i="11" s="1"/>
  <c r="U18" i="5"/>
  <c r="Z18" i="5" s="1"/>
  <c r="U21" i="5"/>
  <c r="Z21" i="5" s="1"/>
  <c r="M12" i="5" l="1"/>
  <c r="H9" i="11" s="1"/>
  <c r="M35" i="5"/>
  <c r="I9" i="11" s="1"/>
  <c r="M112" i="5"/>
  <c r="L13" i="11" s="1"/>
  <c r="L112" i="5"/>
  <c r="K112" i="5"/>
  <c r="Q13" i="11" s="1"/>
  <c r="J112" i="5"/>
  <c r="G13" i="11" s="1"/>
  <c r="M111" i="5"/>
  <c r="L12" i="11" s="1"/>
  <c r="L111" i="5"/>
  <c r="K111" i="5"/>
  <c r="Q12" i="11" s="1"/>
  <c r="J111" i="5"/>
  <c r="G12" i="11" s="1"/>
  <c r="M110" i="5"/>
  <c r="L11" i="11" s="1"/>
  <c r="L110" i="5"/>
  <c r="K110" i="5"/>
  <c r="Q11" i="11" s="1"/>
  <c r="J110" i="5"/>
  <c r="G11" i="11" s="1"/>
  <c r="M109" i="5"/>
  <c r="L10" i="11" s="1"/>
  <c r="L109" i="5"/>
  <c r="K109" i="5"/>
  <c r="Q10" i="11" s="1"/>
  <c r="J109" i="5"/>
  <c r="G10" i="11" s="1"/>
  <c r="M108" i="5"/>
  <c r="L9" i="11" s="1"/>
  <c r="L108" i="5"/>
  <c r="K108" i="5"/>
  <c r="Q9" i="11" s="1"/>
  <c r="J108" i="5"/>
  <c r="G9" i="11" s="1"/>
  <c r="M88" i="5"/>
  <c r="K13" i="11" s="1"/>
  <c r="L88" i="5"/>
  <c r="K88" i="5"/>
  <c r="P13" i="11" s="1"/>
  <c r="J88" i="5"/>
  <c r="F13" i="11" s="1"/>
  <c r="M87" i="5"/>
  <c r="K12" i="11" s="1"/>
  <c r="L87" i="5"/>
  <c r="K87" i="5"/>
  <c r="P12" i="11" s="1"/>
  <c r="J87" i="5"/>
  <c r="F12" i="11" s="1"/>
  <c r="M86" i="5"/>
  <c r="K11" i="11" s="1"/>
  <c r="L86" i="5"/>
  <c r="K86" i="5"/>
  <c r="P11" i="11" s="1"/>
  <c r="J86" i="5"/>
  <c r="F11" i="11" s="1"/>
  <c r="M85" i="5"/>
  <c r="K10" i="11" s="1"/>
  <c r="L85" i="5"/>
  <c r="K85" i="5"/>
  <c r="P10" i="11" s="1"/>
  <c r="J85" i="5"/>
  <c r="F10" i="11" s="1"/>
  <c r="K9" i="11"/>
  <c r="L84" i="5"/>
  <c r="K84" i="5"/>
  <c r="P9" i="11" s="1"/>
  <c r="J84" i="5"/>
  <c r="F9" i="11" s="1"/>
  <c r="J59" i="5"/>
  <c r="E9" i="11" s="1"/>
  <c r="M63" i="5"/>
  <c r="J13" i="11" s="1"/>
  <c r="L63" i="5"/>
  <c r="K63" i="5"/>
  <c r="O13" i="11" s="1"/>
  <c r="J63" i="5"/>
  <c r="E13" i="11" s="1"/>
  <c r="M62" i="5"/>
  <c r="J12" i="11" s="1"/>
  <c r="L62" i="5"/>
  <c r="K62" i="5"/>
  <c r="O12" i="11" s="1"/>
  <c r="J62" i="5"/>
  <c r="E12" i="11" s="1"/>
  <c r="M61" i="5"/>
  <c r="J11" i="11" s="1"/>
  <c r="L61" i="5"/>
  <c r="K61" i="5"/>
  <c r="O11" i="11" s="1"/>
  <c r="J61" i="5"/>
  <c r="E11" i="11" s="1"/>
  <c r="M60" i="5"/>
  <c r="J10" i="11" s="1"/>
  <c r="L60" i="5"/>
  <c r="K60" i="5"/>
  <c r="O10" i="11" s="1"/>
  <c r="J60" i="5"/>
  <c r="E10" i="11" s="1"/>
  <c r="M59" i="5"/>
  <c r="J9" i="11" s="1"/>
  <c r="L59" i="5"/>
  <c r="K59" i="5"/>
  <c r="O9" i="11" s="1"/>
  <c r="M37" i="5"/>
  <c r="I11" i="11" s="1"/>
  <c r="L37" i="5"/>
  <c r="K37" i="5"/>
  <c r="N11" i="11" s="1"/>
  <c r="J37" i="5"/>
  <c r="D11" i="11" s="1"/>
  <c r="M36" i="5"/>
  <c r="I10" i="11" s="1"/>
  <c r="L36" i="5"/>
  <c r="K36" i="5"/>
  <c r="N10" i="11" s="1"/>
  <c r="J36" i="5"/>
  <c r="D10" i="11" s="1"/>
  <c r="L35" i="5"/>
  <c r="K35" i="5"/>
  <c r="N9" i="11" s="1"/>
  <c r="J35" i="5"/>
  <c r="D9" i="11" s="1"/>
  <c r="K13" i="5"/>
  <c r="M10" i="11" s="1"/>
  <c r="L13" i="5"/>
  <c r="M13" i="5"/>
  <c r="H10" i="11" s="1"/>
  <c r="K14" i="5"/>
  <c r="M11" i="11" s="1"/>
  <c r="L14" i="5"/>
  <c r="M14" i="5"/>
  <c r="H11" i="11" s="1"/>
  <c r="K15" i="5"/>
  <c r="M12" i="11" s="1"/>
  <c r="L15" i="5"/>
  <c r="M15" i="5"/>
  <c r="H12" i="11" s="1"/>
  <c r="K16" i="5"/>
  <c r="M13" i="11" s="1"/>
  <c r="L16" i="5"/>
  <c r="M16" i="5"/>
  <c r="H13" i="11" s="1"/>
  <c r="L12" i="5"/>
  <c r="K12" i="5"/>
  <c r="M9" i="11" s="1"/>
  <c r="J14" i="5"/>
  <c r="C11" i="11" s="1"/>
  <c r="J16" i="5"/>
  <c r="C13" i="11" s="1"/>
  <c r="J15" i="5"/>
  <c r="C12" i="11" s="1"/>
  <c r="J13" i="5"/>
  <c r="C10" i="11" s="1"/>
  <c r="J12" i="5"/>
  <c r="C9" i="11" l="1"/>
  <c r="J119" i="5"/>
  <c r="R112" i="5"/>
  <c r="Q112" i="5"/>
  <c r="V112" i="5" s="1"/>
  <c r="P112" i="5"/>
  <c r="R111" i="5"/>
  <c r="Q111" i="5"/>
  <c r="V111" i="5" s="1"/>
  <c r="P111" i="5"/>
  <c r="R110" i="5"/>
  <c r="Q110" i="5"/>
  <c r="V110" i="5" s="1"/>
  <c r="P110" i="5"/>
  <c r="R109" i="5"/>
  <c r="Q109" i="5"/>
  <c r="V109" i="5" s="1"/>
  <c r="P109" i="5"/>
  <c r="R108" i="5"/>
  <c r="Q108" i="5"/>
  <c r="V108" i="5" s="1"/>
  <c r="P108" i="5"/>
  <c r="R88" i="5"/>
  <c r="Q88" i="5"/>
  <c r="V88" i="5" s="1"/>
  <c r="P88" i="5"/>
  <c r="R87" i="5"/>
  <c r="Q87" i="5"/>
  <c r="V87" i="5" s="1"/>
  <c r="P87" i="5"/>
  <c r="R86" i="5"/>
  <c r="Q86" i="5"/>
  <c r="V86" i="5" s="1"/>
  <c r="P86" i="5"/>
  <c r="R85" i="5"/>
  <c r="Q85" i="5"/>
  <c r="V85" i="5" s="1"/>
  <c r="P85" i="5"/>
  <c r="R84" i="5"/>
  <c r="Q84" i="5"/>
  <c r="V84" i="5" s="1"/>
  <c r="P84" i="5"/>
  <c r="R63" i="5"/>
  <c r="Q63" i="5"/>
  <c r="V63" i="5" s="1"/>
  <c r="P63" i="5"/>
  <c r="R62" i="5"/>
  <c r="Q62" i="5"/>
  <c r="V62" i="5" s="1"/>
  <c r="P62" i="5"/>
  <c r="R61" i="5"/>
  <c r="Q61" i="5"/>
  <c r="V61" i="5" s="1"/>
  <c r="P61" i="5"/>
  <c r="R60" i="5"/>
  <c r="Q60" i="5"/>
  <c r="V60" i="5" s="1"/>
  <c r="P60" i="5"/>
  <c r="R59" i="5"/>
  <c r="Q59" i="5"/>
  <c r="V59" i="5" s="1"/>
  <c r="P59" i="5"/>
  <c r="S119" i="5"/>
  <c r="G119" i="5"/>
  <c r="D119" i="5"/>
  <c r="R37" i="5"/>
  <c r="Q37" i="5"/>
  <c r="V37" i="5" s="1"/>
  <c r="P37" i="5"/>
  <c r="R36" i="5"/>
  <c r="Q36" i="5"/>
  <c r="V36" i="5" s="1"/>
  <c r="P36" i="5"/>
  <c r="R35" i="5"/>
  <c r="Q35" i="5"/>
  <c r="V35" i="5" s="1"/>
  <c r="P35" i="5"/>
  <c r="R16" i="5"/>
  <c r="Q16" i="5"/>
  <c r="V16" i="5" s="1"/>
  <c r="P16" i="5"/>
  <c r="R15" i="5"/>
  <c r="Q15" i="5"/>
  <c r="V15" i="5" s="1"/>
  <c r="P15" i="5"/>
  <c r="R14" i="5"/>
  <c r="Q14" i="5"/>
  <c r="V14" i="5" s="1"/>
  <c r="P14" i="5"/>
  <c r="R13" i="5"/>
  <c r="Q13" i="5"/>
  <c r="V13" i="5" s="1"/>
  <c r="P13" i="5"/>
  <c r="R12" i="5"/>
  <c r="Q12" i="5"/>
  <c r="V12" i="5" s="1"/>
  <c r="P12" i="5"/>
  <c r="U62" i="5" l="1"/>
  <c r="Z62" i="5" s="1"/>
  <c r="U84" i="5"/>
  <c r="Z84" i="5" s="1"/>
  <c r="U111" i="5"/>
  <c r="Z111" i="5" s="1"/>
  <c r="U87" i="5"/>
  <c r="Z87" i="5" s="1"/>
  <c r="T63" i="5"/>
  <c r="Y63" i="5" s="1"/>
  <c r="W13" i="11" s="1"/>
  <c r="T60" i="5"/>
  <c r="Y60" i="5" s="1"/>
  <c r="W10" i="11" s="1"/>
  <c r="U110" i="5"/>
  <c r="Z110" i="5" s="1"/>
  <c r="T85" i="5"/>
  <c r="Y85" i="5" s="1"/>
  <c r="X10" i="11" s="1"/>
  <c r="U12" i="5"/>
  <c r="T61" i="5"/>
  <c r="Y61" i="5" s="1"/>
  <c r="W11" i="11" s="1"/>
  <c r="T86" i="5"/>
  <c r="T62" i="5"/>
  <c r="Y62" i="5" s="1"/>
  <c r="W12" i="11" s="1"/>
  <c r="T12" i="5"/>
  <c r="Y12" i="5" s="1"/>
  <c r="U9" i="11" s="1"/>
  <c r="T109" i="5"/>
  <c r="Y109" i="5" s="1"/>
  <c r="Y10" i="11" s="1"/>
  <c r="U108" i="5"/>
  <c r="Z108" i="5" s="1"/>
  <c r="U112" i="5"/>
  <c r="Z112" i="5" s="1"/>
  <c r="U88" i="5"/>
  <c r="Z88" i="5" s="1"/>
  <c r="U86" i="5"/>
  <c r="Z86" i="5" s="1"/>
  <c r="U60" i="5"/>
  <c r="Z60" i="5" s="1"/>
  <c r="U61" i="5"/>
  <c r="Z61" i="5" s="1"/>
  <c r="T59" i="5"/>
  <c r="Y59" i="5" s="1"/>
  <c r="W9" i="11" s="1"/>
  <c r="T111" i="5"/>
  <c r="Y111" i="5" s="1"/>
  <c r="Y12" i="11" s="1"/>
  <c r="T110" i="5"/>
  <c r="Y110" i="5" s="1"/>
  <c r="Y11" i="11" s="1"/>
  <c r="T108" i="5"/>
  <c r="Y108" i="5" s="1"/>
  <c r="Y9" i="11" s="1"/>
  <c r="T112" i="5"/>
  <c r="Y112" i="5" s="1"/>
  <c r="Y13" i="11" s="1"/>
  <c r="U109" i="5"/>
  <c r="Z109" i="5" s="1"/>
  <c r="U85" i="5"/>
  <c r="Z85" i="5" s="1"/>
  <c r="T87" i="5"/>
  <c r="Y87" i="5" s="1"/>
  <c r="X12" i="11" s="1"/>
  <c r="T84" i="5"/>
  <c r="Y84" i="5" s="1"/>
  <c r="X9" i="11" s="1"/>
  <c r="T88" i="5"/>
  <c r="U59" i="5"/>
  <c r="Z59" i="5" s="1"/>
  <c r="U63" i="5"/>
  <c r="Z63" i="5" s="1"/>
  <c r="U16" i="5"/>
  <c r="Z16" i="5" s="1"/>
  <c r="T36" i="5"/>
  <c r="Y36" i="5" s="1"/>
  <c r="V10" i="11" s="1"/>
  <c r="U36" i="5"/>
  <c r="Z36" i="5" s="1"/>
  <c r="T37" i="5"/>
  <c r="Y37" i="5" s="1"/>
  <c r="V11" i="11" s="1"/>
  <c r="U13" i="5"/>
  <c r="Z13" i="5" s="1"/>
  <c r="T35" i="5"/>
  <c r="Y35" i="5" s="1"/>
  <c r="V9" i="11" s="1"/>
  <c r="T15" i="5"/>
  <c r="Y15" i="5" s="1"/>
  <c r="U12" i="11" s="1"/>
  <c r="M119" i="5"/>
  <c r="U14" i="5"/>
  <c r="Z14" i="5" s="1"/>
  <c r="T16" i="5"/>
  <c r="Y16" i="5" s="1"/>
  <c r="U13" i="11" s="1"/>
  <c r="P119" i="5"/>
  <c r="T13" i="5"/>
  <c r="Y13" i="5" s="1"/>
  <c r="U10" i="11" s="1"/>
  <c r="T14" i="5"/>
  <c r="Y14" i="5" s="1"/>
  <c r="U11" i="11" s="1"/>
  <c r="U15" i="5"/>
  <c r="Z15" i="5" s="1"/>
  <c r="U35" i="5"/>
  <c r="Z35" i="5" s="1"/>
  <c r="U37" i="5"/>
  <c r="Z37" i="5" s="1"/>
  <c r="Y88" i="5" l="1"/>
  <c r="X13" i="11" s="1"/>
  <c r="Y86" i="5"/>
  <c r="U119" i="5"/>
  <c r="Z12" i="5"/>
  <c r="T119" i="5"/>
  <c r="F5" i="2"/>
  <c r="AA87" i="5" s="1"/>
  <c r="Y119" i="5" l="1"/>
  <c r="AA36" i="5"/>
  <c r="AA10" i="11" s="1"/>
  <c r="AA37" i="5"/>
  <c r="AA11" i="11" s="1"/>
  <c r="AA42" i="5"/>
  <c r="AA20" i="5"/>
  <c r="Z17" i="11" s="1"/>
  <c r="AA44" i="5"/>
  <c r="AA93" i="5"/>
  <c r="AC18" i="11" s="1"/>
  <c r="AA91" i="5"/>
  <c r="AC16" i="11" s="1"/>
  <c r="AA40" i="5"/>
  <c r="AA90" i="5"/>
  <c r="AC15" i="11" s="1"/>
  <c r="AA19" i="5"/>
  <c r="Z16" i="11" s="1"/>
  <c r="AA41" i="5"/>
  <c r="AA89" i="5"/>
  <c r="AC14" i="11" s="1"/>
  <c r="AA64" i="5"/>
  <c r="AB14" i="11" s="1"/>
  <c r="AA43" i="5"/>
  <c r="AA21" i="5"/>
  <c r="Z18" i="11" s="1"/>
  <c r="AA65" i="5"/>
  <c r="AB15" i="11" s="1"/>
  <c r="AA39" i="5"/>
  <c r="AA67" i="5"/>
  <c r="AB17" i="11" s="1"/>
  <c r="AA38" i="5"/>
  <c r="AA92" i="5"/>
  <c r="AC17" i="11" s="1"/>
  <c r="AA17" i="5"/>
  <c r="Z14" i="11" s="1"/>
  <c r="AA68" i="5"/>
  <c r="AB18" i="11" s="1"/>
  <c r="AA18" i="5"/>
  <c r="Z15" i="11" s="1"/>
  <c r="AA66" i="5"/>
  <c r="AB16" i="11" s="1"/>
  <c r="AA108" i="5"/>
  <c r="AD9" i="11" s="1"/>
  <c r="AA12" i="5"/>
  <c r="Z9" i="11" s="1"/>
  <c r="AA13" i="5"/>
  <c r="Z10" i="11" s="1"/>
  <c r="AA85" i="5"/>
  <c r="AC10" i="11" s="1"/>
  <c r="AA61" i="5"/>
  <c r="AB11" i="11" s="1"/>
  <c r="AA63" i="5"/>
  <c r="AB13" i="11" s="1"/>
  <c r="AA62" i="5"/>
  <c r="AB12" i="11" s="1"/>
  <c r="AA88" i="5"/>
  <c r="AC13" i="11" s="1"/>
  <c r="AA16" i="5"/>
  <c r="Z13" i="11" s="1"/>
  <c r="AA86" i="5"/>
  <c r="AC11" i="11" s="1"/>
  <c r="AA15" i="5"/>
  <c r="Z12" i="11" s="1"/>
  <c r="AA60" i="5"/>
  <c r="AB10" i="11" s="1"/>
  <c r="AA35" i="5"/>
  <c r="AA9" i="11" s="1"/>
  <c r="AA14" i="5"/>
  <c r="Z11" i="11" s="1"/>
  <c r="AA84" i="5"/>
  <c r="AC9" i="11" s="1"/>
  <c r="AA59" i="5"/>
  <c r="AB9" i="11" s="1"/>
  <c r="AA116" i="5"/>
  <c r="AD17" i="11" s="1"/>
  <c r="AA113" i="5"/>
  <c r="AD14" i="11" s="1"/>
  <c r="AA117" i="5"/>
  <c r="AD18" i="11" s="1"/>
  <c r="AA115" i="5"/>
  <c r="AD16" i="11" s="1"/>
  <c r="AA114" i="5"/>
  <c r="AD15" i="11" s="1"/>
  <c r="X11" i="11"/>
  <c r="AA109" i="5"/>
  <c r="AD10" i="11" s="1"/>
  <c r="AA112" i="5"/>
  <c r="AD13" i="11" s="1"/>
  <c r="AA110" i="5"/>
  <c r="AD11" i="11" s="1"/>
  <c r="AC12" i="11"/>
  <c r="AA111" i="5"/>
  <c r="AD12" i="11" s="1"/>
  <c r="Z119" i="5"/>
  <c r="AA119" i="5" l="1"/>
  <c r="G5" i="2"/>
  <c r="E5" i="2"/>
</calcChain>
</file>

<file path=xl/sharedStrings.xml><?xml version="1.0" encoding="utf-8"?>
<sst xmlns="http://schemas.openxmlformats.org/spreadsheetml/2006/main" count="513" uniqueCount="92">
  <si>
    <t>Critical Level Assessment</t>
  </si>
  <si>
    <t>Nitrogen Deposition</t>
  </si>
  <si>
    <t>Acid Deposition</t>
  </si>
  <si>
    <t>Habitat Site</t>
  </si>
  <si>
    <t>Modelled Points</t>
  </si>
  <si>
    <t>Habitats</t>
  </si>
  <si>
    <t>Acidity (N) - Lower CL (MinCLminN)</t>
  </si>
  <si>
    <t>Acidity (N) - Higher CL (MinCLMaxN)</t>
  </si>
  <si>
    <t>MinCLMaxS</t>
  </si>
  <si>
    <t>Critical Load (kg N/ha/yr)</t>
  </si>
  <si>
    <t xml:space="preserve">Values considered for the assessment </t>
  </si>
  <si>
    <t>NOx</t>
  </si>
  <si>
    <t>SO2</t>
  </si>
  <si>
    <t>NH3</t>
  </si>
  <si>
    <t xml:space="preserve">Woodland </t>
  </si>
  <si>
    <t xml:space="preserve">Grassland </t>
  </si>
  <si>
    <t xml:space="preserve">Deposition Rate </t>
  </si>
  <si>
    <t>Woodland</t>
  </si>
  <si>
    <t>Grassland</t>
  </si>
  <si>
    <t xml:space="preserve">Annual </t>
  </si>
  <si>
    <t>24 Hour Mean</t>
  </si>
  <si>
    <t xml:space="preserve">Critical Level </t>
  </si>
  <si>
    <t>Nitrogen</t>
  </si>
  <si>
    <t xml:space="preserve">N-acid </t>
  </si>
  <si>
    <t xml:space="preserve">S-acid </t>
  </si>
  <si>
    <t>NOx(Annual)</t>
  </si>
  <si>
    <t>(24 hour)</t>
  </si>
  <si>
    <t>Critical Load</t>
  </si>
  <si>
    <t>Receptor</t>
  </si>
  <si>
    <t>NO2</t>
  </si>
  <si>
    <t>HCl</t>
  </si>
  <si>
    <t>HNO3</t>
  </si>
  <si>
    <t xml:space="preserve">Sulphate aerosol </t>
  </si>
  <si>
    <t xml:space="preserve">Source - </t>
  </si>
  <si>
    <t>Deposition Velocity . m/s</t>
  </si>
  <si>
    <t xml:space="preserve">Substance </t>
  </si>
  <si>
    <t xml:space="preserve">Table 8.1 AQTAG06 ( March 2014) Technical guidance on detailed modelling approach for an appropriate assessment for emissions to air </t>
  </si>
  <si>
    <t>kg N/ha/yr</t>
  </si>
  <si>
    <t>kg eq/ha/yr</t>
  </si>
  <si>
    <t xml:space="preserve">kg/ha/yr </t>
  </si>
  <si>
    <t>OUTPUT FROM MODEL</t>
  </si>
  <si>
    <t>Nutrient N deposition rate as %Cload</t>
  </si>
  <si>
    <t>PC of S+N Deposition</t>
  </si>
  <si>
    <t>PC/CLmaxN</t>
  </si>
  <si>
    <t xml:space="preserve">Critical Load Assessment </t>
  </si>
  <si>
    <t xml:space="preserve">Receptor </t>
  </si>
  <si>
    <t xml:space="preserve">Critical Levels </t>
  </si>
  <si>
    <t xml:space="preserve">24 Hours </t>
  </si>
  <si>
    <t>Sulphur Dioxide (SO2)</t>
  </si>
  <si>
    <t>Annual</t>
  </si>
  <si>
    <t xml:space="preserve">Weekly </t>
  </si>
  <si>
    <t>µg/m3</t>
  </si>
  <si>
    <t xml:space="preserve">(For lichens and Bryophytes) </t>
  </si>
  <si>
    <t>Nitrogen Oxides (NOx)</t>
  </si>
  <si>
    <t>Ammonia (NH3)</t>
  </si>
  <si>
    <t>Hydrogen Fluoride (HF)</t>
  </si>
  <si>
    <t>ECO 1</t>
  </si>
  <si>
    <t>ECO 2</t>
  </si>
  <si>
    <t>ECO 3</t>
  </si>
  <si>
    <t>ECO 4</t>
  </si>
  <si>
    <t>ECO 5</t>
  </si>
  <si>
    <t>NOx (24 hour)</t>
  </si>
  <si>
    <t>NOx (Annual)</t>
  </si>
  <si>
    <t>ECO 6</t>
  </si>
  <si>
    <t>ECO 7</t>
  </si>
  <si>
    <t>ECO 8</t>
  </si>
  <si>
    <t>ECO 9</t>
  </si>
  <si>
    <t>ECO 10</t>
  </si>
  <si>
    <t>Summary of Results</t>
  </si>
  <si>
    <t>Nox Annual Mean as % of Critical Level</t>
  </si>
  <si>
    <t>Nox 24 Hour Mean as % of Critical Level</t>
  </si>
  <si>
    <t>Critical Load Assessment</t>
  </si>
  <si>
    <t>NN Deposition Rate as % of Critical Load</t>
  </si>
  <si>
    <t>PC as % of CLMaxN</t>
  </si>
  <si>
    <t>SO2 Annual Mean as % of Critical Level</t>
  </si>
  <si>
    <t>PEC</t>
  </si>
  <si>
    <t>PEC as % of Critical Level</t>
  </si>
  <si>
    <t>Annual PC</t>
  </si>
  <si>
    <t>Background NOx</t>
  </si>
  <si>
    <t>Critical Levels</t>
  </si>
  <si>
    <t>PEC as % of Critical Load</t>
  </si>
  <si>
    <t xml:space="preserve">Acid Depositon </t>
  </si>
  <si>
    <t>Nutrient Nitrogen Deposition</t>
  </si>
  <si>
    <t>Critical Loads</t>
  </si>
  <si>
    <t xml:space="preserve">Critical Loads </t>
  </si>
  <si>
    <t>Background N Deposition</t>
  </si>
  <si>
    <t>Background Acid Deposition</t>
  </si>
  <si>
    <t>Rochdale Canal SSSI/SAC</t>
  </si>
  <si>
    <t>ECO 1 to 10</t>
  </si>
  <si>
    <t>Luronium natans - Floating Water-Plantain</t>
  </si>
  <si>
    <t>Rochdale Canal</t>
  </si>
  <si>
    <t>5-10 kg N/ha/yr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</si>
</sst>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6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24" xfId="0" applyFont="1" applyBorder="1" applyAlignment="1">
      <alignment horizontal="center" vertical="center" wrapText="1"/>
    </xf>
    <xf numFmtId="2" fontId="5" fillId="0" borderId="24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4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2" fontId="5" fillId="5" borderId="9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26" xfId="0" applyNumberFormat="1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0" fontId="5" fillId="8" borderId="9" xfId="0" applyNumberFormat="1" applyFont="1" applyFill="1" applyBorder="1" applyAlignment="1">
      <alignment horizontal="center" vertical="center"/>
    </xf>
    <xf numFmtId="10" fontId="5" fillId="8" borderId="1" xfId="0" applyNumberFormat="1" applyFont="1" applyFill="1" applyBorder="1" applyAlignment="1">
      <alignment horizontal="center" vertical="center"/>
    </xf>
    <xf numFmtId="10" fontId="5" fillId="8" borderId="26" xfId="0" applyNumberFormat="1" applyFont="1" applyFill="1" applyBorder="1" applyAlignment="1">
      <alignment horizontal="center" vertical="center"/>
    </xf>
    <xf numFmtId="10" fontId="5" fillId="5" borderId="9" xfId="0" applyNumberFormat="1" applyFont="1" applyFill="1" applyBorder="1" applyAlignment="1">
      <alignment horizontal="center" vertical="center"/>
    </xf>
    <xf numFmtId="10" fontId="5" fillId="8" borderId="10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10" fontId="5" fillId="8" borderId="24" xfId="0" applyNumberFormat="1" applyFont="1" applyFill="1" applyBorder="1" applyAlignment="1">
      <alignment horizontal="center" vertical="center"/>
    </xf>
    <xf numFmtId="10" fontId="5" fillId="5" borderId="26" xfId="0" applyNumberFormat="1" applyFont="1" applyFill="1" applyBorder="1" applyAlignment="1">
      <alignment horizontal="center" vertical="center"/>
    </xf>
    <xf numFmtId="10" fontId="5" fillId="8" borderId="2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0" fontId="13" fillId="8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10" fontId="13" fillId="8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10" fontId="13" fillId="8" borderId="26" xfId="0" applyNumberFormat="1" applyFont="1" applyFill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164" fontId="5" fillId="0" borderId="31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5" fillId="0" borderId="2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7" fillId="2" borderId="0" xfId="0" applyFont="1" applyFill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0" fontId="5" fillId="9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10" fontId="5" fillId="8" borderId="5" xfId="0" applyNumberFormat="1" applyFont="1" applyFill="1" applyBorder="1" applyAlignment="1">
      <alignment horizontal="center" vertical="center"/>
    </xf>
    <xf numFmtId="10" fontId="5" fillId="5" borderId="5" xfId="0" applyNumberFormat="1" applyFont="1" applyFill="1" applyBorder="1" applyAlignment="1">
      <alignment horizontal="center" vertical="center"/>
    </xf>
    <xf numFmtId="10" fontId="5" fillId="8" borderId="19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10" fontId="13" fillId="8" borderId="5" xfId="0" applyNumberFormat="1" applyFont="1" applyFill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0" fontId="5" fillId="0" borderId="9" xfId="0" applyNumberFormat="1" applyFont="1" applyBorder="1" applyAlignment="1">
      <alignment horizontal="center" vertical="center"/>
    </xf>
    <xf numFmtId="10" fontId="5" fillId="0" borderId="26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4" fillId="11" borderId="1" xfId="0" applyFont="1" applyFill="1" applyBorder="1" applyAlignment="1">
      <alignment horizontal="center" vertical="center"/>
    </xf>
    <xf numFmtId="10" fontId="5" fillId="11" borderId="1" xfId="0" applyNumberFormat="1" applyFont="1" applyFill="1" applyBorder="1" applyAlignment="1">
      <alignment horizontal="center" vertical="center"/>
    </xf>
    <xf numFmtId="0" fontId="3" fillId="0" borderId="0" xfId="0" applyFont="1"/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10" borderId="1" xfId="0" applyNumberFormat="1" applyFill="1" applyBorder="1"/>
    <xf numFmtId="0" fontId="19" fillId="0" borderId="0" xfId="0" applyFont="1" applyAlignment="1">
      <alignment wrapText="1"/>
    </xf>
    <xf numFmtId="0" fontId="20" fillId="0" borderId="0" xfId="0" applyFont="1"/>
    <xf numFmtId="2" fontId="0" fillId="10" borderId="1" xfId="0" applyNumberFormat="1" applyFill="1" applyBorder="1" applyAlignment="1">
      <alignment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0" borderId="42" xfId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 xr:uid="{80DD2253-C933-4F0C-A34C-3E5F474E9AFC}"/>
  </cellStyles>
  <dxfs count="4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32AA-0FC6-4D07-BD36-6DCDCC1BA100}">
  <dimension ref="A1:I19"/>
  <sheetViews>
    <sheetView tabSelected="1" zoomScale="110" zoomScaleNormal="110" workbookViewId="0">
      <selection activeCell="I8" sqref="I8"/>
    </sheetView>
  </sheetViews>
  <sheetFormatPr defaultColWidth="9.140625" defaultRowHeight="15" x14ac:dyDescent="0.25"/>
  <cols>
    <col min="1" max="1" width="20.85546875" style="20" customWidth="1"/>
    <col min="2" max="2" width="18.28515625" style="21" customWidth="1"/>
    <col min="3" max="3" width="33.28515625" style="21" customWidth="1"/>
    <col min="4" max="4" width="22.140625" style="21" customWidth="1"/>
    <col min="5" max="5" width="12" style="21" customWidth="1"/>
    <col min="6" max="6" width="13" style="21" customWidth="1"/>
    <col min="7" max="7" width="12" style="21" customWidth="1"/>
    <col min="8" max="8" width="9.140625" style="1"/>
    <col min="9" max="9" width="38.7109375" style="1" bestFit="1" customWidth="1"/>
    <col min="10" max="16384" width="9.140625" style="1"/>
  </cols>
  <sheetData>
    <row r="1" spans="1:9" ht="15.75" thickBot="1" x14ac:dyDescent="0.3">
      <c r="C1" s="22"/>
      <c r="D1" s="22"/>
      <c r="E1" s="22"/>
      <c r="F1" s="22"/>
    </row>
    <row r="2" spans="1:9" ht="15.75" thickBot="1" x14ac:dyDescent="0.3">
      <c r="A2" s="160"/>
      <c r="B2" s="161"/>
      <c r="C2" s="161"/>
      <c r="D2" s="23" t="s">
        <v>1</v>
      </c>
      <c r="E2" s="162" t="s">
        <v>2</v>
      </c>
      <c r="F2" s="163"/>
      <c r="G2" s="164"/>
    </row>
    <row r="3" spans="1:9" ht="72.75" customHeight="1" x14ac:dyDescent="0.25">
      <c r="A3" s="24" t="s">
        <v>3</v>
      </c>
      <c r="B3" s="25" t="s">
        <v>4</v>
      </c>
      <c r="C3" s="26" t="s">
        <v>5</v>
      </c>
      <c r="D3" s="24" t="s">
        <v>9</v>
      </c>
      <c r="E3" s="27" t="s">
        <v>6</v>
      </c>
      <c r="F3" s="28" t="s">
        <v>7</v>
      </c>
      <c r="G3" s="29" t="s">
        <v>8</v>
      </c>
    </row>
    <row r="4" spans="1:9" ht="30.75" customHeight="1" thickBot="1" x14ac:dyDescent="0.3">
      <c r="A4" s="157" t="s">
        <v>87</v>
      </c>
      <c r="B4" s="158" t="s">
        <v>88</v>
      </c>
      <c r="C4" s="33" t="s">
        <v>89</v>
      </c>
      <c r="D4" s="18" t="s">
        <v>91</v>
      </c>
      <c r="E4" s="34"/>
      <c r="F4" s="19">
        <v>1.46</v>
      </c>
      <c r="G4" s="110"/>
    </row>
    <row r="5" spans="1:9" ht="30.75" thickBot="1" x14ac:dyDescent="0.3">
      <c r="A5" s="155"/>
      <c r="B5" s="159"/>
      <c r="C5" s="35" t="s">
        <v>10</v>
      </c>
      <c r="D5" s="36">
        <v>5</v>
      </c>
      <c r="E5" s="37">
        <f>MIN(E4:E4)</f>
        <v>0</v>
      </c>
      <c r="F5" s="38">
        <f>MIN(F4:F4)</f>
        <v>1.46</v>
      </c>
      <c r="G5" s="39">
        <f>MIN(G4:G4)</f>
        <v>0</v>
      </c>
    </row>
    <row r="6" spans="1:9" ht="30.75" customHeight="1" thickBot="1" x14ac:dyDescent="0.3">
      <c r="A6" s="154"/>
      <c r="B6" s="165"/>
      <c r="C6" s="33"/>
      <c r="D6" s="40"/>
      <c r="E6" s="41"/>
      <c r="F6" s="42"/>
      <c r="G6" s="111"/>
    </row>
    <row r="7" spans="1:9" ht="15.75" thickBot="1" x14ac:dyDescent="0.3">
      <c r="A7" s="155"/>
      <c r="B7" s="159"/>
      <c r="C7" s="43"/>
      <c r="D7" s="44"/>
      <c r="E7" s="45"/>
      <c r="F7" s="46"/>
      <c r="G7" s="47"/>
    </row>
    <row r="8" spans="1:9" x14ac:dyDescent="0.25">
      <c r="A8" s="154"/>
      <c r="B8" s="156"/>
      <c r="C8" s="54"/>
      <c r="D8" s="52"/>
      <c r="E8" s="51"/>
      <c r="F8" s="30"/>
      <c r="G8" s="31"/>
    </row>
    <row r="9" spans="1:9" ht="15.75" thickBot="1" x14ac:dyDescent="0.3">
      <c r="A9" s="155"/>
      <c r="B9" s="155"/>
      <c r="C9" s="32"/>
      <c r="D9" s="53"/>
      <c r="E9" s="48"/>
      <c r="F9" s="49"/>
      <c r="G9" s="50"/>
    </row>
    <row r="10" spans="1:9" ht="15.75" thickBot="1" x14ac:dyDescent="0.3">
      <c r="A10" s="154"/>
      <c r="B10" s="156"/>
      <c r="C10" s="112"/>
      <c r="D10" s="18"/>
      <c r="E10" s="51"/>
      <c r="F10" s="30"/>
      <c r="G10" s="31"/>
      <c r="I10" s="114"/>
    </row>
    <row r="11" spans="1:9" ht="15.75" thickBot="1" x14ac:dyDescent="0.3">
      <c r="A11" s="155"/>
      <c r="B11" s="155"/>
      <c r="C11" s="35"/>
      <c r="D11" s="55"/>
      <c r="E11" s="37"/>
      <c r="F11" s="38"/>
      <c r="G11" s="39"/>
    </row>
    <row r="12" spans="1:9" ht="15.75" thickBot="1" x14ac:dyDescent="0.3">
      <c r="A12" s="154"/>
      <c r="B12" s="156"/>
      <c r="C12" s="112"/>
      <c r="D12" s="52"/>
      <c r="E12" s="51"/>
      <c r="F12" s="30"/>
      <c r="G12" s="31"/>
    </row>
    <row r="13" spans="1:9" ht="15.75" thickBot="1" x14ac:dyDescent="0.3">
      <c r="A13" s="155"/>
      <c r="B13" s="155"/>
      <c r="C13" s="35"/>
      <c r="D13" s="55"/>
      <c r="E13" s="37"/>
      <c r="F13" s="38"/>
      <c r="G13" s="39"/>
    </row>
    <row r="14" spans="1:9" ht="15.75" thickBot="1" x14ac:dyDescent="0.3">
      <c r="A14" s="154"/>
      <c r="B14" s="156"/>
      <c r="C14" s="112"/>
      <c r="D14" s="113"/>
      <c r="E14" s="113"/>
      <c r="F14" s="113"/>
      <c r="G14" s="113"/>
    </row>
    <row r="15" spans="1:9" ht="15.75" thickBot="1" x14ac:dyDescent="0.3">
      <c r="A15" s="155"/>
      <c r="B15" s="155"/>
      <c r="C15" s="35"/>
      <c r="D15" s="55"/>
      <c r="E15" s="37"/>
      <c r="F15" s="38"/>
      <c r="G15" s="39"/>
    </row>
    <row r="16" spans="1:9" ht="36" customHeight="1" thickBot="1" x14ac:dyDescent="0.3">
      <c r="A16" s="154"/>
      <c r="B16" s="156"/>
      <c r="C16" s="112"/>
      <c r="D16" s="18"/>
      <c r="E16" s="51"/>
      <c r="F16" s="30"/>
      <c r="G16" s="31"/>
    </row>
    <row r="17" spans="1:7" ht="15.75" thickBot="1" x14ac:dyDescent="0.3">
      <c r="A17" s="155"/>
      <c r="B17" s="155"/>
      <c r="C17" s="35"/>
      <c r="D17" s="55"/>
      <c r="E17" s="37"/>
      <c r="F17" s="38"/>
      <c r="G17" s="39"/>
    </row>
    <row r="18" spans="1:7" ht="15.75" thickBot="1" x14ac:dyDescent="0.3">
      <c r="A18" s="154"/>
      <c r="B18" s="156"/>
      <c r="C18" s="112"/>
      <c r="D18" s="18"/>
      <c r="E18" s="51"/>
      <c r="F18" s="30"/>
      <c r="G18" s="31"/>
    </row>
    <row r="19" spans="1:7" ht="15.75" thickBot="1" x14ac:dyDescent="0.3">
      <c r="A19" s="155"/>
      <c r="B19" s="155"/>
      <c r="C19" s="35"/>
      <c r="D19" s="55"/>
      <c r="E19" s="37"/>
      <c r="F19" s="38"/>
      <c r="G19" s="39"/>
    </row>
  </sheetData>
  <mergeCells count="18">
    <mergeCell ref="A18:A19"/>
    <mergeCell ref="B18:B19"/>
    <mergeCell ref="A12:A13"/>
    <mergeCell ref="B12:B13"/>
    <mergeCell ref="A14:A15"/>
    <mergeCell ref="B14:B15"/>
    <mergeCell ref="A16:A17"/>
    <mergeCell ref="B16:B17"/>
    <mergeCell ref="A2:C2"/>
    <mergeCell ref="E2:G2"/>
    <mergeCell ref="B6:B7"/>
    <mergeCell ref="A8:A9"/>
    <mergeCell ref="B8:B9"/>
    <mergeCell ref="A10:A11"/>
    <mergeCell ref="B10:B11"/>
    <mergeCell ref="A4:A5"/>
    <mergeCell ref="B4:B5"/>
    <mergeCell ref="A6:A7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4E50-181F-4677-AE3B-2A510EAAA877}">
  <dimension ref="B2:AA120"/>
  <sheetViews>
    <sheetView zoomScaleNormal="100" workbookViewId="0">
      <selection activeCell="B88" sqref="A88:XFD88"/>
    </sheetView>
  </sheetViews>
  <sheetFormatPr defaultRowHeight="15" x14ac:dyDescent="0.25"/>
  <cols>
    <col min="1" max="1" width="4" customWidth="1"/>
    <col min="2" max="2" width="8.85546875" style="69"/>
    <col min="3" max="3" width="11.7109375" style="69" customWidth="1"/>
    <col min="4" max="6" width="12.28515625" style="69" customWidth="1"/>
    <col min="7" max="7" width="13.5703125" style="69" customWidth="1"/>
    <col min="8" max="8" width="4.7109375" style="69" customWidth="1"/>
    <col min="9" max="9" width="11" style="69" customWidth="1"/>
    <col min="10" max="13" width="12.28515625" style="69" customWidth="1"/>
    <col min="14" max="14" width="4.28515625" style="69" customWidth="1"/>
    <col min="15" max="15" width="10.85546875" style="69" customWidth="1"/>
    <col min="16" max="16" width="12.28515625" style="69" customWidth="1"/>
    <col min="17" max="17" width="9.7109375" style="69" customWidth="1"/>
    <col min="18" max="18" width="8.85546875" style="69"/>
    <col min="19" max="19" width="4.85546875" style="69" hidden="1" customWidth="1"/>
    <col min="20" max="22" width="10.85546875" style="69" customWidth="1"/>
    <col min="23" max="25" width="8.85546875" style="69"/>
    <col min="26" max="26" width="8.5703125" style="69" bestFit="1" customWidth="1"/>
    <col min="27" max="27" width="12.42578125" style="69" customWidth="1"/>
  </cols>
  <sheetData>
    <row r="2" spans="2:27" ht="18.75" x14ac:dyDescent="0.25">
      <c r="B2" s="199">
        <v>2020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</row>
    <row r="5" spans="2:27" x14ac:dyDescent="0.25">
      <c r="J5" s="198" t="s">
        <v>21</v>
      </c>
      <c r="K5" s="198"/>
      <c r="L5" s="198"/>
      <c r="M5" s="198"/>
      <c r="P5" s="198" t="s">
        <v>27</v>
      </c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</row>
    <row r="6" spans="2:27" x14ac:dyDescent="0.25">
      <c r="B6" s="70" t="s">
        <v>0</v>
      </c>
      <c r="C6" s="70"/>
      <c r="J6" s="198"/>
      <c r="K6" s="198"/>
      <c r="L6" s="198"/>
      <c r="M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</row>
    <row r="7" spans="2:27" ht="15.75" thickBot="1" x14ac:dyDescent="0.3">
      <c r="B7" s="70"/>
      <c r="C7" s="70"/>
      <c r="J7" s="198"/>
      <c r="K7" s="198"/>
      <c r="L7" s="198"/>
      <c r="M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</row>
    <row r="8" spans="2:27" ht="15.75" thickBot="1" x14ac:dyDescent="0.3">
      <c r="B8" s="185" t="s">
        <v>40</v>
      </c>
      <c r="C8" s="186"/>
      <c r="D8" s="186"/>
      <c r="E8" s="186"/>
      <c r="F8" s="186"/>
      <c r="G8" s="187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</row>
    <row r="9" spans="2:27" ht="15.75" thickBot="1" x14ac:dyDescent="0.3">
      <c r="B9" s="188"/>
      <c r="C9" s="191"/>
      <c r="D9" s="194" t="s">
        <v>19</v>
      </c>
      <c r="E9" s="194"/>
      <c r="F9" s="194"/>
      <c r="G9" s="106" t="s">
        <v>20</v>
      </c>
      <c r="H9" s="105"/>
      <c r="I9" s="105"/>
      <c r="J9" s="195" t="s">
        <v>21</v>
      </c>
      <c r="K9" s="196"/>
      <c r="L9" s="196"/>
      <c r="M9" s="197"/>
      <c r="N9" s="105"/>
      <c r="O9" s="105"/>
      <c r="P9" s="166" t="s">
        <v>16</v>
      </c>
      <c r="Q9" s="167"/>
      <c r="R9" s="167"/>
      <c r="S9" s="167"/>
      <c r="T9" s="167"/>
      <c r="U9" s="167"/>
      <c r="V9" s="168"/>
      <c r="W9" s="105"/>
      <c r="X9" s="169" t="s">
        <v>44</v>
      </c>
      <c r="Y9" s="170"/>
      <c r="Z9" s="170"/>
      <c r="AA9" s="171"/>
    </row>
    <row r="10" spans="2:27" ht="60" customHeight="1" x14ac:dyDescent="0.25">
      <c r="B10" s="189"/>
      <c r="C10" s="192"/>
      <c r="D10" s="4" t="s">
        <v>11</v>
      </c>
      <c r="E10" s="57" t="s">
        <v>12</v>
      </c>
      <c r="F10" s="57" t="s">
        <v>13</v>
      </c>
      <c r="G10" s="8" t="s">
        <v>11</v>
      </c>
      <c r="H10" s="75"/>
      <c r="I10" s="172" t="s">
        <v>45</v>
      </c>
      <c r="J10" s="11" t="s">
        <v>62</v>
      </c>
      <c r="K10" s="11" t="s">
        <v>12</v>
      </c>
      <c r="L10" s="61" t="s">
        <v>13</v>
      </c>
      <c r="M10" s="12" t="s">
        <v>61</v>
      </c>
      <c r="N10" s="75"/>
      <c r="O10" s="174" t="s">
        <v>45</v>
      </c>
      <c r="P10" s="11" t="s">
        <v>11</v>
      </c>
      <c r="Q10" s="11" t="s">
        <v>12</v>
      </c>
      <c r="R10" s="61" t="s">
        <v>13</v>
      </c>
      <c r="S10" s="96"/>
      <c r="T10" s="11" t="s">
        <v>22</v>
      </c>
      <c r="U10" s="11" t="s">
        <v>23</v>
      </c>
      <c r="V10" s="12" t="s">
        <v>24</v>
      </c>
      <c r="W10" s="105"/>
      <c r="X10" s="176" t="s">
        <v>28</v>
      </c>
      <c r="Y10" s="178" t="s">
        <v>41</v>
      </c>
      <c r="Z10" s="183" t="s">
        <v>42</v>
      </c>
      <c r="AA10" s="180" t="s">
        <v>43</v>
      </c>
    </row>
    <row r="11" spans="2:27" ht="15.75" thickBot="1" x14ac:dyDescent="0.3">
      <c r="B11" s="200"/>
      <c r="C11" s="201"/>
      <c r="D11" s="77">
        <v>30</v>
      </c>
      <c r="E11" s="67">
        <v>10</v>
      </c>
      <c r="F11" s="67">
        <v>1</v>
      </c>
      <c r="G11" s="68">
        <v>75</v>
      </c>
      <c r="H11" s="75"/>
      <c r="I11" s="204"/>
      <c r="J11" s="77">
        <v>30</v>
      </c>
      <c r="K11" s="77">
        <v>10</v>
      </c>
      <c r="L11" s="67">
        <v>1</v>
      </c>
      <c r="M11" s="68">
        <v>75</v>
      </c>
      <c r="N11" s="75"/>
      <c r="O11" s="175"/>
      <c r="P11" s="182" t="s">
        <v>39</v>
      </c>
      <c r="Q11" s="182"/>
      <c r="R11" s="182"/>
      <c r="S11" s="101"/>
      <c r="T11" s="73" t="s">
        <v>37</v>
      </c>
      <c r="U11" s="73" t="s">
        <v>38</v>
      </c>
      <c r="V11" s="74" t="s">
        <v>38</v>
      </c>
      <c r="W11" s="105"/>
      <c r="X11" s="205"/>
      <c r="Y11" s="179"/>
      <c r="Z11" s="203"/>
      <c r="AA11" s="181"/>
    </row>
    <row r="12" spans="2:27" x14ac:dyDescent="0.25">
      <c r="B12" s="90" t="s">
        <v>56</v>
      </c>
      <c r="C12" s="98" t="s">
        <v>18</v>
      </c>
      <c r="D12" s="66">
        <v>0.14337</v>
      </c>
      <c r="E12" s="60"/>
      <c r="F12" s="60"/>
      <c r="G12" s="9">
        <v>1.80748</v>
      </c>
      <c r="H12" s="6"/>
      <c r="I12" s="87" t="s">
        <v>56</v>
      </c>
      <c r="J12" s="78">
        <f>D12/$J$11</f>
        <v>4.7790000000000003E-3</v>
      </c>
      <c r="K12" s="140">
        <f>E12/$K$11</f>
        <v>0</v>
      </c>
      <c r="L12" s="81">
        <f>F12/$L$11</f>
        <v>0</v>
      </c>
      <c r="M12" s="82">
        <f>G12/$M$11</f>
        <v>2.4099733333333331E-2</v>
      </c>
      <c r="N12" s="6"/>
      <c r="O12" s="87" t="s">
        <v>56</v>
      </c>
      <c r="P12" s="56">
        <f>D12*IF(C12="Woodland",'Supporting Info'!$F$6,'Supporting Info'!$G$6)*(3600*24*365*10000/1000000000)</f>
        <v>6.7819744799999998E-2</v>
      </c>
      <c r="Q12" s="56">
        <f>E12*IF(C12="Woodland",'Supporting Info'!$F$7,'Supporting Info'!$G$7)*(3600*24*365*10000/1000000000)</f>
        <v>0</v>
      </c>
      <c r="R12" s="62">
        <f>F12*IF(C12="Woodland",'Supporting Info'!$F$8,'Supporting Info'!$G$8)*(3600*24*365*10000/1000000000)</f>
        <v>0</v>
      </c>
      <c r="S12" s="96"/>
      <c r="T12" s="56">
        <f>P12*(14/46)+R12*(14/17)</f>
        <v>2.0640791895652176E-2</v>
      </c>
      <c r="U12" s="56">
        <f>P12/46+R12/17</f>
        <v>1.4743422782608694E-3</v>
      </c>
      <c r="V12" s="97">
        <f>2*Q12/64</f>
        <v>0</v>
      </c>
      <c r="W12" s="105"/>
      <c r="X12" s="87" t="s">
        <v>56</v>
      </c>
      <c r="Y12" s="88">
        <f>T12/'Critical Loads '!$D$5</f>
        <v>4.1281583791304352E-3</v>
      </c>
      <c r="Z12" s="89">
        <f>U12+V12</f>
        <v>1.4743422782608694E-3</v>
      </c>
      <c r="AA12" s="91">
        <f>Z12/'Critical Loads '!$F$5</f>
        <v>1.0098234782608695E-3</v>
      </c>
    </row>
    <row r="13" spans="2:27" x14ac:dyDescent="0.25">
      <c r="B13" s="90" t="s">
        <v>57</v>
      </c>
      <c r="C13" s="98" t="s">
        <v>18</v>
      </c>
      <c r="D13" s="66">
        <v>0.13294</v>
      </c>
      <c r="E13" s="60"/>
      <c r="F13" s="60"/>
      <c r="G13" s="9">
        <v>2.3471500000000001</v>
      </c>
      <c r="H13" s="6"/>
      <c r="I13" s="90" t="s">
        <v>57</v>
      </c>
      <c r="J13" s="79">
        <f>D13/$J$11</f>
        <v>4.4313333333333331E-3</v>
      </c>
      <c r="K13" s="119">
        <f t="shared" ref="K13:K16" si="0">E13/$K$11</f>
        <v>0</v>
      </c>
      <c r="L13" s="83">
        <f t="shared" ref="L13:L16" si="1">F13/$L$11</f>
        <v>0</v>
      </c>
      <c r="M13" s="84">
        <f t="shared" ref="M13:M16" si="2">G13/$M$11</f>
        <v>3.1295333333333335E-2</v>
      </c>
      <c r="N13" s="6"/>
      <c r="O13" s="90" t="s">
        <v>57</v>
      </c>
      <c r="P13" s="5">
        <f>D13*IF(C13="Woodland",'Supporting Info'!$F$6,'Supporting Info'!$G$6)*(3600*24*365*10000/1000000000)</f>
        <v>6.2885937600000011E-2</v>
      </c>
      <c r="Q13" s="5">
        <f>E13*IF(C13="Woodland",'Supporting Info'!$F$7,'Supporting Info'!$G$7)*(3600*24*365*10000/1000000000)</f>
        <v>0</v>
      </c>
      <c r="R13" s="63">
        <f>F13*IF(C13="Woodland",'Supporting Info'!$F$8,'Supporting Info'!$G$8)*(3600*24*365*10000/1000000000)</f>
        <v>0</v>
      </c>
      <c r="S13" s="98"/>
      <c r="T13" s="99">
        <f t="shared" ref="T13:T16" si="3">P13*(14/46)+R13*(14/17)</f>
        <v>1.9139198400000005E-2</v>
      </c>
      <c r="U13" s="99">
        <f t="shared" ref="U13:U16" si="4">P13/46+R13/17</f>
        <v>1.3670856000000003E-3</v>
      </c>
      <c r="V13" s="100">
        <f t="shared" ref="V13:V16" si="5">2*Q13/64</f>
        <v>0</v>
      </c>
      <c r="W13" s="105"/>
      <c r="X13" s="90" t="s">
        <v>57</v>
      </c>
      <c r="Y13" s="91">
        <f>T13/'Critical Loads '!$D$5</f>
        <v>3.8278396800000012E-3</v>
      </c>
      <c r="Z13" s="92">
        <f t="shared" ref="Z13:Z16" si="6">U13+V13</f>
        <v>1.3670856000000003E-3</v>
      </c>
      <c r="AA13" s="91">
        <f>Z13/'Critical Loads '!$F$5</f>
        <v>9.3636000000000023E-4</v>
      </c>
    </row>
    <row r="14" spans="2:27" x14ac:dyDescent="0.25">
      <c r="B14" s="90" t="s">
        <v>58</v>
      </c>
      <c r="C14" s="98" t="s">
        <v>18</v>
      </c>
      <c r="D14" s="66">
        <v>0.12407</v>
      </c>
      <c r="E14" s="60"/>
      <c r="F14" s="60"/>
      <c r="G14" s="9">
        <v>1.99973</v>
      </c>
      <c r="H14" s="6"/>
      <c r="I14" s="90" t="s">
        <v>58</v>
      </c>
      <c r="J14" s="79">
        <f>D14/$J$11</f>
        <v>4.1356666666666668E-3</v>
      </c>
      <c r="K14" s="119">
        <f t="shared" si="0"/>
        <v>0</v>
      </c>
      <c r="L14" s="83">
        <f t="shared" si="1"/>
        <v>0</v>
      </c>
      <c r="M14" s="84">
        <f t="shared" si="2"/>
        <v>2.6663066666666665E-2</v>
      </c>
      <c r="N14" s="6"/>
      <c r="O14" s="90" t="s">
        <v>58</v>
      </c>
      <c r="P14" s="5">
        <f>D14*IF(C14="Woodland",'Supporting Info'!$F$6,'Supporting Info'!$G$6)*(3600*24*365*10000/1000000000)</f>
        <v>5.86900728E-2</v>
      </c>
      <c r="Q14" s="5">
        <f>E14*IF(C14="Woodland",'Supporting Info'!$F$7,'Supporting Info'!$G$7)*(3600*24*365*10000/1000000000)</f>
        <v>0</v>
      </c>
      <c r="R14" s="63">
        <f>F14*IF(C14="Woodland",'Supporting Info'!$F$8,'Supporting Info'!$G$8)*(3600*24*365*10000/1000000000)</f>
        <v>0</v>
      </c>
      <c r="S14" s="98"/>
      <c r="T14" s="99">
        <f t="shared" si="3"/>
        <v>1.7862196069565218E-2</v>
      </c>
      <c r="U14" s="99">
        <f t="shared" si="4"/>
        <v>1.2758711478260869E-3</v>
      </c>
      <c r="V14" s="100">
        <f t="shared" si="5"/>
        <v>0</v>
      </c>
      <c r="W14" s="105"/>
      <c r="X14" s="90" t="s">
        <v>58</v>
      </c>
      <c r="Y14" s="91">
        <f>T14/'Critical Loads '!$D$5</f>
        <v>3.5724392139130437E-3</v>
      </c>
      <c r="Z14" s="92">
        <f t="shared" si="6"/>
        <v>1.2758711478260869E-3</v>
      </c>
      <c r="AA14" s="91">
        <f>Z14/'Critical Loads '!$F$5</f>
        <v>8.7388434782608695E-4</v>
      </c>
    </row>
    <row r="15" spans="2:27" x14ac:dyDescent="0.25">
      <c r="B15" s="90" t="s">
        <v>59</v>
      </c>
      <c r="C15" s="98" t="s">
        <v>18</v>
      </c>
      <c r="D15" s="66">
        <v>0.17757000000000001</v>
      </c>
      <c r="E15" s="60"/>
      <c r="F15" s="60"/>
      <c r="G15" s="9">
        <v>2.1378599999999999</v>
      </c>
      <c r="H15" s="6"/>
      <c r="I15" s="90" t="s">
        <v>59</v>
      </c>
      <c r="J15" s="79">
        <f>D15/$J$11</f>
        <v>5.9189999999999998E-3</v>
      </c>
      <c r="K15" s="119">
        <f t="shared" si="0"/>
        <v>0</v>
      </c>
      <c r="L15" s="83">
        <f t="shared" si="1"/>
        <v>0</v>
      </c>
      <c r="M15" s="84">
        <f t="shared" si="2"/>
        <v>2.8504799999999997E-2</v>
      </c>
      <c r="N15" s="6"/>
      <c r="O15" s="90" t="s">
        <v>59</v>
      </c>
      <c r="P15" s="5">
        <f>D15*IF(C15="Woodland",'Supporting Info'!$F$6,'Supporting Info'!$G$6)*(3600*24*365*10000/1000000000)</f>
        <v>8.3997712800000013E-2</v>
      </c>
      <c r="Q15" s="5">
        <f>E15*IF(C15="Woodland",'Supporting Info'!$F$7,'Supporting Info'!$G$7)*(3600*24*365*10000/1000000000)</f>
        <v>0</v>
      </c>
      <c r="R15" s="63">
        <f>F15*IF(C15="Woodland",'Supporting Info'!$F$8,'Supporting Info'!$G$8)*(3600*24*365*10000/1000000000)</f>
        <v>0</v>
      </c>
      <c r="S15" s="98"/>
      <c r="T15" s="99">
        <f t="shared" si="3"/>
        <v>2.5564521286956528E-2</v>
      </c>
      <c r="U15" s="99">
        <f t="shared" si="4"/>
        <v>1.8260372347826089E-3</v>
      </c>
      <c r="V15" s="100">
        <f t="shared" si="5"/>
        <v>0</v>
      </c>
      <c r="W15" s="105"/>
      <c r="X15" s="90" t="s">
        <v>59</v>
      </c>
      <c r="Y15" s="91">
        <f>T15/'Critical Loads '!$D$5</f>
        <v>5.1129042573913059E-3</v>
      </c>
      <c r="Z15" s="92">
        <f t="shared" si="6"/>
        <v>1.8260372347826089E-3</v>
      </c>
      <c r="AA15" s="91">
        <f>Z15/'Critical Loads '!$F$5</f>
        <v>1.2507104347826089E-3</v>
      </c>
    </row>
    <row r="16" spans="2:27" ht="15.75" thickBot="1" x14ac:dyDescent="0.3">
      <c r="B16" s="90" t="s">
        <v>60</v>
      </c>
      <c r="C16" s="98" t="s">
        <v>18</v>
      </c>
      <c r="D16" s="66">
        <v>0.22402</v>
      </c>
      <c r="E16" s="60"/>
      <c r="F16" s="60"/>
      <c r="G16" s="9">
        <v>2.5370400000000002</v>
      </c>
      <c r="H16" s="6"/>
      <c r="I16" s="93" t="s">
        <v>60</v>
      </c>
      <c r="J16" s="80">
        <f>D16/$J$11</f>
        <v>7.4673333333333336E-3</v>
      </c>
      <c r="K16" s="141">
        <f t="shared" si="0"/>
        <v>0</v>
      </c>
      <c r="L16" s="85">
        <f t="shared" si="1"/>
        <v>0</v>
      </c>
      <c r="M16" s="86">
        <f t="shared" si="2"/>
        <v>3.3827200000000002E-2</v>
      </c>
      <c r="N16" s="6"/>
      <c r="O16" s="93" t="s">
        <v>60</v>
      </c>
      <c r="P16" s="10">
        <f>D16*IF(C16="Woodland",'Supporting Info'!$F$6,'Supporting Info'!$G$6)*(3600*24*365*10000/1000000000)</f>
        <v>0.10597042080000001</v>
      </c>
      <c r="Q16" s="10">
        <f>E16*IF(C16="Woodland",'Supporting Info'!$F$7,'Supporting Info'!$G$7)*(3600*24*365*10000/1000000000)</f>
        <v>0</v>
      </c>
      <c r="R16" s="64">
        <f>F16*IF(C16="Woodland",'Supporting Info'!$F$8,'Supporting Info'!$G$8)*(3600*24*365*10000/1000000000)</f>
        <v>0</v>
      </c>
      <c r="S16" s="101"/>
      <c r="T16" s="102">
        <f t="shared" si="3"/>
        <v>3.2251867200000006E-2</v>
      </c>
      <c r="U16" s="102">
        <f t="shared" si="4"/>
        <v>2.3037048E-3</v>
      </c>
      <c r="V16" s="103">
        <f t="shared" si="5"/>
        <v>0</v>
      </c>
      <c r="W16" s="105"/>
      <c r="X16" s="93" t="s">
        <v>60</v>
      </c>
      <c r="Y16" s="94">
        <f>T16/'Critical Loads '!$D$5</f>
        <v>6.4503734400000014E-3</v>
      </c>
      <c r="Z16" s="95">
        <f t="shared" si="6"/>
        <v>2.3037048E-3</v>
      </c>
      <c r="AA16" s="91">
        <f>Z16/'Critical Loads '!$F$5</f>
        <v>1.57788E-3</v>
      </c>
    </row>
    <row r="17" spans="2:27" ht="15.75" thickBot="1" x14ac:dyDescent="0.3">
      <c r="B17" s="90" t="s">
        <v>63</v>
      </c>
      <c r="C17" s="98" t="s">
        <v>18</v>
      </c>
      <c r="D17" s="66">
        <v>0.24224999999999999</v>
      </c>
      <c r="E17" s="60"/>
      <c r="F17" s="60"/>
      <c r="G17" s="9">
        <v>3.9071199999999999</v>
      </c>
      <c r="H17" s="6"/>
      <c r="I17" s="93" t="s">
        <v>63</v>
      </c>
      <c r="J17" s="80">
        <f t="shared" ref="J17:J21" si="7">D17/$J$11</f>
        <v>8.0750000000000006E-3</v>
      </c>
      <c r="K17" s="141">
        <f t="shared" ref="K17:K21" si="8">E17/$K$11</f>
        <v>0</v>
      </c>
      <c r="L17" s="85">
        <f t="shared" ref="L17:L21" si="9">F17/$L$11</f>
        <v>0</v>
      </c>
      <c r="M17" s="86">
        <f t="shared" ref="M17:M21" si="10">G17/$M$11</f>
        <v>5.2094933333333329E-2</v>
      </c>
      <c r="N17" s="6"/>
      <c r="O17" s="93" t="s">
        <v>63</v>
      </c>
      <c r="P17" s="10">
        <f>D17*IF(C17="Woodland",'Supporting Info'!$F$6,'Supporting Info'!$G$6)*(3600*24*365*10000/1000000000)</f>
        <v>0.11459394000000001</v>
      </c>
      <c r="Q17" s="10">
        <f>E17*IF(C17="Woodland",'Supporting Info'!$F$7,'Supporting Info'!$G$7)*(3600*24*365*10000/1000000000)</f>
        <v>0</v>
      </c>
      <c r="R17" s="64">
        <f>F17*IF(C17="Woodland",'Supporting Info'!$F$8,'Supporting Info'!$G$8)*(3600*24*365*10000/1000000000)</f>
        <v>0</v>
      </c>
      <c r="S17" s="101"/>
      <c r="T17" s="102">
        <f t="shared" ref="T17:T21" si="11">P17*(14/46)+R17*(14/17)</f>
        <v>3.4876416521739131E-2</v>
      </c>
      <c r="U17" s="102">
        <f t="shared" ref="U17:U21" si="12">P17/46+R17/17</f>
        <v>2.4911726086956523E-3</v>
      </c>
      <c r="V17" s="103">
        <f t="shared" ref="V17:V21" si="13">2*Q17/64</f>
        <v>0</v>
      </c>
      <c r="W17" s="105"/>
      <c r="X17" s="93" t="s">
        <v>63</v>
      </c>
      <c r="Y17" s="94">
        <f>T17/'Critical Loads '!$D$5</f>
        <v>6.9752833043478261E-3</v>
      </c>
      <c r="Z17" s="95">
        <f t="shared" ref="Z17:Z21" si="14">U17+V17</f>
        <v>2.4911726086956523E-3</v>
      </c>
      <c r="AA17" s="91">
        <f>Z17/'Critical Loads '!$F$5</f>
        <v>1.7062826086956524E-3</v>
      </c>
    </row>
    <row r="18" spans="2:27" ht="15.75" thickBot="1" x14ac:dyDescent="0.3">
      <c r="B18" s="90" t="s">
        <v>64</v>
      </c>
      <c r="C18" s="98" t="s">
        <v>18</v>
      </c>
      <c r="D18" s="66">
        <v>0.20247000000000001</v>
      </c>
      <c r="E18" s="60"/>
      <c r="F18" s="60"/>
      <c r="G18" s="9">
        <v>2.4713099999999999</v>
      </c>
      <c r="H18" s="6"/>
      <c r="I18" s="93" t="s">
        <v>64</v>
      </c>
      <c r="J18" s="80">
        <f t="shared" si="7"/>
        <v>6.7490000000000007E-3</v>
      </c>
      <c r="K18" s="141">
        <f t="shared" si="8"/>
        <v>0</v>
      </c>
      <c r="L18" s="85">
        <f t="shared" si="9"/>
        <v>0</v>
      </c>
      <c r="M18" s="86">
        <f t="shared" si="10"/>
        <v>3.2950799999999995E-2</v>
      </c>
      <c r="N18" s="6"/>
      <c r="O18" s="93" t="s">
        <v>64</v>
      </c>
      <c r="P18" s="10">
        <f>D18*IF(C18="Woodland",'Supporting Info'!$F$6,'Supporting Info'!$G$6)*(3600*24*365*10000/1000000000)</f>
        <v>9.5776408800000018E-2</v>
      </c>
      <c r="Q18" s="10">
        <f>E18*IF(C18="Woodland",'Supporting Info'!$F$7,'Supporting Info'!$G$7)*(3600*24*365*10000/1000000000)</f>
        <v>0</v>
      </c>
      <c r="R18" s="64">
        <f>F18*IF(C18="Woodland",'Supporting Info'!$F$8,'Supporting Info'!$G$8)*(3600*24*365*10000/1000000000)</f>
        <v>0</v>
      </c>
      <c r="S18" s="101"/>
      <c r="T18" s="102">
        <f t="shared" si="11"/>
        <v>2.9149341808695658E-2</v>
      </c>
      <c r="U18" s="102">
        <f t="shared" si="12"/>
        <v>2.0820958434782611E-3</v>
      </c>
      <c r="V18" s="103">
        <f t="shared" si="13"/>
        <v>0</v>
      </c>
      <c r="W18" s="105"/>
      <c r="X18" s="93" t="s">
        <v>64</v>
      </c>
      <c r="Y18" s="94">
        <f>T18/'Critical Loads '!$D$5</f>
        <v>5.8298683617391319E-3</v>
      </c>
      <c r="Z18" s="95">
        <f t="shared" si="14"/>
        <v>2.0820958434782611E-3</v>
      </c>
      <c r="AA18" s="91">
        <f>Z18/'Critical Loads '!$F$5</f>
        <v>1.4260930434782612E-3</v>
      </c>
    </row>
    <row r="19" spans="2:27" ht="15.75" thickBot="1" x14ac:dyDescent="0.3">
      <c r="B19" s="90" t="s">
        <v>65</v>
      </c>
      <c r="C19" s="98" t="s">
        <v>18</v>
      </c>
      <c r="D19" s="66">
        <v>0.19714000000000001</v>
      </c>
      <c r="E19" s="60"/>
      <c r="F19" s="60"/>
      <c r="G19" s="9">
        <v>3.0057399999999999</v>
      </c>
      <c r="H19" s="6"/>
      <c r="I19" s="93" t="s">
        <v>65</v>
      </c>
      <c r="J19" s="80">
        <f t="shared" si="7"/>
        <v>6.5713333333333335E-3</v>
      </c>
      <c r="K19" s="141">
        <f t="shared" si="8"/>
        <v>0</v>
      </c>
      <c r="L19" s="85">
        <f t="shared" si="9"/>
        <v>0</v>
      </c>
      <c r="M19" s="86">
        <f t="shared" si="10"/>
        <v>4.0076533333333331E-2</v>
      </c>
      <c r="N19" s="6"/>
      <c r="O19" s="93" t="s">
        <v>65</v>
      </c>
      <c r="P19" s="10">
        <f>D19*IF(C19="Woodland",'Supporting Info'!$F$6,'Supporting Info'!$G$6)*(3600*24*365*10000/1000000000)</f>
        <v>9.3255105600000013E-2</v>
      </c>
      <c r="Q19" s="10">
        <f>E19*IF(C19="Woodland",'Supporting Info'!$F$7,'Supporting Info'!$G$7)*(3600*24*365*10000/1000000000)</f>
        <v>0</v>
      </c>
      <c r="R19" s="64">
        <f>F19*IF(C19="Woodland",'Supporting Info'!$F$8,'Supporting Info'!$G$8)*(3600*24*365*10000/1000000000)</f>
        <v>0</v>
      </c>
      <c r="S19" s="101"/>
      <c r="T19" s="102">
        <f t="shared" si="11"/>
        <v>2.8381988660869571E-2</v>
      </c>
      <c r="U19" s="102">
        <f t="shared" si="12"/>
        <v>2.0272849043478265E-3</v>
      </c>
      <c r="V19" s="103">
        <f t="shared" si="13"/>
        <v>0</v>
      </c>
      <c r="W19" s="105"/>
      <c r="X19" s="93" t="s">
        <v>65</v>
      </c>
      <c r="Y19" s="94">
        <f>T19/'Critical Loads '!$D$5</f>
        <v>5.6763977321739141E-3</v>
      </c>
      <c r="Z19" s="95">
        <f t="shared" si="14"/>
        <v>2.0272849043478265E-3</v>
      </c>
      <c r="AA19" s="91">
        <f>Z19/'Critical Loads '!$F$5</f>
        <v>1.3885513043478265E-3</v>
      </c>
    </row>
    <row r="20" spans="2:27" ht="15.75" thickBot="1" x14ac:dyDescent="0.3">
      <c r="B20" s="90" t="s">
        <v>66</v>
      </c>
      <c r="C20" s="98" t="s">
        <v>18</v>
      </c>
      <c r="D20" s="66">
        <v>0.11772000000000001</v>
      </c>
      <c r="E20" s="60"/>
      <c r="F20" s="60"/>
      <c r="G20" s="9">
        <v>2.0908699999999998</v>
      </c>
      <c r="H20" s="6"/>
      <c r="I20" s="93" t="s">
        <v>66</v>
      </c>
      <c r="J20" s="80">
        <f t="shared" si="7"/>
        <v>3.9240000000000004E-3</v>
      </c>
      <c r="K20" s="141">
        <f t="shared" si="8"/>
        <v>0</v>
      </c>
      <c r="L20" s="85">
        <f t="shared" si="9"/>
        <v>0</v>
      </c>
      <c r="M20" s="86">
        <f t="shared" si="10"/>
        <v>2.7878266666666665E-2</v>
      </c>
      <c r="N20" s="6"/>
      <c r="O20" s="93" t="s">
        <v>66</v>
      </c>
      <c r="P20" s="10">
        <f>D20*IF(C20="Woodland",'Supporting Info'!$F$6,'Supporting Info'!$G$6)*(3600*24*365*10000/1000000000)</f>
        <v>5.5686268800000008E-2</v>
      </c>
      <c r="Q20" s="10">
        <f>E20*IF(C20="Woodland",'Supporting Info'!$F$7,'Supporting Info'!$G$7)*(3600*24*365*10000/1000000000)</f>
        <v>0</v>
      </c>
      <c r="R20" s="64">
        <f>F20*IF(C20="Woodland",'Supporting Info'!$F$8,'Supporting Info'!$G$8)*(3600*24*365*10000/1000000000)</f>
        <v>0</v>
      </c>
      <c r="S20" s="101"/>
      <c r="T20" s="102">
        <f t="shared" si="11"/>
        <v>1.6947994852173916E-2</v>
      </c>
      <c r="U20" s="102">
        <f t="shared" si="12"/>
        <v>1.2105710608695654E-3</v>
      </c>
      <c r="V20" s="103">
        <f t="shared" si="13"/>
        <v>0</v>
      </c>
      <c r="W20" s="105"/>
      <c r="X20" s="93" t="s">
        <v>66</v>
      </c>
      <c r="Y20" s="94">
        <f>T20/'Critical Loads '!$D$5</f>
        <v>3.3895989704347831E-3</v>
      </c>
      <c r="Z20" s="95">
        <f t="shared" si="14"/>
        <v>1.2105710608695654E-3</v>
      </c>
      <c r="AA20" s="91">
        <f>Z20/'Critical Loads '!$F$5</f>
        <v>8.2915826086956529E-4</v>
      </c>
    </row>
    <row r="21" spans="2:27" ht="15.75" thickBot="1" x14ac:dyDescent="0.3">
      <c r="B21" s="90" t="s">
        <v>67</v>
      </c>
      <c r="C21" s="98" t="s">
        <v>18</v>
      </c>
      <c r="D21" s="66">
        <v>0.15831000000000001</v>
      </c>
      <c r="E21" s="60"/>
      <c r="F21" s="60"/>
      <c r="G21" s="9">
        <v>3.0215299999999998</v>
      </c>
      <c r="H21" s="6"/>
      <c r="I21" s="93" t="s">
        <v>67</v>
      </c>
      <c r="J21" s="80">
        <f t="shared" si="7"/>
        <v>5.2770000000000004E-3</v>
      </c>
      <c r="K21" s="141">
        <f t="shared" si="8"/>
        <v>0</v>
      </c>
      <c r="L21" s="85">
        <f t="shared" si="9"/>
        <v>0</v>
      </c>
      <c r="M21" s="86">
        <f t="shared" si="10"/>
        <v>4.0287066666666663E-2</v>
      </c>
      <c r="N21" s="6"/>
      <c r="O21" s="93" t="s">
        <v>67</v>
      </c>
      <c r="P21" s="10">
        <f>D21*IF(C21="Woodland",'Supporting Info'!$F$6,'Supporting Info'!$G$6)*(3600*24*365*10000/1000000000)</f>
        <v>7.4886962400000007E-2</v>
      </c>
      <c r="Q21" s="10">
        <f>E21*IF(C21="Woodland",'Supporting Info'!$F$7,'Supporting Info'!$G$7)*(3600*24*365*10000/1000000000)</f>
        <v>0</v>
      </c>
      <c r="R21" s="64">
        <f>F21*IF(C21="Woodland",'Supporting Info'!$F$8,'Supporting Info'!$G$8)*(3600*24*365*10000/1000000000)</f>
        <v>0</v>
      </c>
      <c r="S21" s="101"/>
      <c r="T21" s="102">
        <f t="shared" si="11"/>
        <v>2.2791684208695654E-2</v>
      </c>
      <c r="U21" s="102">
        <f t="shared" si="12"/>
        <v>1.6279774434782609E-3</v>
      </c>
      <c r="V21" s="103">
        <f t="shared" si="13"/>
        <v>0</v>
      </c>
      <c r="W21" s="105"/>
      <c r="X21" s="93" t="s">
        <v>67</v>
      </c>
      <c r="Y21" s="94">
        <f>T21/'Critical Loads '!$D$5</f>
        <v>4.5583368417391312E-3</v>
      </c>
      <c r="Z21" s="95">
        <f t="shared" si="14"/>
        <v>1.6279774434782609E-3</v>
      </c>
      <c r="AA21" s="91">
        <f>Z21/'Critical Loads '!$F$5</f>
        <v>1.1150530434782609E-3</v>
      </c>
    </row>
    <row r="25" spans="2:27" ht="18.75" x14ac:dyDescent="0.25">
      <c r="B25" s="199">
        <v>2021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</row>
    <row r="28" spans="2:27" x14ac:dyDescent="0.25">
      <c r="J28" s="198" t="s">
        <v>21</v>
      </c>
      <c r="K28" s="198"/>
      <c r="L28" s="198"/>
      <c r="M28" s="198"/>
      <c r="P28" s="198" t="s">
        <v>27</v>
      </c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</row>
    <row r="29" spans="2:27" x14ac:dyDescent="0.25">
      <c r="B29" s="70" t="s">
        <v>0</v>
      </c>
      <c r="C29" s="70"/>
      <c r="J29" s="198"/>
      <c r="K29" s="198"/>
      <c r="L29" s="198"/>
      <c r="M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</row>
    <row r="30" spans="2:27" ht="15.75" thickBot="1" x14ac:dyDescent="0.3">
      <c r="B30" s="70"/>
      <c r="C30" s="70"/>
      <c r="J30" s="198"/>
      <c r="K30" s="198"/>
      <c r="L30" s="198"/>
      <c r="M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</row>
    <row r="31" spans="2:27" ht="15.75" thickBot="1" x14ac:dyDescent="0.3">
      <c r="B31" s="185" t="s">
        <v>40</v>
      </c>
      <c r="C31" s="186"/>
      <c r="D31" s="186"/>
      <c r="E31" s="186"/>
      <c r="F31" s="186"/>
      <c r="G31" s="187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spans="2:27" ht="15.75" thickBot="1" x14ac:dyDescent="0.3">
      <c r="B32" s="188"/>
      <c r="C32" s="191"/>
      <c r="D32" s="202" t="s">
        <v>19</v>
      </c>
      <c r="E32" s="202"/>
      <c r="F32" s="202"/>
      <c r="G32" s="107" t="s">
        <v>20</v>
      </c>
      <c r="H32" s="105"/>
      <c r="I32" s="105"/>
      <c r="J32" s="195" t="s">
        <v>21</v>
      </c>
      <c r="K32" s="196"/>
      <c r="L32" s="196"/>
      <c r="M32" s="197"/>
      <c r="N32" s="105"/>
      <c r="O32" s="105"/>
      <c r="P32" s="166" t="s">
        <v>16</v>
      </c>
      <c r="Q32" s="167"/>
      <c r="R32" s="167"/>
      <c r="S32" s="167"/>
      <c r="T32" s="167"/>
      <c r="U32" s="167"/>
      <c r="V32" s="168"/>
      <c r="W32" s="105"/>
      <c r="X32" s="169" t="s">
        <v>44</v>
      </c>
      <c r="Y32" s="170"/>
      <c r="Z32" s="170"/>
      <c r="AA32" s="171"/>
    </row>
    <row r="33" spans="2:27" ht="60" customHeight="1" x14ac:dyDescent="0.25">
      <c r="B33" s="189"/>
      <c r="C33" s="192"/>
      <c r="D33" s="4" t="s">
        <v>11</v>
      </c>
      <c r="E33" s="57" t="s">
        <v>12</v>
      </c>
      <c r="F33" s="57" t="s">
        <v>13</v>
      </c>
      <c r="G33" s="8" t="s">
        <v>11</v>
      </c>
      <c r="H33" s="75"/>
      <c r="I33" s="172" t="s">
        <v>45</v>
      </c>
      <c r="J33" s="11" t="s">
        <v>25</v>
      </c>
      <c r="K33" s="11" t="s">
        <v>12</v>
      </c>
      <c r="L33" s="61" t="s">
        <v>13</v>
      </c>
      <c r="M33" s="12" t="s">
        <v>26</v>
      </c>
      <c r="N33" s="75"/>
      <c r="O33" s="174" t="s">
        <v>45</v>
      </c>
      <c r="P33" s="11" t="s">
        <v>11</v>
      </c>
      <c r="Q33" s="11" t="s">
        <v>12</v>
      </c>
      <c r="R33" s="61" t="s">
        <v>13</v>
      </c>
      <c r="S33" s="96"/>
      <c r="T33" s="11" t="s">
        <v>22</v>
      </c>
      <c r="U33" s="11" t="s">
        <v>23</v>
      </c>
      <c r="V33" s="12" t="s">
        <v>24</v>
      </c>
      <c r="W33" s="105"/>
      <c r="X33" s="176" t="s">
        <v>28</v>
      </c>
      <c r="Y33" s="178" t="s">
        <v>41</v>
      </c>
      <c r="Z33" s="183" t="s">
        <v>42</v>
      </c>
      <c r="AA33" s="180" t="s">
        <v>43</v>
      </c>
    </row>
    <row r="34" spans="2:27" ht="15.75" thickBot="1" x14ac:dyDescent="0.3">
      <c r="B34" s="190"/>
      <c r="C34" s="193"/>
      <c r="D34" s="76">
        <v>30</v>
      </c>
      <c r="E34" s="58">
        <v>10</v>
      </c>
      <c r="F34" s="58">
        <v>1</v>
      </c>
      <c r="G34" s="13">
        <v>75</v>
      </c>
      <c r="H34" s="75"/>
      <c r="I34" s="173"/>
      <c r="J34" s="76">
        <v>30</v>
      </c>
      <c r="K34" s="76">
        <v>10</v>
      </c>
      <c r="L34" s="58">
        <v>1</v>
      </c>
      <c r="M34" s="13">
        <v>75</v>
      </c>
      <c r="N34" s="75"/>
      <c r="O34" s="175"/>
      <c r="P34" s="182" t="s">
        <v>39</v>
      </c>
      <c r="Q34" s="182"/>
      <c r="R34" s="182"/>
      <c r="S34" s="101"/>
      <c r="T34" s="73" t="s">
        <v>37</v>
      </c>
      <c r="U34" s="73" t="s">
        <v>38</v>
      </c>
      <c r="V34" s="74" t="s">
        <v>38</v>
      </c>
      <c r="W34" s="105"/>
      <c r="X34" s="177"/>
      <c r="Y34" s="179"/>
      <c r="Z34" s="184"/>
      <c r="AA34" s="181"/>
    </row>
    <row r="35" spans="2:27" x14ac:dyDescent="0.25">
      <c r="B35" s="87" t="s">
        <v>56</v>
      </c>
      <c r="C35" s="96" t="s">
        <v>18</v>
      </c>
      <c r="D35" s="122">
        <v>0.15265000000000001</v>
      </c>
      <c r="E35" s="59"/>
      <c r="F35" s="59"/>
      <c r="G35" s="17">
        <v>2.38469</v>
      </c>
      <c r="H35" s="6"/>
      <c r="I35" s="87" t="s">
        <v>56</v>
      </c>
      <c r="J35" s="78">
        <f>D35/$J$11</f>
        <v>5.0883333333333336E-3</v>
      </c>
      <c r="K35" s="140">
        <f>E35/$K$11</f>
        <v>0</v>
      </c>
      <c r="L35" s="81">
        <f>F35/$L$11</f>
        <v>0</v>
      </c>
      <c r="M35" s="82">
        <f>G35/$M$11</f>
        <v>3.1795866666666665E-2</v>
      </c>
      <c r="N35" s="6"/>
      <c r="O35" s="87" t="s">
        <v>56</v>
      </c>
      <c r="P35" s="56">
        <f>D35*IF(C35="Woodland",'Supporting Info'!$F$6,'Supporting Info'!$G$6)*(3600*24*365*10000/1000000000)</f>
        <v>7.2209556000000008E-2</v>
      </c>
      <c r="Q35" s="56">
        <f>E35*IF(C35="Woodland",'Supporting Info'!$F$7,'Supporting Info'!$G$7)*(3600*24*365*10000/1000000000)</f>
        <v>0</v>
      </c>
      <c r="R35" s="62">
        <f>F35*IF(C35="Woodland",'Supporting Info'!$F$8,'Supporting Info'!$G$8)*(3600*24*365*10000/1000000000)</f>
        <v>0</v>
      </c>
      <c r="S35" s="96"/>
      <c r="T35" s="56">
        <f>P35*(14/46)+R35*(14/17)</f>
        <v>2.1976821391304351E-2</v>
      </c>
      <c r="U35" s="56">
        <f>P35/46+R35/17</f>
        <v>1.5697729565217393E-3</v>
      </c>
      <c r="V35" s="97">
        <f>2*Q35/64</f>
        <v>0</v>
      </c>
      <c r="W35" s="105"/>
      <c r="X35" s="87" t="s">
        <v>56</v>
      </c>
      <c r="Y35" s="88">
        <f>T35/'Critical Loads '!$D$5</f>
        <v>4.3953642782608698E-3</v>
      </c>
      <c r="Z35" s="89">
        <f>U35+V35</f>
        <v>1.5697729565217393E-3</v>
      </c>
      <c r="AA35" s="91">
        <f>Z35/'Critical Loads '!$F$5</f>
        <v>1.0751869565217393E-3</v>
      </c>
    </row>
    <row r="36" spans="2:27" x14ac:dyDescent="0.25">
      <c r="B36" s="90" t="s">
        <v>57</v>
      </c>
      <c r="C36" s="104" t="s">
        <v>18</v>
      </c>
      <c r="D36" s="123">
        <v>0.15390000000000001</v>
      </c>
      <c r="E36" s="60"/>
      <c r="F36" s="60"/>
      <c r="G36" s="9">
        <v>2.6171799999999998</v>
      </c>
      <c r="H36" s="6"/>
      <c r="I36" s="90" t="s">
        <v>57</v>
      </c>
      <c r="J36" s="79">
        <f>D36/$J$11</f>
        <v>5.13E-3</v>
      </c>
      <c r="K36" s="119">
        <f t="shared" ref="K36:K37" si="15">E36/$K$11</f>
        <v>0</v>
      </c>
      <c r="L36" s="83">
        <f t="shared" ref="L36:L37" si="16">F36/$L$11</f>
        <v>0</v>
      </c>
      <c r="M36" s="84">
        <f t="shared" ref="M36:M37" si="17">G36/$M$11</f>
        <v>3.4895733333333331E-2</v>
      </c>
      <c r="N36" s="6"/>
      <c r="O36" s="90" t="s">
        <v>57</v>
      </c>
      <c r="P36" s="5">
        <f>D36*IF(C36="Woodland",'Supporting Info'!$F$6,'Supporting Info'!$G$6)*(3600*24*365*10000/1000000000)</f>
        <v>7.2800856000000011E-2</v>
      </c>
      <c r="Q36" s="5">
        <f>E36*IF(C36="Woodland",'Supporting Info'!$F$7,'Supporting Info'!$G$7)*(3600*24*365*10000/1000000000)</f>
        <v>0</v>
      </c>
      <c r="R36" s="63">
        <f>F36*IF(C36="Woodland",'Supporting Info'!$F$8,'Supporting Info'!$G$8)*(3600*24*365*10000/1000000000)</f>
        <v>0</v>
      </c>
      <c r="S36" s="98"/>
      <c r="T36" s="99">
        <f t="shared" ref="T36:T37" si="18">P36*(14/46)+R36*(14/17)</f>
        <v>2.2156782260869569E-2</v>
      </c>
      <c r="U36" s="99">
        <f t="shared" ref="U36:U37" si="19">P36/46+R36/17</f>
        <v>1.5826273043478263E-3</v>
      </c>
      <c r="V36" s="100">
        <f t="shared" ref="V36:V37" si="20">2*Q36/64</f>
        <v>0</v>
      </c>
      <c r="W36" s="105"/>
      <c r="X36" s="90" t="s">
        <v>57</v>
      </c>
      <c r="Y36" s="91">
        <f>T36/'Critical Loads '!$D$5</f>
        <v>4.4313564521739138E-3</v>
      </c>
      <c r="Z36" s="92">
        <f t="shared" ref="Z36:Z37" si="21">U36+V36</f>
        <v>1.5826273043478263E-3</v>
      </c>
      <c r="AA36" s="91">
        <f>Z36/'Critical Loads '!$F$5</f>
        <v>1.0839913043478263E-3</v>
      </c>
    </row>
    <row r="37" spans="2:27" x14ac:dyDescent="0.25">
      <c r="B37" s="90" t="s">
        <v>58</v>
      </c>
      <c r="C37" s="104" t="s">
        <v>18</v>
      </c>
      <c r="D37" s="123">
        <v>0.13222</v>
      </c>
      <c r="E37" s="60"/>
      <c r="F37" s="60"/>
      <c r="G37" s="9">
        <v>2.3138399999999999</v>
      </c>
      <c r="H37" s="6"/>
      <c r="I37" s="90" t="s">
        <v>58</v>
      </c>
      <c r="J37" s="79">
        <f>D37/$J$11</f>
        <v>4.4073333333333334E-3</v>
      </c>
      <c r="K37" s="119">
        <f t="shared" si="15"/>
        <v>0</v>
      </c>
      <c r="L37" s="83">
        <f t="shared" si="16"/>
        <v>0</v>
      </c>
      <c r="M37" s="84">
        <f t="shared" si="17"/>
        <v>3.0851199999999999E-2</v>
      </c>
      <c r="N37" s="6"/>
      <c r="O37" s="90" t="s">
        <v>58</v>
      </c>
      <c r="P37" s="5">
        <f>D37*IF(C37="Woodland",'Supporting Info'!$F$6,'Supporting Info'!$G$6)*(3600*24*365*10000/1000000000)</f>
        <v>6.2545348800000011E-2</v>
      </c>
      <c r="Q37" s="5">
        <f>E37*IF(C37="Woodland",'Supporting Info'!$F$7,'Supporting Info'!$G$7)*(3600*24*365*10000/1000000000)</f>
        <v>0</v>
      </c>
      <c r="R37" s="63">
        <f>F37*IF(C37="Woodland",'Supporting Info'!$F$8,'Supporting Info'!$G$8)*(3600*24*365*10000/1000000000)</f>
        <v>0</v>
      </c>
      <c r="S37" s="98"/>
      <c r="T37" s="99">
        <f t="shared" si="18"/>
        <v>1.903554093913044E-2</v>
      </c>
      <c r="U37" s="99">
        <f t="shared" si="19"/>
        <v>1.3596814956521742E-3</v>
      </c>
      <c r="V37" s="100">
        <f t="shared" si="20"/>
        <v>0</v>
      </c>
      <c r="W37" s="105"/>
      <c r="X37" s="90" t="s">
        <v>58</v>
      </c>
      <c r="Y37" s="91">
        <f>T37/'Critical Loads '!$D$5</f>
        <v>3.807108187826088E-3</v>
      </c>
      <c r="Z37" s="92">
        <f t="shared" si="21"/>
        <v>1.3596814956521742E-3</v>
      </c>
      <c r="AA37" s="91">
        <f>Z37/'Critical Loads '!$F$5</f>
        <v>9.3128869565217416E-4</v>
      </c>
    </row>
    <row r="38" spans="2:27" x14ac:dyDescent="0.25">
      <c r="B38" s="90" t="s">
        <v>59</v>
      </c>
      <c r="C38" s="104" t="s">
        <v>18</v>
      </c>
      <c r="D38" s="123">
        <v>0.18343000000000001</v>
      </c>
      <c r="E38" s="60"/>
      <c r="F38" s="60"/>
      <c r="G38" s="9">
        <v>2.9841899999999999</v>
      </c>
      <c r="H38" s="6"/>
      <c r="I38" s="90" t="s">
        <v>59</v>
      </c>
      <c r="J38" s="79">
        <f t="shared" ref="J38:J44" si="22">D38/$J$11</f>
        <v>6.1143333333333336E-3</v>
      </c>
      <c r="K38" s="119">
        <f t="shared" ref="K38:K44" si="23">E38/$K$11</f>
        <v>0</v>
      </c>
      <c r="L38" s="83">
        <f t="shared" ref="L38:L44" si="24">F38/$L$11</f>
        <v>0</v>
      </c>
      <c r="M38" s="84">
        <f t="shared" ref="M38:M44" si="25">G38/$M$11</f>
        <v>3.9789199999999997E-2</v>
      </c>
      <c r="N38" s="6"/>
      <c r="O38" s="90" t="s">
        <v>59</v>
      </c>
      <c r="P38" s="5">
        <f>D38*IF(C38="Woodland",'Supporting Info'!$F$6,'Supporting Info'!$G$6)*(3600*24*365*10000/1000000000)</f>
        <v>8.6769727200000007E-2</v>
      </c>
      <c r="Q38" s="5">
        <f>E38*IF(C38="Woodland",'Supporting Info'!$F$7,'Supporting Info'!$G$7)*(3600*24*365*10000/1000000000)</f>
        <v>0</v>
      </c>
      <c r="R38" s="63">
        <f>F38*IF(C38="Woodland",'Supporting Info'!$F$8,'Supporting Info'!$G$8)*(3600*24*365*10000/1000000000)</f>
        <v>0</v>
      </c>
      <c r="S38" s="98"/>
      <c r="T38" s="99">
        <f t="shared" ref="T38:T44" si="26">P38*(14/46)+R38*(14/17)</f>
        <v>2.6408177843478264E-2</v>
      </c>
      <c r="U38" s="99">
        <f t="shared" ref="U38:U44" si="27">P38/46+R38/17</f>
        <v>1.8862984173913045E-3</v>
      </c>
      <c r="V38" s="100">
        <f t="shared" ref="V38:V44" si="28">2*Q38/64</f>
        <v>0</v>
      </c>
      <c r="W38" s="105"/>
      <c r="X38" s="90" t="s">
        <v>59</v>
      </c>
      <c r="Y38" s="91">
        <f>T38/'Critical Loads '!$D$5</f>
        <v>5.2816355686956529E-3</v>
      </c>
      <c r="Z38" s="92">
        <f t="shared" ref="Z38:Z44" si="29">U38+V38</f>
        <v>1.8862984173913045E-3</v>
      </c>
      <c r="AA38" s="91">
        <f>Z38/'Critical Loads '!$F$5</f>
        <v>1.2919852173913044E-3</v>
      </c>
    </row>
    <row r="39" spans="2:27" x14ac:dyDescent="0.25">
      <c r="B39" s="90" t="s">
        <v>60</v>
      </c>
      <c r="C39" s="104" t="s">
        <v>18</v>
      </c>
      <c r="D39" s="123">
        <v>0.21959999999999999</v>
      </c>
      <c r="E39" s="60"/>
      <c r="F39" s="60"/>
      <c r="G39" s="9">
        <v>2.4724499999999998</v>
      </c>
      <c r="H39" s="6"/>
      <c r="I39" s="90" t="s">
        <v>60</v>
      </c>
      <c r="J39" s="79">
        <f t="shared" si="22"/>
        <v>7.3199999999999993E-3</v>
      </c>
      <c r="K39" s="119">
        <f t="shared" si="23"/>
        <v>0</v>
      </c>
      <c r="L39" s="83">
        <f t="shared" si="24"/>
        <v>0</v>
      </c>
      <c r="M39" s="84">
        <f t="shared" si="25"/>
        <v>3.2965999999999995E-2</v>
      </c>
      <c r="N39" s="6"/>
      <c r="O39" s="90" t="s">
        <v>60</v>
      </c>
      <c r="P39" s="5">
        <f>D39*IF(C39="Woodland",'Supporting Info'!$F$6,'Supporting Info'!$G$6)*(3600*24*365*10000/1000000000)</f>
        <v>0.103879584</v>
      </c>
      <c r="Q39" s="5">
        <f>E39*IF(C39="Woodland",'Supporting Info'!$F$7,'Supporting Info'!$G$7)*(3600*24*365*10000/1000000000)</f>
        <v>0</v>
      </c>
      <c r="R39" s="63">
        <f>F39*IF(C39="Woodland",'Supporting Info'!$F$8,'Supporting Info'!$G$8)*(3600*24*365*10000/1000000000)</f>
        <v>0</v>
      </c>
      <c r="S39" s="98"/>
      <c r="T39" s="99">
        <f t="shared" si="26"/>
        <v>3.1615525565217392E-2</v>
      </c>
      <c r="U39" s="99">
        <f t="shared" si="27"/>
        <v>2.2582518260869564E-3</v>
      </c>
      <c r="V39" s="100">
        <f t="shared" si="28"/>
        <v>0</v>
      </c>
      <c r="W39" s="105"/>
      <c r="X39" s="90" t="s">
        <v>60</v>
      </c>
      <c r="Y39" s="91">
        <f>T39/'Critical Loads '!$D$5</f>
        <v>6.3231051130434781E-3</v>
      </c>
      <c r="Z39" s="92">
        <f t="shared" si="29"/>
        <v>2.2582518260869564E-3</v>
      </c>
      <c r="AA39" s="91">
        <f>Z39/'Critical Loads '!$F$5</f>
        <v>1.5467478260869564E-3</v>
      </c>
    </row>
    <row r="40" spans="2:27" x14ac:dyDescent="0.25">
      <c r="B40" s="90" t="s">
        <v>63</v>
      </c>
      <c r="C40" s="104" t="s">
        <v>18</v>
      </c>
      <c r="D40" s="123">
        <v>0.24765000000000001</v>
      </c>
      <c r="E40" s="60"/>
      <c r="F40" s="60"/>
      <c r="G40" s="9">
        <v>2.6166999999999998</v>
      </c>
      <c r="H40" s="6"/>
      <c r="I40" s="90" t="s">
        <v>63</v>
      </c>
      <c r="J40" s="79">
        <f t="shared" si="22"/>
        <v>8.2550000000000002E-3</v>
      </c>
      <c r="K40" s="119">
        <f t="shared" si="23"/>
        <v>0</v>
      </c>
      <c r="L40" s="83">
        <f t="shared" si="24"/>
        <v>0</v>
      </c>
      <c r="M40" s="84">
        <f t="shared" si="25"/>
        <v>3.4889333333333328E-2</v>
      </c>
      <c r="N40" s="6"/>
      <c r="O40" s="90" t="s">
        <v>63</v>
      </c>
      <c r="P40" s="5">
        <f>D40*IF(C40="Woodland",'Supporting Info'!$F$6,'Supporting Info'!$G$6)*(3600*24*365*10000/1000000000)</f>
        <v>0.11714835600000001</v>
      </c>
      <c r="Q40" s="5">
        <f>E40*IF(C40="Woodland",'Supporting Info'!$F$7,'Supporting Info'!$G$7)*(3600*24*365*10000/1000000000)</f>
        <v>0</v>
      </c>
      <c r="R40" s="63">
        <f>F40*IF(C40="Woodland",'Supporting Info'!$F$8,'Supporting Info'!$G$8)*(3600*24*365*10000/1000000000)</f>
        <v>0</v>
      </c>
      <c r="S40" s="98"/>
      <c r="T40" s="99">
        <f t="shared" si="26"/>
        <v>3.5653847478260878E-2</v>
      </c>
      <c r="U40" s="99">
        <f t="shared" si="27"/>
        <v>2.5467033913043479E-3</v>
      </c>
      <c r="V40" s="100">
        <f t="shared" si="28"/>
        <v>0</v>
      </c>
      <c r="W40" s="105"/>
      <c r="X40" s="90" t="s">
        <v>63</v>
      </c>
      <c r="Y40" s="91">
        <f>T40/'Critical Loads '!$D$5</f>
        <v>7.1307694956521759E-3</v>
      </c>
      <c r="Z40" s="92">
        <f t="shared" si="29"/>
        <v>2.5467033913043479E-3</v>
      </c>
      <c r="AA40" s="91">
        <f>Z40/'Critical Loads '!$F$5</f>
        <v>1.7443173913043479E-3</v>
      </c>
    </row>
    <row r="41" spans="2:27" x14ac:dyDescent="0.25">
      <c r="B41" s="90" t="s">
        <v>64</v>
      </c>
      <c r="C41" s="104" t="s">
        <v>18</v>
      </c>
      <c r="D41" s="123">
        <v>0.21912000000000001</v>
      </c>
      <c r="E41" s="60"/>
      <c r="F41" s="60"/>
      <c r="G41" s="9">
        <v>2.6732399999999998</v>
      </c>
      <c r="H41" s="6"/>
      <c r="I41" s="90" t="s">
        <v>64</v>
      </c>
      <c r="J41" s="79">
        <f t="shared" si="22"/>
        <v>7.3040000000000006E-3</v>
      </c>
      <c r="K41" s="119">
        <f t="shared" si="23"/>
        <v>0</v>
      </c>
      <c r="L41" s="83">
        <f t="shared" si="24"/>
        <v>0</v>
      </c>
      <c r="M41" s="84">
        <f t="shared" si="25"/>
        <v>3.56432E-2</v>
      </c>
      <c r="N41" s="6"/>
      <c r="O41" s="90" t="s">
        <v>64</v>
      </c>
      <c r="P41" s="5">
        <f>D41*IF(C41="Woodland",'Supporting Info'!$F$6,'Supporting Info'!$G$6)*(3600*24*365*10000/1000000000)</f>
        <v>0.10365252480000002</v>
      </c>
      <c r="Q41" s="5">
        <f>E41*IF(C41="Woodland",'Supporting Info'!$F$7,'Supporting Info'!$G$7)*(3600*24*365*10000/1000000000)</f>
        <v>0</v>
      </c>
      <c r="R41" s="63">
        <f>F41*IF(C41="Woodland",'Supporting Info'!$F$8,'Supporting Info'!$G$8)*(3600*24*365*10000/1000000000)</f>
        <v>0</v>
      </c>
      <c r="S41" s="98"/>
      <c r="T41" s="99">
        <f t="shared" si="26"/>
        <v>3.1546420591304358E-2</v>
      </c>
      <c r="U41" s="99">
        <f t="shared" si="27"/>
        <v>2.2533157565217394E-3</v>
      </c>
      <c r="V41" s="100">
        <f t="shared" si="28"/>
        <v>0</v>
      </c>
      <c r="W41" s="105"/>
      <c r="X41" s="90" t="s">
        <v>64</v>
      </c>
      <c r="Y41" s="91">
        <f>T41/'Critical Loads '!$D$5</f>
        <v>6.3092841182608717E-3</v>
      </c>
      <c r="Z41" s="92">
        <f t="shared" si="29"/>
        <v>2.2533157565217394E-3</v>
      </c>
      <c r="AA41" s="91">
        <f>Z41/'Critical Loads '!$F$5</f>
        <v>1.5433669565217394E-3</v>
      </c>
    </row>
    <row r="42" spans="2:27" x14ac:dyDescent="0.25">
      <c r="B42" s="90" t="s">
        <v>65</v>
      </c>
      <c r="C42" s="104" t="s">
        <v>18</v>
      </c>
      <c r="D42" s="123">
        <v>0.20351</v>
      </c>
      <c r="E42" s="60"/>
      <c r="F42" s="60"/>
      <c r="G42" s="9">
        <v>2.3256999999999999</v>
      </c>
      <c r="H42" s="6"/>
      <c r="I42" s="90" t="s">
        <v>65</v>
      </c>
      <c r="J42" s="79">
        <f t="shared" si="22"/>
        <v>6.7836666666666661E-3</v>
      </c>
      <c r="K42" s="119">
        <f t="shared" si="23"/>
        <v>0</v>
      </c>
      <c r="L42" s="83">
        <f t="shared" si="24"/>
        <v>0</v>
      </c>
      <c r="M42" s="84">
        <f t="shared" si="25"/>
        <v>3.1009333333333333E-2</v>
      </c>
      <c r="N42" s="6"/>
      <c r="O42" s="90" t="s">
        <v>65</v>
      </c>
      <c r="P42" s="5">
        <f>D42*IF(C42="Woodland",'Supporting Info'!$F$6,'Supporting Info'!$G$6)*(3600*24*365*10000/1000000000)</f>
        <v>9.6268370399999997E-2</v>
      </c>
      <c r="Q42" s="5">
        <f>E42*IF(C42="Woodland",'Supporting Info'!$F$7,'Supporting Info'!$G$7)*(3600*24*365*10000/1000000000)</f>
        <v>0</v>
      </c>
      <c r="R42" s="63">
        <f>F42*IF(C42="Woodland",'Supporting Info'!$F$8,'Supporting Info'!$G$8)*(3600*24*365*10000/1000000000)</f>
        <v>0</v>
      </c>
      <c r="S42" s="98"/>
      <c r="T42" s="99">
        <f t="shared" si="26"/>
        <v>2.9299069252173914E-2</v>
      </c>
      <c r="U42" s="99">
        <f t="shared" si="27"/>
        <v>2.092790660869565E-3</v>
      </c>
      <c r="V42" s="100">
        <f t="shared" si="28"/>
        <v>0</v>
      </c>
      <c r="W42" s="105"/>
      <c r="X42" s="90" t="s">
        <v>65</v>
      </c>
      <c r="Y42" s="91">
        <f>T42/'Critical Loads '!$D$5</f>
        <v>5.8598138504347827E-3</v>
      </c>
      <c r="Z42" s="92">
        <f t="shared" si="29"/>
        <v>2.092790660869565E-3</v>
      </c>
      <c r="AA42" s="91">
        <f>Z42/'Critical Loads '!$F$5</f>
        <v>1.4334182608695652E-3</v>
      </c>
    </row>
    <row r="43" spans="2:27" x14ac:dyDescent="0.25">
      <c r="B43" s="90" t="s">
        <v>66</v>
      </c>
      <c r="C43" s="104" t="s">
        <v>18</v>
      </c>
      <c r="D43" s="123">
        <v>0.11301</v>
      </c>
      <c r="E43" s="60"/>
      <c r="F43" s="60"/>
      <c r="G43" s="9">
        <v>1.4151499999999999</v>
      </c>
      <c r="H43" s="6"/>
      <c r="I43" s="90" t="s">
        <v>66</v>
      </c>
      <c r="J43" s="79">
        <f t="shared" si="22"/>
        <v>3.7669999999999999E-3</v>
      </c>
      <c r="K43" s="119">
        <f t="shared" si="23"/>
        <v>0</v>
      </c>
      <c r="L43" s="83">
        <f t="shared" si="24"/>
        <v>0</v>
      </c>
      <c r="M43" s="84">
        <f t="shared" si="25"/>
        <v>1.8868666666666666E-2</v>
      </c>
      <c r="N43" s="6"/>
      <c r="O43" s="90" t="s">
        <v>66</v>
      </c>
      <c r="P43" s="5">
        <f>D43*IF(C43="Woodland",'Supporting Info'!$F$6,'Supporting Info'!$G$6)*(3600*24*365*10000/1000000000)</f>
        <v>5.3458250399999997E-2</v>
      </c>
      <c r="Q43" s="5">
        <f>E43*IF(C43="Woodland",'Supporting Info'!$F$7,'Supporting Info'!$G$7)*(3600*24*365*10000/1000000000)</f>
        <v>0</v>
      </c>
      <c r="R43" s="63">
        <f>F43*IF(C43="Woodland",'Supporting Info'!$F$8,'Supporting Info'!$G$8)*(3600*24*365*10000/1000000000)</f>
        <v>0</v>
      </c>
      <c r="S43" s="98"/>
      <c r="T43" s="99">
        <f t="shared" si="26"/>
        <v>1.6269902295652176E-2</v>
      </c>
      <c r="U43" s="99">
        <f t="shared" si="27"/>
        <v>1.1621358782608695E-3</v>
      </c>
      <c r="V43" s="100">
        <f t="shared" si="28"/>
        <v>0</v>
      </c>
      <c r="W43" s="105"/>
      <c r="X43" s="90" t="s">
        <v>66</v>
      </c>
      <c r="Y43" s="91">
        <f>T43/'Critical Loads '!$D$5</f>
        <v>3.2539804591304351E-3</v>
      </c>
      <c r="Z43" s="92">
        <f t="shared" si="29"/>
        <v>1.1621358782608695E-3</v>
      </c>
      <c r="AA43" s="91">
        <f>Z43/'Critical Loads '!$F$5</f>
        <v>7.959834782608696E-4</v>
      </c>
    </row>
    <row r="44" spans="2:27" x14ac:dyDescent="0.25">
      <c r="B44" s="90" t="s">
        <v>67</v>
      </c>
      <c r="C44" s="104" t="s">
        <v>18</v>
      </c>
      <c r="D44" s="123">
        <v>0.17882999999999999</v>
      </c>
      <c r="E44" s="60"/>
      <c r="F44" s="60"/>
      <c r="G44" s="9">
        <v>2.0443099999999998</v>
      </c>
      <c r="H44" s="6"/>
      <c r="I44" s="90" t="s">
        <v>67</v>
      </c>
      <c r="J44" s="79">
        <f t="shared" si="22"/>
        <v>5.9609999999999993E-3</v>
      </c>
      <c r="K44" s="119">
        <f t="shared" si="23"/>
        <v>0</v>
      </c>
      <c r="L44" s="83">
        <f t="shared" si="24"/>
        <v>0</v>
      </c>
      <c r="M44" s="84">
        <f t="shared" si="25"/>
        <v>2.7257466666666664E-2</v>
      </c>
      <c r="N44" s="6"/>
      <c r="O44" s="90" t="s">
        <v>67</v>
      </c>
      <c r="P44" s="5">
        <f>D44*IF(C44="Woodland",'Supporting Info'!$F$6,'Supporting Info'!$G$6)*(3600*24*365*10000/1000000000)</f>
        <v>8.4593743199999988E-2</v>
      </c>
      <c r="Q44" s="5">
        <f>E44*IF(C44="Woodland",'Supporting Info'!$F$7,'Supporting Info'!$G$7)*(3600*24*365*10000/1000000000)</f>
        <v>0</v>
      </c>
      <c r="R44" s="63">
        <f>F44*IF(C44="Woodland",'Supporting Info'!$F$8,'Supporting Info'!$G$8)*(3600*24*365*10000/1000000000)</f>
        <v>0</v>
      </c>
      <c r="S44" s="98"/>
      <c r="T44" s="99">
        <f t="shared" si="26"/>
        <v>2.5745921843478257E-2</v>
      </c>
      <c r="U44" s="99">
        <f t="shared" si="27"/>
        <v>1.8389944173913041E-3</v>
      </c>
      <c r="V44" s="100">
        <f t="shared" si="28"/>
        <v>0</v>
      </c>
      <c r="W44" s="105"/>
      <c r="X44" s="90" t="s">
        <v>67</v>
      </c>
      <c r="Y44" s="91">
        <f>T44/'Critical Loads '!$D$5</f>
        <v>5.1491843686956515E-3</v>
      </c>
      <c r="Z44" s="92">
        <f t="shared" si="29"/>
        <v>1.8389944173913041E-3</v>
      </c>
      <c r="AA44" s="91">
        <f>Z44/'Critical Loads '!$F$5</f>
        <v>1.2595852173913041E-3</v>
      </c>
    </row>
    <row r="45" spans="2:27" x14ac:dyDescent="0.25">
      <c r="G45" s="69">
        <v>2.0443099999999998</v>
      </c>
    </row>
    <row r="49" spans="2:27" ht="18.75" x14ac:dyDescent="0.25">
      <c r="B49" s="199">
        <v>2022</v>
      </c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</row>
    <row r="52" spans="2:27" ht="15" customHeight="1" x14ac:dyDescent="0.25">
      <c r="J52" s="198" t="s">
        <v>21</v>
      </c>
      <c r="K52" s="198"/>
      <c r="L52" s="198"/>
      <c r="M52" s="198"/>
      <c r="P52" s="198" t="s">
        <v>27</v>
      </c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</row>
    <row r="53" spans="2:27" ht="15" customHeight="1" x14ac:dyDescent="0.25">
      <c r="B53" s="70" t="s">
        <v>0</v>
      </c>
      <c r="C53" s="70"/>
      <c r="J53" s="198"/>
      <c r="K53" s="198"/>
      <c r="L53" s="198"/>
      <c r="M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</row>
    <row r="54" spans="2:27" ht="15.75" customHeight="1" thickBot="1" x14ac:dyDescent="0.3">
      <c r="B54" s="70"/>
      <c r="C54" s="70"/>
      <c r="J54" s="198"/>
      <c r="K54" s="198"/>
      <c r="L54" s="198"/>
      <c r="M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</row>
    <row r="55" spans="2:27" ht="15.75" thickBot="1" x14ac:dyDescent="0.3">
      <c r="B55" s="185" t="s">
        <v>40</v>
      </c>
      <c r="C55" s="186"/>
      <c r="D55" s="186"/>
      <c r="E55" s="186"/>
      <c r="F55" s="186"/>
      <c r="G55" s="187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</row>
    <row r="56" spans="2:27" ht="15.75" thickBot="1" x14ac:dyDescent="0.3">
      <c r="B56" s="188"/>
      <c r="C56" s="191"/>
      <c r="D56" s="194" t="s">
        <v>19</v>
      </c>
      <c r="E56" s="194"/>
      <c r="F56" s="194"/>
      <c r="G56" s="106" t="s">
        <v>20</v>
      </c>
      <c r="H56" s="105"/>
      <c r="I56" s="105"/>
      <c r="J56" s="195" t="s">
        <v>21</v>
      </c>
      <c r="K56" s="196"/>
      <c r="L56" s="196"/>
      <c r="M56" s="197"/>
      <c r="N56" s="105"/>
      <c r="O56" s="105"/>
      <c r="P56" s="166" t="s">
        <v>16</v>
      </c>
      <c r="Q56" s="167"/>
      <c r="R56" s="167"/>
      <c r="S56" s="167"/>
      <c r="T56" s="167"/>
      <c r="U56" s="167"/>
      <c r="V56" s="168"/>
      <c r="W56" s="105"/>
      <c r="X56" s="169" t="s">
        <v>44</v>
      </c>
      <c r="Y56" s="170"/>
      <c r="Z56" s="170"/>
      <c r="AA56" s="171"/>
    </row>
    <row r="57" spans="2:27" ht="60" customHeight="1" x14ac:dyDescent="0.25">
      <c r="B57" s="189"/>
      <c r="C57" s="192"/>
      <c r="D57" s="4" t="s">
        <v>11</v>
      </c>
      <c r="E57" s="57" t="s">
        <v>12</v>
      </c>
      <c r="F57" s="57" t="s">
        <v>13</v>
      </c>
      <c r="G57" s="8" t="s">
        <v>11</v>
      </c>
      <c r="H57" s="75"/>
      <c r="I57" s="172" t="s">
        <v>45</v>
      </c>
      <c r="J57" s="11" t="s">
        <v>62</v>
      </c>
      <c r="K57" s="11" t="s">
        <v>12</v>
      </c>
      <c r="L57" s="61" t="s">
        <v>13</v>
      </c>
      <c r="M57" s="12" t="s">
        <v>61</v>
      </c>
      <c r="N57" s="75"/>
      <c r="O57" s="174" t="s">
        <v>45</v>
      </c>
      <c r="P57" s="11" t="s">
        <v>11</v>
      </c>
      <c r="Q57" s="11" t="s">
        <v>12</v>
      </c>
      <c r="R57" s="61" t="s">
        <v>13</v>
      </c>
      <c r="S57" s="96"/>
      <c r="T57" s="11" t="s">
        <v>22</v>
      </c>
      <c r="U57" s="11" t="s">
        <v>23</v>
      </c>
      <c r="V57" s="12" t="s">
        <v>24</v>
      </c>
      <c r="W57" s="105"/>
      <c r="X57" s="176" t="s">
        <v>28</v>
      </c>
      <c r="Y57" s="178" t="s">
        <v>41</v>
      </c>
      <c r="Z57" s="183" t="s">
        <v>42</v>
      </c>
      <c r="AA57" s="180" t="s">
        <v>43</v>
      </c>
    </row>
    <row r="58" spans="2:27" ht="15.75" thickBot="1" x14ac:dyDescent="0.3">
      <c r="B58" s="200"/>
      <c r="C58" s="201"/>
      <c r="D58" s="77">
        <v>30</v>
      </c>
      <c r="E58" s="58">
        <v>10</v>
      </c>
      <c r="F58" s="67">
        <v>1</v>
      </c>
      <c r="G58" s="68">
        <v>75</v>
      </c>
      <c r="H58" s="75"/>
      <c r="I58" s="173"/>
      <c r="J58" s="76">
        <v>30</v>
      </c>
      <c r="K58" s="76">
        <v>10</v>
      </c>
      <c r="L58" s="58">
        <v>1</v>
      </c>
      <c r="M58" s="13">
        <v>75</v>
      </c>
      <c r="N58" s="75"/>
      <c r="O58" s="175"/>
      <c r="P58" s="182" t="s">
        <v>39</v>
      </c>
      <c r="Q58" s="182"/>
      <c r="R58" s="182"/>
      <c r="S58" s="101"/>
      <c r="T58" s="73" t="s">
        <v>37</v>
      </c>
      <c r="U58" s="73" t="s">
        <v>38</v>
      </c>
      <c r="V58" s="74" t="s">
        <v>38</v>
      </c>
      <c r="W58" s="105"/>
      <c r="X58" s="177"/>
      <c r="Y58" s="179"/>
      <c r="Z58" s="184"/>
      <c r="AA58" s="181"/>
    </row>
    <row r="59" spans="2:27" x14ac:dyDescent="0.25">
      <c r="B59" s="90" t="s">
        <v>56</v>
      </c>
      <c r="C59" s="98" t="s">
        <v>18</v>
      </c>
      <c r="D59" s="66">
        <v>0.16955000000000001</v>
      </c>
      <c r="E59" s="59"/>
      <c r="F59" s="60"/>
      <c r="G59" s="9">
        <v>2.9869300000000001</v>
      </c>
      <c r="H59" s="6"/>
      <c r="I59" s="87" t="s">
        <v>56</v>
      </c>
      <c r="J59" s="78">
        <f>D59/$J$11</f>
        <v>5.6516666666666668E-3</v>
      </c>
      <c r="K59" s="140">
        <f>E59/$K$11</f>
        <v>0</v>
      </c>
      <c r="L59" s="81">
        <f>F59/$L$11</f>
        <v>0</v>
      </c>
      <c r="M59" s="82">
        <f>G59/$M$11</f>
        <v>3.9825733333333335E-2</v>
      </c>
      <c r="N59" s="6"/>
      <c r="O59" s="87" t="s">
        <v>56</v>
      </c>
      <c r="P59" s="56">
        <f>D59*IF(C59="Woodland",'Supporting Info'!$F$6,'Supporting Info'!$G$6)*(3600*24*365*10000/1000000000)</f>
        <v>8.0203932000000006E-2</v>
      </c>
      <c r="Q59" s="56">
        <f>E59*IF(C59="Woodland",'Supporting Info'!$F$7,'Supporting Info'!$G$7)*(3600*24*365*10000/1000000000)</f>
        <v>0</v>
      </c>
      <c r="R59" s="62">
        <f>F59*IF(C59="Woodland",'Supporting Info'!$F$8,'Supporting Info'!$G$8)*(3600*24*365*10000/1000000000)</f>
        <v>0</v>
      </c>
      <c r="S59" s="96"/>
      <c r="T59" s="56">
        <f>P59*(14/46)+R59*(14/17)</f>
        <v>2.440989234782609E-2</v>
      </c>
      <c r="U59" s="56">
        <f>P59/46+R59/17</f>
        <v>1.7435637391304349E-3</v>
      </c>
      <c r="V59" s="97">
        <f>2*Q59/64</f>
        <v>0</v>
      </c>
      <c r="W59" s="105"/>
      <c r="X59" s="87" t="s">
        <v>56</v>
      </c>
      <c r="Y59" s="88">
        <f>T59/'Critical Loads '!$D$5</f>
        <v>4.8819784695652178E-3</v>
      </c>
      <c r="Z59" s="89">
        <f>U59+V59</f>
        <v>1.7435637391304349E-3</v>
      </c>
      <c r="AA59" s="91">
        <f>Z59/'Critical Loads '!$F$5</f>
        <v>1.1942217391304349E-3</v>
      </c>
    </row>
    <row r="60" spans="2:27" x14ac:dyDescent="0.25">
      <c r="B60" s="90" t="s">
        <v>57</v>
      </c>
      <c r="C60" s="98" t="s">
        <v>18</v>
      </c>
      <c r="D60" s="66">
        <v>0.16228999999999999</v>
      </c>
      <c r="E60" s="60"/>
      <c r="F60" s="60"/>
      <c r="G60" s="9">
        <v>2.2960099999999999</v>
      </c>
      <c r="H60" s="6"/>
      <c r="I60" s="90" t="s">
        <v>57</v>
      </c>
      <c r="J60" s="79">
        <f>D60/$J$11</f>
        <v>5.4096666666666659E-3</v>
      </c>
      <c r="K60" s="119">
        <f t="shared" ref="K60:K63" si="30">E60/$K$11</f>
        <v>0</v>
      </c>
      <c r="L60" s="83">
        <f t="shared" ref="L60:L63" si="31">F60/$L$11</f>
        <v>0</v>
      </c>
      <c r="M60" s="84">
        <f t="shared" ref="M60:M63" si="32">G60/$M$11</f>
        <v>3.0613466666666665E-2</v>
      </c>
      <c r="N60" s="6"/>
      <c r="O60" s="90" t="s">
        <v>57</v>
      </c>
      <c r="P60" s="5">
        <f>D60*IF(C60="Woodland",'Supporting Info'!$F$6,'Supporting Info'!$G$6)*(3600*24*365*10000/1000000000)</f>
        <v>7.6769661599999997E-2</v>
      </c>
      <c r="Q60" s="5">
        <f>E60*IF(C60="Woodland",'Supporting Info'!$F$7,'Supporting Info'!$G$7)*(3600*24*365*10000/1000000000)</f>
        <v>0</v>
      </c>
      <c r="R60" s="63">
        <f>F60*IF(C60="Woodland",'Supporting Info'!$F$8,'Supporting Info'!$G$8)*(3600*24*365*10000/1000000000)</f>
        <v>0</v>
      </c>
      <c r="S60" s="98"/>
      <c r="T60" s="99">
        <f t="shared" ref="T60:T63" si="33">P60*(14/46)+R60*(14/17)</f>
        <v>2.3364679617391304E-2</v>
      </c>
      <c r="U60" s="99">
        <f t="shared" ref="U60:U63" si="34">P60/46+R60/17</f>
        <v>1.6689056869565217E-3</v>
      </c>
      <c r="V60" s="100">
        <f t="shared" ref="V60:V63" si="35">2*Q60/64</f>
        <v>0</v>
      </c>
      <c r="W60" s="105"/>
      <c r="X60" s="90" t="s">
        <v>57</v>
      </c>
      <c r="Y60" s="91">
        <f>T60/'Critical Loads '!$D$5</f>
        <v>4.6729359234782605E-3</v>
      </c>
      <c r="Z60" s="92">
        <f t="shared" ref="Z60:Z63" si="36">U60+V60</f>
        <v>1.6689056869565217E-3</v>
      </c>
      <c r="AA60" s="91">
        <f>Z60/'Critical Loads '!$F$5</f>
        <v>1.1430860869565218E-3</v>
      </c>
    </row>
    <row r="61" spans="2:27" x14ac:dyDescent="0.25">
      <c r="B61" s="90" t="s">
        <v>58</v>
      </c>
      <c r="C61" s="98" t="s">
        <v>18</v>
      </c>
      <c r="D61" s="66">
        <v>0.15204999999999999</v>
      </c>
      <c r="E61" s="60"/>
      <c r="F61" s="60"/>
      <c r="G61" s="9">
        <v>1.55017</v>
      </c>
      <c r="H61" s="6"/>
      <c r="I61" s="90" t="s">
        <v>58</v>
      </c>
      <c r="J61" s="79">
        <f>D61/$J$11</f>
        <v>5.0683333333333327E-3</v>
      </c>
      <c r="K61" s="119">
        <f t="shared" si="30"/>
        <v>0</v>
      </c>
      <c r="L61" s="83">
        <f t="shared" si="31"/>
        <v>0</v>
      </c>
      <c r="M61" s="84">
        <f t="shared" si="32"/>
        <v>2.0668933333333334E-2</v>
      </c>
      <c r="N61" s="6"/>
      <c r="O61" s="90" t="s">
        <v>58</v>
      </c>
      <c r="P61" s="5">
        <f>D61*IF(C61="Woodland",'Supporting Info'!$F$6,'Supporting Info'!$G$6)*(3600*24*365*10000/1000000000)</f>
        <v>7.1925732000000006E-2</v>
      </c>
      <c r="Q61" s="5">
        <f>E61*IF(C61="Woodland",'Supporting Info'!$F$7,'Supporting Info'!$G$7)*(3600*24*365*10000/1000000000)</f>
        <v>0</v>
      </c>
      <c r="R61" s="63">
        <f>F61*IF(C61="Woodland",'Supporting Info'!$F$8,'Supporting Info'!$G$8)*(3600*24*365*10000/1000000000)</f>
        <v>0</v>
      </c>
      <c r="S61" s="98"/>
      <c r="T61" s="99">
        <f t="shared" si="33"/>
        <v>2.1890440173913048E-2</v>
      </c>
      <c r="U61" s="99">
        <f t="shared" si="34"/>
        <v>1.5636028695652174E-3</v>
      </c>
      <c r="V61" s="100">
        <f t="shared" si="35"/>
        <v>0</v>
      </c>
      <c r="W61" s="105"/>
      <c r="X61" s="90" t="s">
        <v>58</v>
      </c>
      <c r="Y61" s="91">
        <f>T61/'Critical Loads '!$D$5</f>
        <v>4.3780880347826095E-3</v>
      </c>
      <c r="Z61" s="92">
        <f t="shared" si="36"/>
        <v>1.5636028695652174E-3</v>
      </c>
      <c r="AA61" s="91">
        <f>Z61/'Critical Loads '!$F$5</f>
        <v>1.0709608695652175E-3</v>
      </c>
    </row>
    <row r="62" spans="2:27" x14ac:dyDescent="0.25">
      <c r="B62" s="90" t="s">
        <v>59</v>
      </c>
      <c r="C62" s="98" t="s">
        <v>18</v>
      </c>
      <c r="D62" s="66">
        <v>0.19611000000000001</v>
      </c>
      <c r="E62" s="60"/>
      <c r="F62" s="60"/>
      <c r="G62" s="9">
        <v>2.4714</v>
      </c>
      <c r="H62" s="6"/>
      <c r="I62" s="90" t="s">
        <v>59</v>
      </c>
      <c r="J62" s="79">
        <f>D62/$J$11</f>
        <v>6.5370000000000003E-3</v>
      </c>
      <c r="K62" s="119">
        <f t="shared" si="30"/>
        <v>0</v>
      </c>
      <c r="L62" s="83">
        <f t="shared" si="31"/>
        <v>0</v>
      </c>
      <c r="M62" s="84">
        <f t="shared" si="32"/>
        <v>3.2952000000000002E-2</v>
      </c>
      <c r="N62" s="6"/>
      <c r="O62" s="90" t="s">
        <v>59</v>
      </c>
      <c r="P62" s="5">
        <f>D62*IF(C62="Woodland",'Supporting Info'!$F$6,'Supporting Info'!$G$6)*(3600*24*365*10000/1000000000)</f>
        <v>9.2767874400000019E-2</v>
      </c>
      <c r="Q62" s="5">
        <f>E62*IF(C62="Woodland",'Supporting Info'!$F$7,'Supporting Info'!$G$7)*(3600*24*365*10000/1000000000)</f>
        <v>0</v>
      </c>
      <c r="R62" s="63">
        <f>F62*IF(C62="Woodland",'Supporting Info'!$F$8,'Supporting Info'!$G$8)*(3600*24*365*10000/1000000000)</f>
        <v>0</v>
      </c>
      <c r="S62" s="98"/>
      <c r="T62" s="99">
        <f t="shared" si="33"/>
        <v>2.8233700904347833E-2</v>
      </c>
      <c r="U62" s="99">
        <f t="shared" si="34"/>
        <v>2.0166929217391308E-3</v>
      </c>
      <c r="V62" s="100">
        <f t="shared" si="35"/>
        <v>0</v>
      </c>
      <c r="W62" s="105"/>
      <c r="X62" s="90" t="s">
        <v>59</v>
      </c>
      <c r="Y62" s="91">
        <f>T62/'Critical Loads '!$D$5</f>
        <v>5.6467401808695666E-3</v>
      </c>
      <c r="Z62" s="92">
        <f t="shared" si="36"/>
        <v>2.0166929217391308E-3</v>
      </c>
      <c r="AA62" s="91">
        <f>Z62/'Critical Loads '!$F$5</f>
        <v>1.3812965217391308E-3</v>
      </c>
    </row>
    <row r="63" spans="2:27" x14ac:dyDescent="0.25">
      <c r="B63" s="90" t="s">
        <v>60</v>
      </c>
      <c r="C63" s="98" t="s">
        <v>18</v>
      </c>
      <c r="D63" s="66">
        <v>0.20114000000000001</v>
      </c>
      <c r="E63" s="60"/>
      <c r="F63" s="60"/>
      <c r="G63" s="9">
        <v>2.3495300000000001</v>
      </c>
      <c r="H63" s="6"/>
      <c r="I63" s="90" t="s">
        <v>60</v>
      </c>
      <c r="J63" s="79">
        <f>D63/$J$11</f>
        <v>6.7046666666666669E-3</v>
      </c>
      <c r="K63" s="119">
        <f t="shared" si="30"/>
        <v>0</v>
      </c>
      <c r="L63" s="83">
        <f t="shared" si="31"/>
        <v>0</v>
      </c>
      <c r="M63" s="84">
        <f t="shared" si="32"/>
        <v>3.1327066666666667E-2</v>
      </c>
      <c r="N63" s="6"/>
      <c r="O63" s="90" t="s">
        <v>60</v>
      </c>
      <c r="P63" s="5">
        <f>D63*IF(C63="Woodland",'Supporting Info'!$F$6,'Supporting Info'!$G$6)*(3600*24*365*10000/1000000000)</f>
        <v>9.5147265600000003E-2</v>
      </c>
      <c r="Q63" s="5">
        <f>E63*IF(C63="Woodland",'Supporting Info'!$F$7,'Supporting Info'!$G$7)*(3600*24*365*10000/1000000000)</f>
        <v>0</v>
      </c>
      <c r="R63" s="63">
        <f>F63*IF(C63="Woodland",'Supporting Info'!$F$8,'Supporting Info'!$G$8)*(3600*24*365*10000/1000000000)</f>
        <v>0</v>
      </c>
      <c r="S63" s="98"/>
      <c r="T63" s="5">
        <f t="shared" si="33"/>
        <v>2.8957863443478265E-2</v>
      </c>
      <c r="U63" s="5">
        <f t="shared" si="34"/>
        <v>2.0684188173913042E-3</v>
      </c>
      <c r="V63" s="109">
        <f t="shared" si="35"/>
        <v>0</v>
      </c>
      <c r="W63" s="105"/>
      <c r="X63" s="90" t="s">
        <v>60</v>
      </c>
      <c r="Y63" s="91">
        <f>T63/'Critical Loads '!$D$5</f>
        <v>5.7915726886956526E-3</v>
      </c>
      <c r="Z63" s="92">
        <f t="shared" si="36"/>
        <v>2.0684188173913042E-3</v>
      </c>
      <c r="AA63" s="91">
        <f>Z63/'Critical Loads '!$F$5</f>
        <v>1.4167252173913044E-3</v>
      </c>
    </row>
    <row r="64" spans="2:27" x14ac:dyDescent="0.25">
      <c r="B64" s="90" t="s">
        <v>63</v>
      </c>
      <c r="C64" s="98" t="s">
        <v>18</v>
      </c>
      <c r="D64" s="66">
        <v>0.21102000000000001</v>
      </c>
      <c r="E64" s="60"/>
      <c r="F64" s="60"/>
      <c r="G64" s="9">
        <v>2.3664200000000002</v>
      </c>
      <c r="H64" s="6"/>
      <c r="I64" s="90" t="s">
        <v>63</v>
      </c>
      <c r="J64" s="79">
        <f t="shared" ref="J64:J68" si="37">D64/$J$11</f>
        <v>7.0340000000000003E-3</v>
      </c>
      <c r="K64" s="119">
        <f t="shared" ref="K64:K68" si="38">E64/$K$11</f>
        <v>0</v>
      </c>
      <c r="L64" s="83">
        <f t="shared" ref="L64:L68" si="39">F64/$L$11</f>
        <v>0</v>
      </c>
      <c r="M64" s="84">
        <f t="shared" ref="M64:M68" si="40">G64/$M$11</f>
        <v>3.1552266666666669E-2</v>
      </c>
      <c r="N64" s="6"/>
      <c r="O64" s="90" t="s">
        <v>63</v>
      </c>
      <c r="P64" s="5">
        <f>D64*IF(C64="Woodland",'Supporting Info'!$F$6,'Supporting Info'!$G$6)*(3600*24*365*10000/1000000000)</f>
        <v>9.9820900800000015E-2</v>
      </c>
      <c r="Q64" s="5">
        <f>E64*IF(C64="Woodland",'Supporting Info'!$F$7,'Supporting Info'!$G$7)*(3600*24*365*10000/1000000000)</f>
        <v>0</v>
      </c>
      <c r="R64" s="63">
        <f>F64*IF(C64="Woodland",'Supporting Info'!$F$8,'Supporting Info'!$G$8)*(3600*24*365*10000/1000000000)</f>
        <v>0</v>
      </c>
      <c r="S64" s="98"/>
      <c r="T64" s="5">
        <f t="shared" ref="T64:T68" si="41">P64*(14/46)+R64*(14/17)</f>
        <v>3.0380274156521746E-2</v>
      </c>
      <c r="U64" s="5">
        <f t="shared" ref="U64:U68" si="42">P64/46+R64/17</f>
        <v>2.1700195826086961E-3</v>
      </c>
      <c r="V64" s="109">
        <f t="shared" ref="V64:V68" si="43">2*Q64/64</f>
        <v>0</v>
      </c>
      <c r="W64" s="105"/>
      <c r="X64" s="90" t="s">
        <v>63</v>
      </c>
      <c r="Y64" s="91">
        <f>T64/'Critical Loads '!$D$5</f>
        <v>6.0760548313043491E-3</v>
      </c>
      <c r="Z64" s="92">
        <f t="shared" ref="Z64:Z68" si="44">U64+V64</f>
        <v>2.1700195826086961E-3</v>
      </c>
      <c r="AA64" s="91">
        <f>Z64/'Critical Loads '!$F$5</f>
        <v>1.486314782608696E-3</v>
      </c>
    </row>
    <row r="65" spans="2:27" x14ac:dyDescent="0.25">
      <c r="B65" s="90" t="s">
        <v>64</v>
      </c>
      <c r="C65" s="98" t="s">
        <v>18</v>
      </c>
      <c r="D65" s="66">
        <v>0.19811000000000001</v>
      </c>
      <c r="E65" s="60"/>
      <c r="F65" s="60"/>
      <c r="G65" s="9">
        <v>2.9140999999999999</v>
      </c>
      <c r="H65" s="6"/>
      <c r="I65" s="90" t="s">
        <v>64</v>
      </c>
      <c r="J65" s="79">
        <f t="shared" si="37"/>
        <v>6.6036666666666665E-3</v>
      </c>
      <c r="K65" s="119">
        <f t="shared" si="38"/>
        <v>0</v>
      </c>
      <c r="L65" s="83">
        <f t="shared" si="39"/>
        <v>0</v>
      </c>
      <c r="M65" s="84">
        <f t="shared" si="40"/>
        <v>3.8854666666666662E-2</v>
      </c>
      <c r="N65" s="6"/>
      <c r="O65" s="90" t="s">
        <v>64</v>
      </c>
      <c r="P65" s="5">
        <f>D65*IF(C65="Woodland",'Supporting Info'!$F$6,'Supporting Info'!$G$6)*(3600*24*365*10000/1000000000)</f>
        <v>9.3713954400000007E-2</v>
      </c>
      <c r="Q65" s="5">
        <f>E65*IF(C65="Woodland",'Supporting Info'!$F$7,'Supporting Info'!$G$7)*(3600*24*365*10000/1000000000)</f>
        <v>0</v>
      </c>
      <c r="R65" s="63">
        <f>F65*IF(C65="Woodland",'Supporting Info'!$F$8,'Supporting Info'!$G$8)*(3600*24*365*10000/1000000000)</f>
        <v>0</v>
      </c>
      <c r="S65" s="98"/>
      <c r="T65" s="5">
        <f t="shared" si="41"/>
        <v>2.8521638295652178E-2</v>
      </c>
      <c r="U65" s="5">
        <f t="shared" si="42"/>
        <v>2.0372598782608699E-3</v>
      </c>
      <c r="V65" s="109">
        <f t="shared" si="43"/>
        <v>0</v>
      </c>
      <c r="W65" s="105"/>
      <c r="X65" s="90" t="s">
        <v>64</v>
      </c>
      <c r="Y65" s="91">
        <f>T65/'Critical Loads '!$D$5</f>
        <v>5.7043276591304355E-3</v>
      </c>
      <c r="Z65" s="92">
        <f t="shared" si="44"/>
        <v>2.0372598782608699E-3</v>
      </c>
      <c r="AA65" s="91">
        <f>Z65/'Critical Loads '!$F$5</f>
        <v>1.3953834782608697E-3</v>
      </c>
    </row>
    <row r="66" spans="2:27" x14ac:dyDescent="0.25">
      <c r="B66" s="90" t="s">
        <v>65</v>
      </c>
      <c r="C66" s="98" t="s">
        <v>18</v>
      </c>
      <c r="D66" s="66">
        <v>0.17346</v>
      </c>
      <c r="E66" s="60"/>
      <c r="F66" s="60"/>
      <c r="G66" s="9">
        <v>1.9815499999999999</v>
      </c>
      <c r="H66" s="6"/>
      <c r="I66" s="90" t="s">
        <v>65</v>
      </c>
      <c r="J66" s="79">
        <f t="shared" si="37"/>
        <v>5.7819999999999998E-3</v>
      </c>
      <c r="K66" s="119">
        <f t="shared" si="38"/>
        <v>0</v>
      </c>
      <c r="L66" s="83">
        <f t="shared" si="39"/>
        <v>0</v>
      </c>
      <c r="M66" s="84">
        <f t="shared" si="40"/>
        <v>2.6420666666666665E-2</v>
      </c>
      <c r="N66" s="6"/>
      <c r="O66" s="90" t="s">
        <v>65</v>
      </c>
      <c r="P66" s="5">
        <f>D66*IF(C66="Woodland",'Supporting Info'!$F$6,'Supporting Info'!$G$6)*(3600*24*365*10000/1000000000)</f>
        <v>8.2053518399999997E-2</v>
      </c>
      <c r="Q66" s="5">
        <f>E66*IF(C66="Woodland",'Supporting Info'!$F$7,'Supporting Info'!$G$7)*(3600*24*365*10000/1000000000)</f>
        <v>0</v>
      </c>
      <c r="R66" s="63">
        <f>F66*IF(C66="Woodland",'Supporting Info'!$F$8,'Supporting Info'!$G$8)*(3600*24*365*10000/1000000000)</f>
        <v>0</v>
      </c>
      <c r="S66" s="98"/>
      <c r="T66" s="5">
        <f t="shared" si="41"/>
        <v>2.4972809947826087E-2</v>
      </c>
      <c r="U66" s="5">
        <f t="shared" si="42"/>
        <v>1.7837721391304347E-3</v>
      </c>
      <c r="V66" s="109">
        <f t="shared" si="43"/>
        <v>0</v>
      </c>
      <c r="W66" s="105"/>
      <c r="X66" s="90" t="s">
        <v>65</v>
      </c>
      <c r="Y66" s="91">
        <f>T66/'Critical Loads '!$D$5</f>
        <v>4.9945619895652178E-3</v>
      </c>
      <c r="Z66" s="92">
        <f t="shared" si="44"/>
        <v>1.7837721391304347E-3</v>
      </c>
      <c r="AA66" s="91">
        <f>Z66/'Critical Loads '!$F$5</f>
        <v>1.2217617391304348E-3</v>
      </c>
    </row>
    <row r="67" spans="2:27" x14ac:dyDescent="0.25">
      <c r="B67" s="90" t="s">
        <v>66</v>
      </c>
      <c r="C67" s="98" t="s">
        <v>18</v>
      </c>
      <c r="D67" s="66">
        <v>0.16012000000000001</v>
      </c>
      <c r="E67" s="60"/>
      <c r="F67" s="60"/>
      <c r="G67" s="9">
        <v>2.7230599999999998</v>
      </c>
      <c r="H67" s="6"/>
      <c r="I67" s="90" t="s">
        <v>66</v>
      </c>
      <c r="J67" s="79">
        <f t="shared" si="37"/>
        <v>5.3373333333333337E-3</v>
      </c>
      <c r="K67" s="119">
        <f t="shared" si="38"/>
        <v>0</v>
      </c>
      <c r="L67" s="83">
        <f t="shared" si="39"/>
        <v>0</v>
      </c>
      <c r="M67" s="84">
        <f t="shared" si="40"/>
        <v>3.6307466666666663E-2</v>
      </c>
      <c r="N67" s="6"/>
      <c r="O67" s="90" t="s">
        <v>66</v>
      </c>
      <c r="P67" s="5">
        <f>D67*IF(C67="Woodland",'Supporting Info'!$F$6,'Supporting Info'!$G$6)*(3600*24*365*10000/1000000000)</f>
        <v>7.5743164800000012E-2</v>
      </c>
      <c r="Q67" s="5">
        <f>E67*IF(C67="Woodland",'Supporting Info'!$F$7,'Supporting Info'!$G$7)*(3600*24*365*10000/1000000000)</f>
        <v>0</v>
      </c>
      <c r="R67" s="63">
        <f>F67*IF(C67="Woodland",'Supporting Info'!$F$8,'Supporting Info'!$G$8)*(3600*24*365*10000/1000000000)</f>
        <v>0</v>
      </c>
      <c r="S67" s="98"/>
      <c r="T67" s="5">
        <f t="shared" si="41"/>
        <v>2.3052267547826091E-2</v>
      </c>
      <c r="U67" s="5">
        <f t="shared" si="42"/>
        <v>1.646590539130435E-3</v>
      </c>
      <c r="V67" s="109">
        <f t="shared" si="43"/>
        <v>0</v>
      </c>
      <c r="W67" s="105"/>
      <c r="X67" s="90" t="s">
        <v>66</v>
      </c>
      <c r="Y67" s="91">
        <f>T67/'Critical Loads '!$D$5</f>
        <v>4.6104535095652186E-3</v>
      </c>
      <c r="Z67" s="92">
        <f t="shared" si="44"/>
        <v>1.646590539130435E-3</v>
      </c>
      <c r="AA67" s="91">
        <f>Z67/'Critical Loads '!$F$5</f>
        <v>1.1278017391304349E-3</v>
      </c>
    </row>
    <row r="68" spans="2:27" x14ac:dyDescent="0.25">
      <c r="B68" s="90" t="s">
        <v>67</v>
      </c>
      <c r="C68" s="98" t="s">
        <v>18</v>
      </c>
      <c r="D68" s="66">
        <v>0.22731000000000001</v>
      </c>
      <c r="E68" s="60"/>
      <c r="F68" s="60"/>
      <c r="G68" s="9">
        <v>2.07708</v>
      </c>
      <c r="H68" s="6"/>
      <c r="I68" s="90" t="s">
        <v>67</v>
      </c>
      <c r="J68" s="79">
        <f t="shared" si="37"/>
        <v>7.5770000000000004E-3</v>
      </c>
      <c r="K68" s="119">
        <f t="shared" si="38"/>
        <v>0</v>
      </c>
      <c r="L68" s="83">
        <f t="shared" si="39"/>
        <v>0</v>
      </c>
      <c r="M68" s="84">
        <f t="shared" si="40"/>
        <v>2.7694400000000001E-2</v>
      </c>
      <c r="N68" s="6"/>
      <c r="O68" s="90" t="s">
        <v>67</v>
      </c>
      <c r="P68" s="5">
        <f>D68*IF(C68="Woodland",'Supporting Info'!$F$6,'Supporting Info'!$G$6)*(3600*24*365*10000/1000000000)</f>
        <v>0.10752672240000001</v>
      </c>
      <c r="Q68" s="5">
        <f>E68*IF(C68="Woodland",'Supporting Info'!$F$7,'Supporting Info'!$G$7)*(3600*24*365*10000/1000000000)</f>
        <v>0</v>
      </c>
      <c r="R68" s="63">
        <f>F68*IF(C68="Woodland",'Supporting Info'!$F$8,'Supporting Info'!$G$8)*(3600*24*365*10000/1000000000)</f>
        <v>0</v>
      </c>
      <c r="S68" s="98"/>
      <c r="T68" s="5">
        <f t="shared" si="41"/>
        <v>3.2725524208695657E-2</v>
      </c>
      <c r="U68" s="5">
        <f t="shared" si="42"/>
        <v>2.3375374434782613E-3</v>
      </c>
      <c r="V68" s="109">
        <f t="shared" si="43"/>
        <v>0</v>
      </c>
      <c r="W68" s="105"/>
      <c r="X68" s="90" t="s">
        <v>67</v>
      </c>
      <c r="Y68" s="91">
        <f>T68/'Critical Loads '!$D$5</f>
        <v>6.545104841739131E-3</v>
      </c>
      <c r="Z68" s="92">
        <f t="shared" si="44"/>
        <v>2.3375374434782613E-3</v>
      </c>
      <c r="AA68" s="91">
        <f>Z68/'Critical Loads '!$F$5</f>
        <v>1.6010530434782612E-3</v>
      </c>
    </row>
    <row r="74" spans="2:27" ht="18.75" x14ac:dyDescent="0.25">
      <c r="B74" s="199">
        <v>2023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</row>
    <row r="77" spans="2:27" ht="15" customHeight="1" x14ac:dyDescent="0.25">
      <c r="J77" s="198" t="s">
        <v>21</v>
      </c>
      <c r="K77" s="198"/>
      <c r="L77" s="198"/>
      <c r="M77" s="198"/>
      <c r="P77" s="198" t="s">
        <v>27</v>
      </c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</row>
    <row r="78" spans="2:27" ht="15" customHeight="1" x14ac:dyDescent="0.25">
      <c r="B78" s="70" t="s">
        <v>0</v>
      </c>
      <c r="C78" s="70"/>
      <c r="J78" s="198"/>
      <c r="K78" s="198"/>
      <c r="L78" s="198"/>
      <c r="M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</row>
    <row r="79" spans="2:27" ht="15.75" customHeight="1" thickBot="1" x14ac:dyDescent="0.3">
      <c r="B79" s="70"/>
      <c r="C79" s="70"/>
      <c r="J79" s="198"/>
      <c r="K79" s="198"/>
      <c r="L79" s="198"/>
      <c r="M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</row>
    <row r="80" spans="2:27" ht="15.75" thickBot="1" x14ac:dyDescent="0.3">
      <c r="B80" s="185" t="s">
        <v>40</v>
      </c>
      <c r="C80" s="186"/>
      <c r="D80" s="186"/>
      <c r="E80" s="186"/>
      <c r="F80" s="186"/>
      <c r="G80" s="187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</row>
    <row r="81" spans="2:27" ht="15.75" thickBot="1" x14ac:dyDescent="0.3">
      <c r="B81" s="188"/>
      <c r="C81" s="191"/>
      <c r="D81" s="194" t="s">
        <v>19</v>
      </c>
      <c r="E81" s="194"/>
      <c r="F81" s="194"/>
      <c r="G81" s="106" t="s">
        <v>20</v>
      </c>
      <c r="H81" s="105"/>
      <c r="I81" s="105"/>
      <c r="J81" s="195" t="s">
        <v>21</v>
      </c>
      <c r="K81" s="196"/>
      <c r="L81" s="196"/>
      <c r="M81" s="197"/>
      <c r="N81" s="105"/>
      <c r="O81" s="105"/>
      <c r="P81" s="166" t="s">
        <v>16</v>
      </c>
      <c r="Q81" s="167"/>
      <c r="R81" s="167"/>
      <c r="S81" s="167"/>
      <c r="T81" s="167"/>
      <c r="U81" s="167"/>
      <c r="V81" s="168"/>
      <c r="W81" s="105"/>
      <c r="X81" s="169" t="s">
        <v>44</v>
      </c>
      <c r="Y81" s="170"/>
      <c r="Z81" s="170"/>
      <c r="AA81" s="171"/>
    </row>
    <row r="82" spans="2:27" ht="60" customHeight="1" x14ac:dyDescent="0.25">
      <c r="B82" s="189"/>
      <c r="C82" s="192"/>
      <c r="D82" s="4" t="s">
        <v>11</v>
      </c>
      <c r="E82" s="57" t="s">
        <v>12</v>
      </c>
      <c r="F82" s="57" t="s">
        <v>13</v>
      </c>
      <c r="G82" s="8" t="s">
        <v>11</v>
      </c>
      <c r="H82" s="75"/>
      <c r="I82" s="172" t="s">
        <v>45</v>
      </c>
      <c r="J82" s="11" t="s">
        <v>62</v>
      </c>
      <c r="K82" s="11" t="s">
        <v>12</v>
      </c>
      <c r="L82" s="61" t="s">
        <v>13</v>
      </c>
      <c r="M82" s="12" t="s">
        <v>61</v>
      </c>
      <c r="N82" s="75"/>
      <c r="O82" s="174" t="s">
        <v>45</v>
      </c>
      <c r="P82" s="11" t="s">
        <v>11</v>
      </c>
      <c r="Q82" s="11" t="s">
        <v>12</v>
      </c>
      <c r="R82" s="61" t="s">
        <v>13</v>
      </c>
      <c r="S82" s="96"/>
      <c r="T82" s="11" t="s">
        <v>22</v>
      </c>
      <c r="U82" s="11" t="s">
        <v>23</v>
      </c>
      <c r="V82" s="12" t="s">
        <v>24</v>
      </c>
      <c r="W82" s="105"/>
      <c r="X82" s="176" t="s">
        <v>28</v>
      </c>
      <c r="Y82" s="178" t="s">
        <v>41</v>
      </c>
      <c r="Z82" s="183" t="s">
        <v>42</v>
      </c>
      <c r="AA82" s="180" t="s">
        <v>43</v>
      </c>
    </row>
    <row r="83" spans="2:27" ht="15.75" thickBot="1" x14ac:dyDescent="0.3">
      <c r="B83" s="190"/>
      <c r="C83" s="193"/>
      <c r="D83" s="76">
        <v>30</v>
      </c>
      <c r="E83" s="58">
        <v>10</v>
      </c>
      <c r="F83" s="58">
        <v>1</v>
      </c>
      <c r="G83" s="13">
        <v>75</v>
      </c>
      <c r="H83" s="75"/>
      <c r="I83" s="173"/>
      <c r="J83" s="76">
        <v>30</v>
      </c>
      <c r="K83" s="76">
        <v>10</v>
      </c>
      <c r="L83" s="58">
        <v>1</v>
      </c>
      <c r="M83" s="13">
        <v>75</v>
      </c>
      <c r="N83" s="75"/>
      <c r="O83" s="175"/>
      <c r="P83" s="182" t="s">
        <v>39</v>
      </c>
      <c r="Q83" s="182"/>
      <c r="R83" s="182"/>
      <c r="S83" s="101"/>
      <c r="T83" s="73" t="s">
        <v>37</v>
      </c>
      <c r="U83" s="73" t="s">
        <v>38</v>
      </c>
      <c r="V83" s="74" t="s">
        <v>38</v>
      </c>
      <c r="W83" s="105"/>
      <c r="X83" s="177"/>
      <c r="Y83" s="179"/>
      <c r="Z83" s="184"/>
      <c r="AA83" s="181"/>
    </row>
    <row r="84" spans="2:27" x14ac:dyDescent="0.25">
      <c r="B84" s="87" t="s">
        <v>56</v>
      </c>
      <c r="C84" s="96" t="s">
        <v>18</v>
      </c>
      <c r="D84" s="65">
        <v>0.14965999999999999</v>
      </c>
      <c r="E84" s="59"/>
      <c r="F84" s="59"/>
      <c r="G84" s="17">
        <v>1.91858</v>
      </c>
      <c r="H84" s="6"/>
      <c r="I84" s="87" t="s">
        <v>56</v>
      </c>
      <c r="J84" s="78">
        <f>D84/$J$11</f>
        <v>4.9886666666666664E-3</v>
      </c>
      <c r="K84" s="140">
        <f>E84/$K$11</f>
        <v>0</v>
      </c>
      <c r="L84" s="81">
        <f>F84/$L$11</f>
        <v>0</v>
      </c>
      <c r="M84" s="82">
        <f>G84/$M$11</f>
        <v>2.5581066666666666E-2</v>
      </c>
      <c r="N84" s="6"/>
      <c r="O84" s="87" t="s">
        <v>56</v>
      </c>
      <c r="P84" s="56">
        <f>D84*IF(C84="Woodland",'Supporting Info'!$F$6,'Supporting Info'!$G$6)*(3600*24*365*10000/1000000000)</f>
        <v>7.0795166399999998E-2</v>
      </c>
      <c r="Q84" s="56">
        <f>E84*IF(C84="Woodland",'Supporting Info'!$F$7,'Supporting Info'!$G$7)*(3600*24*365*10000/1000000000)</f>
        <v>0</v>
      </c>
      <c r="R84" s="62">
        <f>F84*IF(C84="Woodland",'Supporting Info'!$F$8,'Supporting Info'!$G$8)*(3600*24*365*10000/1000000000)</f>
        <v>0</v>
      </c>
      <c r="S84" s="96"/>
      <c r="T84" s="56">
        <f>P84*(14/46)+R84*(14/17)</f>
        <v>2.1546354991304348E-2</v>
      </c>
      <c r="U84" s="56">
        <f>P84/46+R84/17</f>
        <v>1.5390253565217391E-3</v>
      </c>
      <c r="V84" s="97">
        <f>2*Q84/64</f>
        <v>0</v>
      </c>
      <c r="W84" s="105"/>
      <c r="X84" s="87" t="s">
        <v>56</v>
      </c>
      <c r="Y84" s="88">
        <f>T84/'Critical Loads '!$D$5</f>
        <v>4.3092709982608694E-3</v>
      </c>
      <c r="Z84" s="89">
        <f>U84+V84</f>
        <v>1.5390253565217391E-3</v>
      </c>
      <c r="AA84" s="91">
        <f>Z84/'Critical Loads '!$F$5</f>
        <v>1.054126956521739E-3</v>
      </c>
    </row>
    <row r="85" spans="2:27" x14ac:dyDescent="0.25">
      <c r="B85" s="90" t="s">
        <v>57</v>
      </c>
      <c r="C85" s="104" t="s">
        <v>18</v>
      </c>
      <c r="D85" s="66">
        <v>0.15103</v>
      </c>
      <c r="E85" s="60"/>
      <c r="F85" s="60"/>
      <c r="G85" s="9">
        <v>2.3146</v>
      </c>
      <c r="H85" s="6"/>
      <c r="I85" s="90" t="s">
        <v>57</v>
      </c>
      <c r="J85" s="79">
        <f>D85/$J$11</f>
        <v>5.0343333333333334E-3</v>
      </c>
      <c r="K85" s="119">
        <f t="shared" ref="K85:K88" si="45">E85/$K$11</f>
        <v>0</v>
      </c>
      <c r="L85" s="83">
        <f t="shared" ref="L85:L88" si="46">F85/$L$11</f>
        <v>0</v>
      </c>
      <c r="M85" s="84">
        <f t="shared" ref="M85:M88" si="47">G85/$M$11</f>
        <v>3.0861333333333334E-2</v>
      </c>
      <c r="N85" s="6"/>
      <c r="O85" s="90" t="s">
        <v>57</v>
      </c>
      <c r="P85" s="5">
        <f>D85*IF(C85="Woodland",'Supporting Info'!$F$6,'Supporting Info'!$G$6)*(3600*24*365*10000/1000000000)</f>
        <v>7.1443231199999999E-2</v>
      </c>
      <c r="Q85" s="5">
        <f>E85*IF(C85="Woodland",'Supporting Info'!$F$7,'Supporting Info'!$G$7)*(3600*24*365*10000/1000000000)</f>
        <v>0</v>
      </c>
      <c r="R85" s="63">
        <f>F85*IF(C85="Woodland",'Supporting Info'!$F$8,'Supporting Info'!$G$8)*(3600*24*365*10000/1000000000)</f>
        <v>0</v>
      </c>
      <c r="S85" s="98"/>
      <c r="T85" s="99">
        <f t="shared" ref="T85:T88" si="48">P85*(14/46)+R85*(14/17)</f>
        <v>2.1743592104347828E-2</v>
      </c>
      <c r="U85" s="99">
        <f t="shared" ref="U85:U88" si="49">P85/46+R85/17</f>
        <v>1.5531137217391303E-3</v>
      </c>
      <c r="V85" s="100">
        <f t="shared" ref="V85:V88" si="50">2*Q85/64</f>
        <v>0</v>
      </c>
      <c r="W85" s="105"/>
      <c r="X85" s="90" t="s">
        <v>57</v>
      </c>
      <c r="Y85" s="91">
        <f>T85/'Critical Loads '!$D$5</f>
        <v>4.3487184208695654E-3</v>
      </c>
      <c r="Z85" s="92">
        <f t="shared" ref="Z85:Z87" si="51">U85+V85</f>
        <v>1.5531137217391303E-3</v>
      </c>
      <c r="AA85" s="91">
        <f>Z85/'Critical Loads '!$F$5</f>
        <v>1.0637765217391304E-3</v>
      </c>
    </row>
    <row r="86" spans="2:27" x14ac:dyDescent="0.25">
      <c r="B86" s="90" t="s">
        <v>58</v>
      </c>
      <c r="C86" s="104" t="s">
        <v>18</v>
      </c>
      <c r="D86" s="66">
        <v>0.14555999999999999</v>
      </c>
      <c r="E86" s="60"/>
      <c r="F86" s="60"/>
      <c r="G86" s="9">
        <v>2.3170199999999999</v>
      </c>
      <c r="H86" s="6"/>
      <c r="I86" s="90" t="s">
        <v>58</v>
      </c>
      <c r="J86" s="79">
        <f>D86/$J$11</f>
        <v>4.8519999999999995E-3</v>
      </c>
      <c r="K86" s="119">
        <f t="shared" si="45"/>
        <v>0</v>
      </c>
      <c r="L86" s="83">
        <f t="shared" si="46"/>
        <v>0</v>
      </c>
      <c r="M86" s="84">
        <f t="shared" si="47"/>
        <v>3.0893599999999997E-2</v>
      </c>
      <c r="N86" s="6"/>
      <c r="O86" s="90" t="s">
        <v>58</v>
      </c>
      <c r="P86" s="5">
        <f>D86*IF(C86="Woodland",'Supporting Info'!$F$6,'Supporting Info'!$G$6)*(3600*24*365*10000/1000000000)</f>
        <v>6.8855702399999996E-2</v>
      </c>
      <c r="Q86" s="5">
        <f>E86*IF(C86="Woodland",'Supporting Info'!$F$7,'Supporting Info'!$G$7)*(3600*24*365*10000/1000000000)</f>
        <v>0</v>
      </c>
      <c r="R86" s="63">
        <f>F86*IF(C86="Woodland",'Supporting Info'!$F$8,'Supporting Info'!$G$8)*(3600*24*365*10000/1000000000)</f>
        <v>0</v>
      </c>
      <c r="S86" s="98"/>
      <c r="T86" s="99">
        <f t="shared" si="48"/>
        <v>2.0956083339130436E-2</v>
      </c>
      <c r="U86" s="99">
        <f t="shared" si="49"/>
        <v>1.4968630956521739E-3</v>
      </c>
      <c r="V86" s="100">
        <f t="shared" si="50"/>
        <v>0</v>
      </c>
      <c r="W86" s="105"/>
      <c r="X86" s="90" t="s">
        <v>58</v>
      </c>
      <c r="Y86" s="91">
        <f>T86/'Critical Loads '!$D$5</f>
        <v>4.1912166678260872E-3</v>
      </c>
      <c r="Z86" s="92">
        <f t="shared" si="51"/>
        <v>1.4968630956521739E-3</v>
      </c>
      <c r="AA86" s="91">
        <f>Z86/'Critical Loads '!$F$5</f>
        <v>1.025248695652174E-3</v>
      </c>
    </row>
    <row r="87" spans="2:27" x14ac:dyDescent="0.25">
      <c r="B87" s="124" t="s">
        <v>59</v>
      </c>
      <c r="C87" s="125" t="s">
        <v>18</v>
      </c>
      <c r="D87" s="126">
        <v>0.20163</v>
      </c>
      <c r="E87" s="60"/>
      <c r="F87" s="127"/>
      <c r="G87" s="128">
        <v>2.3834499999999998</v>
      </c>
      <c r="H87" s="6"/>
      <c r="I87" s="124" t="s">
        <v>59</v>
      </c>
      <c r="J87" s="129">
        <f>D87/$J$11</f>
        <v>6.7210000000000004E-3</v>
      </c>
      <c r="K87" s="142">
        <f t="shared" si="45"/>
        <v>0</v>
      </c>
      <c r="L87" s="130">
        <f t="shared" si="46"/>
        <v>0</v>
      </c>
      <c r="M87" s="131">
        <f t="shared" si="47"/>
        <v>3.1779333333333333E-2</v>
      </c>
      <c r="N87" s="6"/>
      <c r="O87" s="124" t="s">
        <v>59</v>
      </c>
      <c r="P87" s="132">
        <f>D87*IF(C87="Woodland",'Supporting Info'!$F$6,'Supporting Info'!$G$6)*(3600*24*365*10000/1000000000)</f>
        <v>9.5379055200000021E-2</v>
      </c>
      <c r="Q87" s="132">
        <f>E87*IF(C87="Woodland",'Supporting Info'!$F$7,'Supporting Info'!$G$7)*(3600*24*365*10000/1000000000)</f>
        <v>0</v>
      </c>
      <c r="R87" s="133">
        <f>F87*IF(C87="Woodland",'Supporting Info'!$F$8,'Supporting Info'!$G$8)*(3600*24*365*10000/1000000000)</f>
        <v>0</v>
      </c>
      <c r="S87" s="108"/>
      <c r="T87" s="134">
        <f t="shared" si="48"/>
        <v>2.9028408104347835E-2</v>
      </c>
      <c r="U87" s="134">
        <f t="shared" si="49"/>
        <v>2.073457721739131E-3</v>
      </c>
      <c r="V87" s="135">
        <f t="shared" si="50"/>
        <v>0</v>
      </c>
      <c r="W87" s="105"/>
      <c r="X87" s="124" t="s">
        <v>59</v>
      </c>
      <c r="Y87" s="136">
        <f>T87/'Critical Loads '!$D$5</f>
        <v>5.8056816208695667E-3</v>
      </c>
      <c r="Z87" s="137">
        <f t="shared" si="51"/>
        <v>2.073457721739131E-3</v>
      </c>
      <c r="AA87" s="91">
        <f>Z87/'Critical Loads '!$F$5</f>
        <v>1.4201765217391308E-3</v>
      </c>
    </row>
    <row r="88" spans="2:27" x14ac:dyDescent="0.25">
      <c r="B88" s="90" t="s">
        <v>60</v>
      </c>
      <c r="C88" s="98" t="s">
        <v>18</v>
      </c>
      <c r="D88" s="66">
        <v>0.27234000000000003</v>
      </c>
      <c r="E88" s="60"/>
      <c r="F88" s="60"/>
      <c r="G88" s="9">
        <v>3.5066700000000002</v>
      </c>
      <c r="H88" s="138"/>
      <c r="I88" s="90" t="s">
        <v>60</v>
      </c>
      <c r="J88" s="79">
        <f>D88/$J$11</f>
        <v>9.078000000000001E-3</v>
      </c>
      <c r="K88" s="119">
        <f t="shared" si="45"/>
        <v>0</v>
      </c>
      <c r="L88" s="83">
        <f t="shared" si="46"/>
        <v>0</v>
      </c>
      <c r="M88" s="84">
        <f t="shared" si="47"/>
        <v>4.6755600000000001E-2</v>
      </c>
      <c r="N88" s="138"/>
      <c r="O88" s="90" t="s">
        <v>60</v>
      </c>
      <c r="P88" s="5">
        <f>D88*IF(C88="Woodland",'Supporting Info'!$F$6,'Supporting Info'!$G$6)*(3600*24*365*10000/1000000000)</f>
        <v>0.12882771360000003</v>
      </c>
      <c r="Q88" s="5">
        <f>E88*IF(C88="Woodland",'Supporting Info'!$F$7,'Supporting Info'!$G$7)*(3600*24*365*10000/1000000000)</f>
        <v>0</v>
      </c>
      <c r="R88" s="63">
        <f>F88*IF(C88="Woodland",'Supporting Info'!$F$8,'Supporting Info'!$G$8)*(3600*24*365*10000/1000000000)</f>
        <v>0</v>
      </c>
      <c r="S88" s="98"/>
      <c r="T88" s="5">
        <f t="shared" si="48"/>
        <v>3.9208434573913056E-2</v>
      </c>
      <c r="U88" s="5">
        <f t="shared" si="49"/>
        <v>2.800602469565218E-3</v>
      </c>
      <c r="V88" s="109">
        <f t="shared" si="50"/>
        <v>0</v>
      </c>
      <c r="W88" s="139"/>
      <c r="X88" s="90" t="s">
        <v>60</v>
      </c>
      <c r="Y88" s="91">
        <f>T88/'Critical Loads '!$D$5</f>
        <v>7.8416869147826113E-3</v>
      </c>
      <c r="Z88" s="92">
        <f>U88+V88</f>
        <v>2.800602469565218E-3</v>
      </c>
      <c r="AA88" s="91">
        <f>Z88/'Critical Loads '!$F$5</f>
        <v>1.9182208695652178E-3</v>
      </c>
    </row>
    <row r="89" spans="2:27" x14ac:dyDescent="0.25">
      <c r="B89" s="90" t="s">
        <v>63</v>
      </c>
      <c r="C89" s="98" t="s">
        <v>18</v>
      </c>
      <c r="D89" s="66">
        <v>0.26998</v>
      </c>
      <c r="E89" s="60"/>
      <c r="F89" s="60"/>
      <c r="G89" s="9">
        <v>2.3868999999999998</v>
      </c>
      <c r="H89" s="138"/>
      <c r="I89" s="90" t="s">
        <v>63</v>
      </c>
      <c r="J89" s="79">
        <f t="shared" ref="J89:J93" si="52">D89/$J$11</f>
        <v>8.9993333333333331E-3</v>
      </c>
      <c r="K89" s="119">
        <f t="shared" ref="K89:K93" si="53">E89/$K$11</f>
        <v>0</v>
      </c>
      <c r="L89" s="83">
        <f t="shared" ref="L89:L93" si="54">F89/$L$11</f>
        <v>0</v>
      </c>
      <c r="M89" s="84">
        <f t="shared" ref="M89:M93" si="55">G89/$M$11</f>
        <v>3.182533333333333E-2</v>
      </c>
      <c r="N89" s="138"/>
      <c r="O89" s="90" t="s">
        <v>63</v>
      </c>
      <c r="P89" s="5">
        <f>D89*IF(C89="Woodland",'Supporting Info'!$F$6,'Supporting Info'!$G$6)*(3600*24*365*10000/1000000000)</f>
        <v>0.1277113392</v>
      </c>
      <c r="Q89" s="5">
        <f>E89*IF(C89="Woodland",'Supporting Info'!$F$7,'Supporting Info'!$G$7)*(3600*24*365*10000/1000000000)</f>
        <v>0</v>
      </c>
      <c r="R89" s="63">
        <f>F89*IF(C89="Woodland",'Supporting Info'!$F$8,'Supporting Info'!$G$8)*(3600*24*365*10000/1000000000)</f>
        <v>0</v>
      </c>
      <c r="S89" s="98"/>
      <c r="T89" s="5">
        <f t="shared" ref="T89:T93" si="56">P89*(14/46)+R89*(14/17)</f>
        <v>3.8868668452173911E-2</v>
      </c>
      <c r="U89" s="5">
        <f t="shared" ref="U89:U93" si="57">P89/46+R89/17</f>
        <v>2.7763334608695649E-3</v>
      </c>
      <c r="V89" s="109">
        <f t="shared" ref="V89:V93" si="58">2*Q89/64</f>
        <v>0</v>
      </c>
      <c r="W89" s="139"/>
      <c r="X89" s="90" t="s">
        <v>63</v>
      </c>
      <c r="Y89" s="91">
        <f>T89/'Critical Loads '!$D$5</f>
        <v>7.7737336904347819E-3</v>
      </c>
      <c r="Z89" s="92">
        <f t="shared" ref="Z89:Z93" si="59">U89+V89</f>
        <v>2.7763334608695649E-3</v>
      </c>
      <c r="AA89" s="91">
        <f>Z89/'Critical Loads '!$F$5</f>
        <v>1.9015982608695651E-3</v>
      </c>
    </row>
    <row r="90" spans="2:27" x14ac:dyDescent="0.25">
      <c r="B90" s="90" t="s">
        <v>64</v>
      </c>
      <c r="C90" s="98" t="s">
        <v>18</v>
      </c>
      <c r="D90" s="66">
        <v>0.22398000000000001</v>
      </c>
      <c r="E90" s="60"/>
      <c r="F90" s="60"/>
      <c r="G90" s="9">
        <v>2.7688700000000002</v>
      </c>
      <c r="H90" s="138"/>
      <c r="I90" s="90" t="s">
        <v>64</v>
      </c>
      <c r="J90" s="79">
        <f t="shared" si="52"/>
        <v>7.4660000000000004E-3</v>
      </c>
      <c r="K90" s="119">
        <f t="shared" si="53"/>
        <v>0</v>
      </c>
      <c r="L90" s="83">
        <f t="shared" si="54"/>
        <v>0</v>
      </c>
      <c r="M90" s="84">
        <f t="shared" si="55"/>
        <v>3.6918266666666671E-2</v>
      </c>
      <c r="N90" s="138"/>
      <c r="O90" s="90" t="s">
        <v>64</v>
      </c>
      <c r="P90" s="5">
        <f>D90*IF(C90="Woodland",'Supporting Info'!$F$6,'Supporting Info'!$G$6)*(3600*24*365*10000/1000000000)</f>
        <v>0.10595149920000002</v>
      </c>
      <c r="Q90" s="5">
        <f>E90*IF(C90="Woodland",'Supporting Info'!$F$7,'Supporting Info'!$G$7)*(3600*24*365*10000/1000000000)</f>
        <v>0</v>
      </c>
      <c r="R90" s="63">
        <f>F90*IF(C90="Woodland",'Supporting Info'!$F$8,'Supporting Info'!$G$8)*(3600*24*365*10000/1000000000)</f>
        <v>0</v>
      </c>
      <c r="S90" s="98"/>
      <c r="T90" s="5">
        <f t="shared" si="56"/>
        <v>3.2246108452173919E-2</v>
      </c>
      <c r="U90" s="5">
        <f t="shared" si="57"/>
        <v>2.3032934608695657E-3</v>
      </c>
      <c r="V90" s="109">
        <f t="shared" si="58"/>
        <v>0</v>
      </c>
      <c r="W90" s="139"/>
      <c r="X90" s="90" t="s">
        <v>64</v>
      </c>
      <c r="Y90" s="91">
        <f>T90/'Critical Loads '!$D$5</f>
        <v>6.4492216904347838E-3</v>
      </c>
      <c r="Z90" s="92">
        <f t="shared" si="59"/>
        <v>2.3032934608695657E-3</v>
      </c>
      <c r="AA90" s="91">
        <f>Z90/'Critical Loads '!$F$5</f>
        <v>1.5775982608695657E-3</v>
      </c>
    </row>
    <row r="91" spans="2:27" x14ac:dyDescent="0.25">
      <c r="B91" s="90" t="s">
        <v>65</v>
      </c>
      <c r="C91" s="98" t="s">
        <v>18</v>
      </c>
      <c r="D91" s="66">
        <v>0.20028000000000001</v>
      </c>
      <c r="E91" s="60"/>
      <c r="F91" s="60"/>
      <c r="G91" s="9">
        <v>3.1193300000000002</v>
      </c>
      <c r="H91" s="138"/>
      <c r="I91" s="90" t="s">
        <v>65</v>
      </c>
      <c r="J91" s="79">
        <f t="shared" si="52"/>
        <v>6.6760000000000005E-3</v>
      </c>
      <c r="K91" s="119">
        <f t="shared" si="53"/>
        <v>0</v>
      </c>
      <c r="L91" s="83">
        <f t="shared" si="54"/>
        <v>0</v>
      </c>
      <c r="M91" s="84">
        <f t="shared" si="55"/>
        <v>4.1591066666666669E-2</v>
      </c>
      <c r="N91" s="138"/>
      <c r="O91" s="90" t="s">
        <v>65</v>
      </c>
      <c r="P91" s="5">
        <f>D91*IF(C91="Woodland",'Supporting Info'!$F$6,'Supporting Info'!$G$6)*(3600*24*365*10000/1000000000)</f>
        <v>9.4740451200000006E-2</v>
      </c>
      <c r="Q91" s="5">
        <f>E91*IF(C91="Woodland",'Supporting Info'!$F$7,'Supporting Info'!$G$7)*(3600*24*365*10000/1000000000)</f>
        <v>0</v>
      </c>
      <c r="R91" s="63">
        <f>F91*IF(C91="Woodland",'Supporting Info'!$F$8,'Supporting Info'!$G$8)*(3600*24*365*10000/1000000000)</f>
        <v>0</v>
      </c>
      <c r="S91" s="98"/>
      <c r="T91" s="5">
        <f t="shared" si="56"/>
        <v>2.8834050365217394E-2</v>
      </c>
      <c r="U91" s="5">
        <f t="shared" si="57"/>
        <v>2.0595750260869565E-3</v>
      </c>
      <c r="V91" s="109">
        <f t="shared" si="58"/>
        <v>0</v>
      </c>
      <c r="W91" s="139"/>
      <c r="X91" s="90" t="s">
        <v>65</v>
      </c>
      <c r="Y91" s="91">
        <f>T91/'Critical Loads '!$D$5</f>
        <v>5.7668100730434791E-3</v>
      </c>
      <c r="Z91" s="92">
        <f t="shared" si="59"/>
        <v>2.0595750260869565E-3</v>
      </c>
      <c r="AA91" s="91">
        <f>Z91/'Critical Loads '!$F$5</f>
        <v>1.4106678260869566E-3</v>
      </c>
    </row>
    <row r="92" spans="2:27" x14ac:dyDescent="0.25">
      <c r="B92" s="90" t="s">
        <v>66</v>
      </c>
      <c r="C92" s="98" t="s">
        <v>18</v>
      </c>
      <c r="D92" s="66">
        <v>0.12701000000000001</v>
      </c>
      <c r="E92" s="60"/>
      <c r="F92" s="60"/>
      <c r="G92" s="9">
        <v>1.65126</v>
      </c>
      <c r="H92" s="138"/>
      <c r="I92" s="90" t="s">
        <v>66</v>
      </c>
      <c r="J92" s="79">
        <f t="shared" si="52"/>
        <v>4.2336666666666668E-3</v>
      </c>
      <c r="K92" s="119">
        <f t="shared" si="53"/>
        <v>0</v>
      </c>
      <c r="L92" s="83">
        <f t="shared" si="54"/>
        <v>0</v>
      </c>
      <c r="M92" s="84">
        <f t="shared" si="55"/>
        <v>2.20168E-2</v>
      </c>
      <c r="N92" s="138"/>
      <c r="O92" s="90" t="s">
        <v>66</v>
      </c>
      <c r="P92" s="5">
        <f>D92*IF(C92="Woodland",'Supporting Info'!$F$6,'Supporting Info'!$G$6)*(3600*24*365*10000/1000000000)</f>
        <v>6.0080810400000011E-2</v>
      </c>
      <c r="Q92" s="5">
        <f>E92*IF(C92="Woodland",'Supporting Info'!$F$7,'Supporting Info'!$G$7)*(3600*24*365*10000/1000000000)</f>
        <v>0</v>
      </c>
      <c r="R92" s="63">
        <f>F92*IF(C92="Woodland",'Supporting Info'!$F$8,'Supporting Info'!$G$8)*(3600*24*365*10000/1000000000)</f>
        <v>0</v>
      </c>
      <c r="S92" s="98"/>
      <c r="T92" s="5">
        <f t="shared" si="56"/>
        <v>1.8285464034782612E-2</v>
      </c>
      <c r="U92" s="5">
        <f t="shared" si="57"/>
        <v>1.3061045739130438E-3</v>
      </c>
      <c r="V92" s="109">
        <f t="shared" si="58"/>
        <v>0</v>
      </c>
      <c r="W92" s="139"/>
      <c r="X92" s="90" t="s">
        <v>66</v>
      </c>
      <c r="Y92" s="91">
        <f>T92/'Critical Loads '!$D$5</f>
        <v>3.6570928069565222E-3</v>
      </c>
      <c r="Z92" s="92">
        <f t="shared" si="59"/>
        <v>1.3061045739130438E-3</v>
      </c>
      <c r="AA92" s="91">
        <f>Z92/'Critical Loads '!$F$5</f>
        <v>8.9459217391304373E-4</v>
      </c>
    </row>
    <row r="93" spans="2:27" x14ac:dyDescent="0.25">
      <c r="B93" s="90" t="s">
        <v>67</v>
      </c>
      <c r="C93" s="98" t="s">
        <v>18</v>
      </c>
      <c r="D93" s="66">
        <v>0.15811</v>
      </c>
      <c r="E93" s="60"/>
      <c r="F93" s="60"/>
      <c r="G93" s="9">
        <v>2.24817</v>
      </c>
      <c r="H93" s="138"/>
      <c r="I93" s="90" t="s">
        <v>67</v>
      </c>
      <c r="J93" s="79">
        <f t="shared" si="52"/>
        <v>5.2703333333333335E-3</v>
      </c>
      <c r="K93" s="119">
        <f t="shared" si="53"/>
        <v>0</v>
      </c>
      <c r="L93" s="83">
        <f t="shared" si="54"/>
        <v>0</v>
      </c>
      <c r="M93" s="84">
        <f t="shared" si="55"/>
        <v>2.9975600000000002E-2</v>
      </c>
      <c r="N93" s="138"/>
      <c r="O93" s="90" t="s">
        <v>67</v>
      </c>
      <c r="P93" s="5">
        <f>D93*IF(C93="Woodland",'Supporting Info'!$F$6,'Supporting Info'!$G$6)*(3600*24*365*10000/1000000000)</f>
        <v>7.4792354400000011E-2</v>
      </c>
      <c r="Q93" s="5">
        <f>E93*IF(C93="Woodland",'Supporting Info'!$F$7,'Supporting Info'!$G$7)*(3600*24*365*10000/1000000000)</f>
        <v>0</v>
      </c>
      <c r="R93" s="63">
        <f>F93*IF(C93="Woodland",'Supporting Info'!$F$8,'Supporting Info'!$G$8)*(3600*24*365*10000/1000000000)</f>
        <v>0</v>
      </c>
      <c r="S93" s="98"/>
      <c r="T93" s="5">
        <f t="shared" si="56"/>
        <v>2.2762890469565221E-2</v>
      </c>
      <c r="U93" s="5">
        <f t="shared" si="57"/>
        <v>1.6259207478260872E-3</v>
      </c>
      <c r="V93" s="109">
        <f t="shared" si="58"/>
        <v>0</v>
      </c>
      <c r="W93" s="139"/>
      <c r="X93" s="90" t="s">
        <v>67</v>
      </c>
      <c r="Y93" s="91">
        <f>T93/'Critical Loads '!$D$5</f>
        <v>4.5525780939130438E-3</v>
      </c>
      <c r="Z93" s="92">
        <f t="shared" si="59"/>
        <v>1.6259207478260872E-3</v>
      </c>
      <c r="AA93" s="91">
        <f>Z93/'Critical Loads '!$F$5</f>
        <v>1.1136443478260872E-3</v>
      </c>
    </row>
    <row r="98" spans="2:27" ht="18.75" x14ac:dyDescent="0.25">
      <c r="B98" s="199">
        <v>2024</v>
      </c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</row>
    <row r="101" spans="2:27" ht="15" customHeight="1" x14ac:dyDescent="0.25">
      <c r="J101" s="198" t="s">
        <v>21</v>
      </c>
      <c r="K101" s="198"/>
      <c r="L101" s="198"/>
      <c r="M101" s="198"/>
      <c r="P101" s="198" t="s">
        <v>27</v>
      </c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</row>
    <row r="102" spans="2:27" ht="15" customHeight="1" x14ac:dyDescent="0.25">
      <c r="B102" s="70" t="s">
        <v>0</v>
      </c>
      <c r="C102" s="70"/>
      <c r="J102" s="198"/>
      <c r="K102" s="198"/>
      <c r="L102" s="198"/>
      <c r="M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</row>
    <row r="103" spans="2:27" ht="15.75" customHeight="1" thickBot="1" x14ac:dyDescent="0.3">
      <c r="B103" s="70"/>
      <c r="C103" s="70"/>
      <c r="J103" s="198"/>
      <c r="K103" s="198"/>
      <c r="L103" s="198"/>
      <c r="M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</row>
    <row r="104" spans="2:27" ht="15.75" thickBot="1" x14ac:dyDescent="0.3">
      <c r="B104" s="185" t="s">
        <v>40</v>
      </c>
      <c r="C104" s="186"/>
      <c r="D104" s="186"/>
      <c r="E104" s="186"/>
      <c r="F104" s="186"/>
      <c r="G104" s="187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</row>
    <row r="105" spans="2:27" ht="15.75" thickBot="1" x14ac:dyDescent="0.3">
      <c r="B105" s="188"/>
      <c r="C105" s="191"/>
      <c r="D105" s="194" t="s">
        <v>19</v>
      </c>
      <c r="E105" s="194"/>
      <c r="F105" s="194"/>
      <c r="G105" s="106" t="s">
        <v>20</v>
      </c>
      <c r="H105" s="105"/>
      <c r="I105" s="105"/>
      <c r="J105" s="195" t="s">
        <v>21</v>
      </c>
      <c r="K105" s="196"/>
      <c r="L105" s="196"/>
      <c r="M105" s="197"/>
      <c r="N105" s="105"/>
      <c r="O105" s="105"/>
      <c r="P105" s="166" t="s">
        <v>16</v>
      </c>
      <c r="Q105" s="167"/>
      <c r="R105" s="167"/>
      <c r="S105" s="167"/>
      <c r="T105" s="167"/>
      <c r="U105" s="167"/>
      <c r="V105" s="168"/>
      <c r="W105" s="105"/>
      <c r="X105" s="169" t="s">
        <v>44</v>
      </c>
      <c r="Y105" s="170"/>
      <c r="Z105" s="170"/>
      <c r="AA105" s="171"/>
    </row>
    <row r="106" spans="2:27" ht="60" customHeight="1" x14ac:dyDescent="0.25">
      <c r="B106" s="189"/>
      <c r="C106" s="192"/>
      <c r="D106" s="4" t="s">
        <v>11</v>
      </c>
      <c r="E106" s="57" t="s">
        <v>12</v>
      </c>
      <c r="F106" s="57" t="s">
        <v>13</v>
      </c>
      <c r="G106" s="8" t="s">
        <v>11</v>
      </c>
      <c r="H106" s="75"/>
      <c r="I106" s="172" t="s">
        <v>45</v>
      </c>
      <c r="J106" s="11" t="s">
        <v>62</v>
      </c>
      <c r="K106" s="11" t="s">
        <v>12</v>
      </c>
      <c r="L106" s="61" t="s">
        <v>13</v>
      </c>
      <c r="M106" s="12" t="s">
        <v>61</v>
      </c>
      <c r="N106" s="75"/>
      <c r="O106" s="174" t="s">
        <v>45</v>
      </c>
      <c r="P106" s="11" t="s">
        <v>11</v>
      </c>
      <c r="Q106" s="11" t="s">
        <v>12</v>
      </c>
      <c r="R106" s="61" t="s">
        <v>13</v>
      </c>
      <c r="S106" s="96"/>
      <c r="T106" s="11" t="s">
        <v>22</v>
      </c>
      <c r="U106" s="11" t="s">
        <v>23</v>
      </c>
      <c r="V106" s="12" t="s">
        <v>24</v>
      </c>
      <c r="W106" s="105"/>
      <c r="X106" s="176" t="s">
        <v>28</v>
      </c>
      <c r="Y106" s="178" t="s">
        <v>41</v>
      </c>
      <c r="Z106" s="183" t="s">
        <v>42</v>
      </c>
      <c r="AA106" s="180" t="s">
        <v>43</v>
      </c>
    </row>
    <row r="107" spans="2:27" ht="15.75" thickBot="1" x14ac:dyDescent="0.3">
      <c r="B107" s="190"/>
      <c r="C107" s="193"/>
      <c r="D107" s="76">
        <v>30</v>
      </c>
      <c r="E107" s="58">
        <v>10</v>
      </c>
      <c r="F107" s="58">
        <v>1</v>
      </c>
      <c r="G107" s="13">
        <v>75</v>
      </c>
      <c r="H107" s="75"/>
      <c r="I107" s="173"/>
      <c r="J107" s="76">
        <v>30</v>
      </c>
      <c r="K107" s="76">
        <v>10</v>
      </c>
      <c r="L107" s="58">
        <v>1</v>
      </c>
      <c r="M107" s="13">
        <v>75</v>
      </c>
      <c r="N107" s="75"/>
      <c r="O107" s="175"/>
      <c r="P107" s="182" t="s">
        <v>39</v>
      </c>
      <c r="Q107" s="182"/>
      <c r="R107" s="182"/>
      <c r="S107" s="101"/>
      <c r="T107" s="73" t="s">
        <v>37</v>
      </c>
      <c r="U107" s="73" t="s">
        <v>38</v>
      </c>
      <c r="V107" s="74" t="s">
        <v>38</v>
      </c>
      <c r="W107" s="105"/>
      <c r="X107" s="177"/>
      <c r="Y107" s="179"/>
      <c r="Z107" s="184"/>
      <c r="AA107" s="181"/>
    </row>
    <row r="108" spans="2:27" x14ac:dyDescent="0.25">
      <c r="B108" s="87" t="s">
        <v>56</v>
      </c>
      <c r="C108" s="96" t="s">
        <v>18</v>
      </c>
      <c r="D108" s="65">
        <v>0.12936</v>
      </c>
      <c r="E108" s="59"/>
      <c r="F108" s="59"/>
      <c r="G108" s="17">
        <v>2.0086599999999999</v>
      </c>
      <c r="H108" s="6"/>
      <c r="I108" s="87" t="s">
        <v>56</v>
      </c>
      <c r="J108" s="78">
        <f>D108/$J$11</f>
        <v>4.3119999999999999E-3</v>
      </c>
      <c r="K108" s="140">
        <f>E108/$K$11</f>
        <v>0</v>
      </c>
      <c r="L108" s="81">
        <f>F108/$L$11</f>
        <v>0</v>
      </c>
      <c r="M108" s="82">
        <f>G108/$M$11</f>
        <v>2.6782133333333333E-2</v>
      </c>
      <c r="N108" s="6"/>
      <c r="O108" s="87" t="s">
        <v>56</v>
      </c>
      <c r="P108" s="56">
        <f>D108*IF(C108="Woodland",'Supporting Info'!$F$6,'Supporting Info'!$G$6)*(3600*24*365*10000/1000000000)</f>
        <v>6.1192454400000006E-2</v>
      </c>
      <c r="Q108" s="56">
        <f>E108*IF(C108="Woodland",'Supporting Info'!$F$7,'Supporting Info'!$G$7)*(3600*24*365*10000/1000000000)</f>
        <v>0</v>
      </c>
      <c r="R108" s="62">
        <f>F108*IF(C108="Woodland",'Supporting Info'!$F$8,'Supporting Info'!$G$8)*(3600*24*365*10000/1000000000)</f>
        <v>0</v>
      </c>
      <c r="S108" s="96"/>
      <c r="T108" s="56">
        <f>P108*(14/46)+R108*(14/17)</f>
        <v>1.8623790469565221E-2</v>
      </c>
      <c r="U108" s="56">
        <f>P108/46+R108/17</f>
        <v>1.330270747826087E-3</v>
      </c>
      <c r="V108" s="97">
        <f>2*Q108/64</f>
        <v>0</v>
      </c>
      <c r="W108" s="105"/>
      <c r="X108" s="87" t="s">
        <v>56</v>
      </c>
      <c r="Y108" s="88">
        <f>T108/'Critical Loads '!$D$5</f>
        <v>3.7247580939130443E-3</v>
      </c>
      <c r="Z108" s="89">
        <f>U108+V108</f>
        <v>1.330270747826087E-3</v>
      </c>
      <c r="AA108" s="91">
        <f>Z108/'Critical Loads '!$F$5</f>
        <v>9.1114434782608707E-4</v>
      </c>
    </row>
    <row r="109" spans="2:27" x14ac:dyDescent="0.25">
      <c r="B109" s="90" t="s">
        <v>57</v>
      </c>
      <c r="C109" s="104" t="s">
        <v>18</v>
      </c>
      <c r="D109" s="66">
        <v>0.12529000000000001</v>
      </c>
      <c r="E109" s="60"/>
      <c r="F109" s="60"/>
      <c r="G109" s="9">
        <v>2.2342300000000002</v>
      </c>
      <c r="H109" s="6"/>
      <c r="I109" s="90" t="s">
        <v>57</v>
      </c>
      <c r="J109" s="79">
        <f>D109/$J$11</f>
        <v>4.176333333333334E-3</v>
      </c>
      <c r="K109" s="119">
        <f t="shared" ref="K109:K112" si="60">E109/$K$11</f>
        <v>0</v>
      </c>
      <c r="L109" s="83">
        <f t="shared" ref="L109:L112" si="61">F109/$L$11</f>
        <v>0</v>
      </c>
      <c r="M109" s="84">
        <f t="shared" ref="M109:M112" si="62">G109/$M$11</f>
        <v>2.9789733333333335E-2</v>
      </c>
      <c r="N109" s="6"/>
      <c r="O109" s="90" t="s">
        <v>57</v>
      </c>
      <c r="P109" s="5">
        <f>D109*IF(C109="Woodland",'Supporting Info'!$F$6,'Supporting Info'!$G$6)*(3600*24*365*10000/1000000000)</f>
        <v>5.926718160000001E-2</v>
      </c>
      <c r="Q109" s="5">
        <f>E109*IF(C109="Woodland",'Supporting Info'!$F$7,'Supporting Info'!$G$7)*(3600*24*365*10000/1000000000)</f>
        <v>0</v>
      </c>
      <c r="R109" s="63">
        <f>F109*IF(C109="Woodland",'Supporting Info'!$F$8,'Supporting Info'!$G$8)*(3600*24*365*10000/1000000000)</f>
        <v>0</v>
      </c>
      <c r="S109" s="98"/>
      <c r="T109" s="99">
        <f t="shared" ref="T109:T112" si="63">P109*(14/46)+R109*(14/17)</f>
        <v>1.8037837878260875E-2</v>
      </c>
      <c r="U109" s="99">
        <f t="shared" ref="U109:U112" si="64">P109/46+R109/17</f>
        <v>1.288416991304348E-3</v>
      </c>
      <c r="V109" s="100">
        <f t="shared" ref="V109:V112" si="65">2*Q109/64</f>
        <v>0</v>
      </c>
      <c r="W109" s="105"/>
      <c r="X109" s="90" t="s">
        <v>57</v>
      </c>
      <c r="Y109" s="91">
        <f>T109/'Critical Loads '!$D$5</f>
        <v>3.6075675756521751E-3</v>
      </c>
      <c r="Z109" s="92">
        <f t="shared" ref="Z109:Z112" si="66">U109+V109</f>
        <v>1.288416991304348E-3</v>
      </c>
      <c r="AA109" s="91">
        <f>Z109/'Critical Loads '!$F$5</f>
        <v>8.8247739130434797E-4</v>
      </c>
    </row>
    <row r="110" spans="2:27" x14ac:dyDescent="0.25">
      <c r="B110" s="90" t="s">
        <v>58</v>
      </c>
      <c r="C110" s="104" t="s">
        <v>18</v>
      </c>
      <c r="D110" s="66">
        <v>0.14076</v>
      </c>
      <c r="E110" s="60"/>
      <c r="F110" s="60"/>
      <c r="G110" s="9">
        <v>1.8740000000000001</v>
      </c>
      <c r="H110" s="6"/>
      <c r="I110" s="90" t="s">
        <v>58</v>
      </c>
      <c r="J110" s="79">
        <f>D110/$J$11</f>
        <v>4.692E-3</v>
      </c>
      <c r="K110" s="119">
        <f t="shared" si="60"/>
        <v>0</v>
      </c>
      <c r="L110" s="83">
        <f t="shared" si="61"/>
        <v>0</v>
      </c>
      <c r="M110" s="84">
        <f t="shared" si="62"/>
        <v>2.4986666666666667E-2</v>
      </c>
      <c r="N110" s="6"/>
      <c r="O110" s="90" t="s">
        <v>58</v>
      </c>
      <c r="P110" s="5">
        <f>D110*IF(C110="Woodland",'Supporting Info'!$F$6,'Supporting Info'!$G$6)*(3600*24*365*10000/1000000000)</f>
        <v>6.6585110399999994E-2</v>
      </c>
      <c r="Q110" s="5">
        <f>E110*IF(C110="Woodland",'Supporting Info'!$F$7,'Supporting Info'!$G$7)*(3600*24*365*10000/1000000000)</f>
        <v>0</v>
      </c>
      <c r="R110" s="63">
        <f>F110*IF(C110="Woodland",'Supporting Info'!$F$8,'Supporting Info'!$G$8)*(3600*24*365*10000/1000000000)</f>
        <v>0</v>
      </c>
      <c r="S110" s="98"/>
      <c r="T110" s="99">
        <f t="shared" si="63"/>
        <v>2.0265033599999999E-2</v>
      </c>
      <c r="U110" s="99">
        <f t="shared" si="64"/>
        <v>1.4475024E-3</v>
      </c>
      <c r="V110" s="100">
        <f t="shared" si="65"/>
        <v>0</v>
      </c>
      <c r="W110" s="105"/>
      <c r="X110" s="90" t="s">
        <v>58</v>
      </c>
      <c r="Y110" s="91">
        <f>T110/'Critical Loads '!$D$5</f>
        <v>4.0530067200000002E-3</v>
      </c>
      <c r="Z110" s="92">
        <f t="shared" si="66"/>
        <v>1.4475024E-3</v>
      </c>
      <c r="AA110" s="91">
        <f>Z110/'Critical Loads '!$F$5</f>
        <v>9.914399999999999E-4</v>
      </c>
    </row>
    <row r="111" spans="2:27" x14ac:dyDescent="0.25">
      <c r="B111" s="124" t="s">
        <v>59</v>
      </c>
      <c r="C111" s="125" t="s">
        <v>18</v>
      </c>
      <c r="D111" s="126">
        <v>0.18445</v>
      </c>
      <c r="E111" s="60"/>
      <c r="F111" s="127"/>
      <c r="G111" s="128">
        <v>2.7552699999999999</v>
      </c>
      <c r="H111" s="6"/>
      <c r="I111" s="124" t="s">
        <v>59</v>
      </c>
      <c r="J111" s="129">
        <f>D111/$J$11</f>
        <v>6.1483333333333338E-3</v>
      </c>
      <c r="K111" s="142">
        <f t="shared" si="60"/>
        <v>0</v>
      </c>
      <c r="L111" s="130">
        <f t="shared" si="61"/>
        <v>0</v>
      </c>
      <c r="M111" s="131">
        <f t="shared" si="62"/>
        <v>3.6736933333333333E-2</v>
      </c>
      <c r="N111" s="6"/>
      <c r="O111" s="124" t="s">
        <v>59</v>
      </c>
      <c r="P111" s="132">
        <f>D111*IF(C111="Woodland",'Supporting Info'!$F$6,'Supporting Info'!$G$6)*(3600*24*365*10000/1000000000)</f>
        <v>8.7252228000000001E-2</v>
      </c>
      <c r="Q111" s="132">
        <f>E111*IF(C111="Woodland",'Supporting Info'!$F$7,'Supporting Info'!$G$7)*(3600*24*365*10000/1000000000)</f>
        <v>0</v>
      </c>
      <c r="R111" s="133">
        <f>F111*IF(C111="Woodland",'Supporting Info'!$F$8,'Supporting Info'!$G$8)*(3600*24*365*10000/1000000000)</f>
        <v>0</v>
      </c>
      <c r="S111" s="108"/>
      <c r="T111" s="134">
        <f t="shared" si="63"/>
        <v>2.6555025913043481E-2</v>
      </c>
      <c r="U111" s="134">
        <f t="shared" si="64"/>
        <v>1.8967875652173914E-3</v>
      </c>
      <c r="V111" s="135">
        <f t="shared" si="65"/>
        <v>0</v>
      </c>
      <c r="W111" s="105"/>
      <c r="X111" s="124" t="s">
        <v>59</v>
      </c>
      <c r="Y111" s="136">
        <f>T111/'Critical Loads '!$D$5</f>
        <v>5.3110051826086961E-3</v>
      </c>
      <c r="Z111" s="137">
        <f t="shared" si="66"/>
        <v>1.8967875652173914E-3</v>
      </c>
      <c r="AA111" s="91">
        <f>Z111/'Critical Loads '!$F$5</f>
        <v>1.2991695652173913E-3</v>
      </c>
    </row>
    <row r="112" spans="2:27" x14ac:dyDescent="0.25">
      <c r="B112" s="90" t="s">
        <v>60</v>
      </c>
      <c r="C112" s="98" t="s">
        <v>18</v>
      </c>
      <c r="D112" s="66">
        <v>0.20483000000000001</v>
      </c>
      <c r="E112" s="60"/>
      <c r="F112" s="60"/>
      <c r="G112" s="9">
        <v>4.0590999999999999</v>
      </c>
      <c r="H112" s="138"/>
      <c r="I112" s="90" t="s">
        <v>60</v>
      </c>
      <c r="J112" s="79">
        <f>D112/$J$11</f>
        <v>6.8276666666666668E-3</v>
      </c>
      <c r="K112" s="119">
        <f t="shared" si="60"/>
        <v>0</v>
      </c>
      <c r="L112" s="83">
        <f t="shared" si="61"/>
        <v>0</v>
      </c>
      <c r="M112" s="84">
        <f t="shared" si="62"/>
        <v>5.4121333333333334E-2</v>
      </c>
      <c r="N112" s="138"/>
      <c r="O112" s="90" t="s">
        <v>60</v>
      </c>
      <c r="P112" s="5">
        <f>D112*IF(C112="Woodland",'Supporting Info'!$F$6,'Supporting Info'!$G$6)*(3600*24*365*10000/1000000000)</f>
        <v>9.6892783200000013E-2</v>
      </c>
      <c r="Q112" s="5">
        <f>E112*IF(C112="Woodland",'Supporting Info'!$F$7,'Supporting Info'!$G$7)*(3600*24*365*10000/1000000000)</f>
        <v>0</v>
      </c>
      <c r="R112" s="63">
        <f>F112*IF(C112="Woodland",'Supporting Info'!$F$8,'Supporting Info'!$G$8)*(3600*24*365*10000/1000000000)</f>
        <v>0</v>
      </c>
      <c r="S112" s="98"/>
      <c r="T112" s="5">
        <f t="shared" si="63"/>
        <v>2.9489107930434789E-2</v>
      </c>
      <c r="U112" s="5">
        <f t="shared" si="64"/>
        <v>2.1063648521739134E-3</v>
      </c>
      <c r="V112" s="109">
        <f t="shared" si="65"/>
        <v>0</v>
      </c>
      <c r="W112" s="139"/>
      <c r="X112" s="90" t="s">
        <v>60</v>
      </c>
      <c r="Y112" s="91">
        <f>T112/'Critical Loads '!$D$5</f>
        <v>5.8978215860869578E-3</v>
      </c>
      <c r="Z112" s="92">
        <f t="shared" si="66"/>
        <v>2.1063648521739134E-3</v>
      </c>
      <c r="AA112" s="91">
        <f>Z112/'Critical Loads '!$F$5</f>
        <v>1.4427156521739132E-3</v>
      </c>
    </row>
    <row r="113" spans="2:27" x14ac:dyDescent="0.25">
      <c r="B113" s="90" t="s">
        <v>63</v>
      </c>
      <c r="C113" s="98" t="s">
        <v>18</v>
      </c>
      <c r="D113" s="66">
        <v>0.214</v>
      </c>
      <c r="E113" s="60"/>
      <c r="F113" s="60"/>
      <c r="G113" s="9">
        <v>2.91405</v>
      </c>
      <c r="H113" s="138"/>
      <c r="I113" s="90" t="s">
        <v>63</v>
      </c>
      <c r="J113" s="79">
        <f t="shared" ref="J113:J117" si="67">D113/$J$11</f>
        <v>7.1333333333333335E-3</v>
      </c>
      <c r="K113" s="119">
        <f t="shared" ref="K113:K117" si="68">E113/$K$11</f>
        <v>0</v>
      </c>
      <c r="L113" s="83">
        <f t="shared" ref="L113:L117" si="69">F113/$L$11</f>
        <v>0</v>
      </c>
      <c r="M113" s="84">
        <f t="shared" ref="M113:M117" si="70">G113/$M$11</f>
        <v>3.8854E-2</v>
      </c>
      <c r="N113" s="138"/>
      <c r="O113" s="90" t="s">
        <v>63</v>
      </c>
      <c r="P113" s="5">
        <f>D113*IF(C113="Woodland",'Supporting Info'!$F$6,'Supporting Info'!$G$6)*(3600*24*365*10000/1000000000)</f>
        <v>0.10123056</v>
      </c>
      <c r="Q113" s="5">
        <f>E113*IF(C113="Woodland",'Supporting Info'!$F$7,'Supporting Info'!$G$7)*(3600*24*365*10000/1000000000)</f>
        <v>0</v>
      </c>
      <c r="R113" s="63">
        <f>F113*IF(C113="Woodland",'Supporting Info'!$F$8,'Supporting Info'!$G$8)*(3600*24*365*10000/1000000000)</f>
        <v>0</v>
      </c>
      <c r="S113" s="98"/>
      <c r="T113" s="5">
        <f t="shared" ref="T113:T117" si="71">P113*(14/46)+R113*(14/17)</f>
        <v>3.080930086956522E-2</v>
      </c>
      <c r="U113" s="5">
        <f t="shared" ref="U113:U117" si="72">P113/46+R113/17</f>
        <v>2.2006643478260867E-3</v>
      </c>
      <c r="V113" s="109">
        <f t="shared" ref="V113:V117" si="73">2*Q113/64</f>
        <v>0</v>
      </c>
      <c r="W113" s="139"/>
      <c r="X113" s="90" t="s">
        <v>63</v>
      </c>
      <c r="Y113" s="91">
        <f>T113/'Critical Loads '!$D$5</f>
        <v>6.1618601739130436E-3</v>
      </c>
      <c r="Z113" s="92">
        <f t="shared" ref="Z113:Z117" si="74">U113+V113</f>
        <v>2.2006643478260867E-3</v>
      </c>
      <c r="AA113" s="91">
        <f>Z113/'Critical Loads '!$F$5</f>
        <v>1.5073043478260868E-3</v>
      </c>
    </row>
    <row r="114" spans="2:27" x14ac:dyDescent="0.25">
      <c r="B114" s="90" t="s">
        <v>64</v>
      </c>
      <c r="C114" s="98" t="s">
        <v>18</v>
      </c>
      <c r="D114" s="66">
        <v>0.19001999999999999</v>
      </c>
      <c r="E114" s="60"/>
      <c r="F114" s="60"/>
      <c r="G114" s="9">
        <v>2.8096100000000002</v>
      </c>
      <c r="H114" s="138"/>
      <c r="I114" s="90" t="s">
        <v>64</v>
      </c>
      <c r="J114" s="79">
        <f t="shared" si="67"/>
        <v>6.3340000000000002E-3</v>
      </c>
      <c r="K114" s="119">
        <f t="shared" si="68"/>
        <v>0</v>
      </c>
      <c r="L114" s="83">
        <f t="shared" si="69"/>
        <v>0</v>
      </c>
      <c r="M114" s="84">
        <f t="shared" si="70"/>
        <v>3.7461466666666672E-2</v>
      </c>
      <c r="N114" s="138"/>
      <c r="O114" s="90" t="s">
        <v>64</v>
      </c>
      <c r="P114" s="5">
        <f>D114*IF(C114="Woodland",'Supporting Info'!$F$6,'Supporting Info'!$G$6)*(3600*24*365*10000/1000000000)</f>
        <v>8.9887060800000002E-2</v>
      </c>
      <c r="Q114" s="5">
        <f>E114*IF(C114="Woodland",'Supporting Info'!$F$7,'Supporting Info'!$G$7)*(3600*24*365*10000/1000000000)</f>
        <v>0</v>
      </c>
      <c r="R114" s="63">
        <f>F114*IF(C114="Woodland",'Supporting Info'!$F$8,'Supporting Info'!$G$8)*(3600*24*365*10000/1000000000)</f>
        <v>0</v>
      </c>
      <c r="S114" s="98"/>
      <c r="T114" s="5">
        <f t="shared" si="71"/>
        <v>2.7356931547826088E-2</v>
      </c>
      <c r="U114" s="5">
        <f t="shared" si="72"/>
        <v>1.9540665391304347E-3</v>
      </c>
      <c r="V114" s="109">
        <f t="shared" si="73"/>
        <v>0</v>
      </c>
      <c r="W114" s="139"/>
      <c r="X114" s="90" t="s">
        <v>64</v>
      </c>
      <c r="Y114" s="91">
        <f>T114/'Critical Loads '!$D$5</f>
        <v>5.4713863095652172E-3</v>
      </c>
      <c r="Z114" s="92">
        <f t="shared" si="74"/>
        <v>1.9540665391304347E-3</v>
      </c>
      <c r="AA114" s="91">
        <f>Z114/'Critical Loads '!$F$5</f>
        <v>1.3384017391304347E-3</v>
      </c>
    </row>
    <row r="115" spans="2:27" x14ac:dyDescent="0.25">
      <c r="B115" s="90" t="s">
        <v>65</v>
      </c>
      <c r="C115" s="98" t="s">
        <v>18</v>
      </c>
      <c r="D115" s="66">
        <v>0.19319</v>
      </c>
      <c r="E115" s="60"/>
      <c r="F115" s="60"/>
      <c r="G115" s="9">
        <v>2.76003</v>
      </c>
      <c r="H115" s="138"/>
      <c r="I115" s="90" t="s">
        <v>65</v>
      </c>
      <c r="J115" s="79">
        <f t="shared" si="67"/>
        <v>6.4396666666666665E-3</v>
      </c>
      <c r="K115" s="119">
        <f t="shared" si="68"/>
        <v>0</v>
      </c>
      <c r="L115" s="83">
        <f t="shared" si="69"/>
        <v>0</v>
      </c>
      <c r="M115" s="84">
        <f t="shared" si="70"/>
        <v>3.6800399999999997E-2</v>
      </c>
      <c r="N115" s="138"/>
      <c r="O115" s="90" t="s">
        <v>65</v>
      </c>
      <c r="P115" s="5">
        <f>D115*IF(C115="Woodland",'Supporting Info'!$F$6,'Supporting Info'!$G$6)*(3600*24*365*10000/1000000000)</f>
        <v>9.1386597600000008E-2</v>
      </c>
      <c r="Q115" s="5">
        <f>E115*IF(C115="Woodland",'Supporting Info'!$F$7,'Supporting Info'!$G$7)*(3600*24*365*10000/1000000000)</f>
        <v>0</v>
      </c>
      <c r="R115" s="63">
        <f>F115*IF(C115="Woodland",'Supporting Info'!$F$8,'Supporting Info'!$G$8)*(3600*24*365*10000/1000000000)</f>
        <v>0</v>
      </c>
      <c r="S115" s="98"/>
      <c r="T115" s="5">
        <f t="shared" si="71"/>
        <v>2.7813312313043483E-2</v>
      </c>
      <c r="U115" s="5">
        <f t="shared" si="72"/>
        <v>1.9866651652173913E-3</v>
      </c>
      <c r="V115" s="109">
        <f t="shared" si="73"/>
        <v>0</v>
      </c>
      <c r="W115" s="139"/>
      <c r="X115" s="90" t="s">
        <v>65</v>
      </c>
      <c r="Y115" s="91">
        <f>T115/'Critical Loads '!$D$5</f>
        <v>5.5626624626086965E-3</v>
      </c>
      <c r="Z115" s="92">
        <f t="shared" si="74"/>
        <v>1.9866651652173913E-3</v>
      </c>
      <c r="AA115" s="91">
        <f>Z115/'Critical Loads '!$F$5</f>
        <v>1.3607295652173913E-3</v>
      </c>
    </row>
    <row r="116" spans="2:27" x14ac:dyDescent="0.25">
      <c r="B116" s="90" t="s">
        <v>66</v>
      </c>
      <c r="C116" s="98" t="s">
        <v>18</v>
      </c>
      <c r="D116" s="66">
        <v>0.13847999999999999</v>
      </c>
      <c r="E116" s="60"/>
      <c r="F116" s="60"/>
      <c r="G116" s="9">
        <v>1.80016</v>
      </c>
      <c r="H116" s="138"/>
      <c r="I116" s="90" t="s">
        <v>66</v>
      </c>
      <c r="J116" s="79">
        <f t="shared" si="67"/>
        <v>4.6159999999999994E-3</v>
      </c>
      <c r="K116" s="119">
        <f t="shared" si="68"/>
        <v>0</v>
      </c>
      <c r="L116" s="83">
        <f t="shared" si="69"/>
        <v>0</v>
      </c>
      <c r="M116" s="84">
        <f t="shared" si="70"/>
        <v>2.4002133333333332E-2</v>
      </c>
      <c r="N116" s="138"/>
      <c r="O116" s="90" t="s">
        <v>66</v>
      </c>
      <c r="P116" s="5">
        <f>D116*IF(C116="Woodland",'Supporting Info'!$F$6,'Supporting Info'!$G$6)*(3600*24*365*10000/1000000000)</f>
        <v>6.5506579199999998E-2</v>
      </c>
      <c r="Q116" s="5">
        <f>E116*IF(C116="Woodland",'Supporting Info'!$F$7,'Supporting Info'!$G$7)*(3600*24*365*10000/1000000000)</f>
        <v>0</v>
      </c>
      <c r="R116" s="63">
        <f>F116*IF(C116="Woodland",'Supporting Info'!$F$8,'Supporting Info'!$G$8)*(3600*24*365*10000/1000000000)</f>
        <v>0</v>
      </c>
      <c r="S116" s="98"/>
      <c r="T116" s="5">
        <f t="shared" si="71"/>
        <v>1.9936784973913043E-2</v>
      </c>
      <c r="U116" s="5">
        <f t="shared" si="72"/>
        <v>1.4240560695652175E-3</v>
      </c>
      <c r="V116" s="109">
        <f t="shared" si="73"/>
        <v>0</v>
      </c>
      <c r="W116" s="139"/>
      <c r="X116" s="90" t="s">
        <v>66</v>
      </c>
      <c r="Y116" s="91">
        <f>T116/'Critical Loads '!$D$5</f>
        <v>3.9873569947826088E-3</v>
      </c>
      <c r="Z116" s="92">
        <f t="shared" si="74"/>
        <v>1.4240560695652175E-3</v>
      </c>
      <c r="AA116" s="91">
        <f>Z116/'Critical Loads '!$F$5</f>
        <v>9.7538086956521744E-4</v>
      </c>
    </row>
    <row r="117" spans="2:27" x14ac:dyDescent="0.25">
      <c r="B117" s="90" t="s">
        <v>67</v>
      </c>
      <c r="C117" s="98" t="s">
        <v>18</v>
      </c>
      <c r="D117" s="66">
        <v>0.15479999999999999</v>
      </c>
      <c r="E117" s="60"/>
      <c r="F117" s="60"/>
      <c r="G117" s="9">
        <v>1.88916</v>
      </c>
      <c r="H117" s="138"/>
      <c r="I117" s="90" t="s">
        <v>67</v>
      </c>
      <c r="J117" s="79">
        <f t="shared" si="67"/>
        <v>5.1599999999999997E-3</v>
      </c>
      <c r="K117" s="119">
        <f t="shared" si="68"/>
        <v>0</v>
      </c>
      <c r="L117" s="83">
        <f t="shared" si="69"/>
        <v>0</v>
      </c>
      <c r="M117" s="84">
        <f t="shared" si="70"/>
        <v>2.5188800000000001E-2</v>
      </c>
      <c r="N117" s="138"/>
      <c r="O117" s="90" t="s">
        <v>67</v>
      </c>
      <c r="P117" s="5">
        <f>D117*IF(C117="Woodland",'Supporting Info'!$F$6,'Supporting Info'!$G$6)*(3600*24*365*10000/1000000000)</f>
        <v>7.3226592000000007E-2</v>
      </c>
      <c r="Q117" s="5">
        <f>E117*IF(C117="Woodland",'Supporting Info'!$F$7,'Supporting Info'!$G$7)*(3600*24*365*10000/1000000000)</f>
        <v>0</v>
      </c>
      <c r="R117" s="63">
        <f>F117*IF(C117="Woodland",'Supporting Info'!$F$8,'Supporting Info'!$G$8)*(3600*24*365*10000/1000000000)</f>
        <v>0</v>
      </c>
      <c r="S117" s="98"/>
      <c r="T117" s="5">
        <f t="shared" si="71"/>
        <v>2.2286354086956527E-2</v>
      </c>
      <c r="U117" s="5">
        <f t="shared" si="72"/>
        <v>1.5918824347826088E-3</v>
      </c>
      <c r="V117" s="109">
        <f t="shared" si="73"/>
        <v>0</v>
      </c>
      <c r="W117" s="139"/>
      <c r="X117" s="90" t="s">
        <v>67</v>
      </c>
      <c r="Y117" s="91">
        <f>T117/'Critical Loads '!$D$5</f>
        <v>4.457270817391305E-3</v>
      </c>
      <c r="Z117" s="92">
        <f t="shared" si="74"/>
        <v>1.5918824347826088E-3</v>
      </c>
      <c r="AA117" s="91">
        <f>Z117/'Critical Loads '!$F$5</f>
        <v>1.0903304347826088E-3</v>
      </c>
    </row>
    <row r="118" spans="2:27" x14ac:dyDescent="0.25">
      <c r="B118" s="105"/>
    </row>
    <row r="119" spans="2:27" x14ac:dyDescent="0.25">
      <c r="B119" s="105"/>
      <c r="D119" s="71">
        <f>MAX(D12:D16,D35:D44,D59:D63,D84:D88,D108:D112)</f>
        <v>0.27234000000000003</v>
      </c>
      <c r="E119" s="71"/>
      <c r="F119" s="71"/>
      <c r="G119" s="71">
        <f>MAX(G12:G16,G35:G44,G59:G63,G84:G88,G108:G112)</f>
        <v>4.0590999999999999</v>
      </c>
      <c r="H119" s="71"/>
      <c r="I119" s="71"/>
      <c r="J119" s="71">
        <f>MAX(J12:J21,J35:J44,J59:J68,J84:J93,J108:J117)</f>
        <v>9.078000000000001E-3</v>
      </c>
      <c r="K119" s="71"/>
      <c r="L119" s="71"/>
      <c r="M119" s="71">
        <f>MAX(M12:M16,M35:M44,M59:M63,M84:M88,M108:M112)</f>
        <v>5.4121333333333334E-2</v>
      </c>
      <c r="N119" s="71"/>
      <c r="O119" s="71"/>
      <c r="P119" s="71">
        <f>MAX(P12:P16,P35:P44,P59:P63,P84:P88,P108:P112)</f>
        <v>0.12882771360000003</v>
      </c>
      <c r="Q119" s="71"/>
      <c r="R119" s="71"/>
      <c r="S119" s="71">
        <f>MAX(S12:S16,S35:S44,S59:S63,S84:S88,S108:S112)</f>
        <v>0</v>
      </c>
      <c r="T119" s="71">
        <f>MAX(T12:T16,T35:T44,T59:T63,T84:T88,T108:T112)</f>
        <v>3.9208434573913056E-2</v>
      </c>
      <c r="U119" s="72">
        <f>MAX(U12:U16,U35:U44,U59:U63,U84:U88,U108:U112)</f>
        <v>2.800602469565218E-3</v>
      </c>
      <c r="V119" s="71"/>
      <c r="W119" s="71"/>
      <c r="X119" s="71"/>
      <c r="Y119" s="71">
        <f>MAX(Y12:Y16,Y35:Y44,Y59:Y63,Y84:Y88,Y108:Y112)</f>
        <v>7.8416869147826113E-3</v>
      </c>
      <c r="Z119" s="71">
        <f>MAX(Z12:Z16,Z35:Z44,Z59:Z63,Z84:Z88,Z108:Z112)</f>
        <v>2.800602469565218E-3</v>
      </c>
      <c r="AA119" s="71">
        <f>MAX(AA12:AA16,AA35:AA44,AA59:AA63,AA84:AA88,AA108:AA112)</f>
        <v>1.9182208695652178E-3</v>
      </c>
    </row>
    <row r="120" spans="2:27" x14ac:dyDescent="0.25">
      <c r="B120" s="105"/>
    </row>
  </sheetData>
  <mergeCells count="85">
    <mergeCell ref="B2:AA2"/>
    <mergeCell ref="J5:M7"/>
    <mergeCell ref="P5:AA7"/>
    <mergeCell ref="B8:G8"/>
    <mergeCell ref="B9:B11"/>
    <mergeCell ref="C9:C11"/>
    <mergeCell ref="D9:F9"/>
    <mergeCell ref="J9:M9"/>
    <mergeCell ref="P9:V9"/>
    <mergeCell ref="X9:AA9"/>
    <mergeCell ref="I10:I11"/>
    <mergeCell ref="O10:O11"/>
    <mergeCell ref="X10:X11"/>
    <mergeCell ref="Y10:Y11"/>
    <mergeCell ref="AA10:AA11"/>
    <mergeCell ref="P11:R11"/>
    <mergeCell ref="Z10:Z11"/>
    <mergeCell ref="B25:AA25"/>
    <mergeCell ref="J28:M30"/>
    <mergeCell ref="P28:AA30"/>
    <mergeCell ref="B31:G31"/>
    <mergeCell ref="B32:B34"/>
    <mergeCell ref="C32:C34"/>
    <mergeCell ref="D32:F32"/>
    <mergeCell ref="J32:M32"/>
    <mergeCell ref="P32:V32"/>
    <mergeCell ref="X32:AA32"/>
    <mergeCell ref="I33:I34"/>
    <mergeCell ref="O33:O34"/>
    <mergeCell ref="X33:X34"/>
    <mergeCell ref="Y33:Y34"/>
    <mergeCell ref="AA33:AA34"/>
    <mergeCell ref="P34:R34"/>
    <mergeCell ref="Z33:Z34"/>
    <mergeCell ref="B49:AA49"/>
    <mergeCell ref="J52:M54"/>
    <mergeCell ref="P52:AA54"/>
    <mergeCell ref="B55:G55"/>
    <mergeCell ref="B56:B58"/>
    <mergeCell ref="C56:C58"/>
    <mergeCell ref="D56:F56"/>
    <mergeCell ref="J56:M56"/>
    <mergeCell ref="P56:V56"/>
    <mergeCell ref="X56:AA56"/>
    <mergeCell ref="I57:I58"/>
    <mergeCell ref="O57:O58"/>
    <mergeCell ref="X57:X58"/>
    <mergeCell ref="Y57:Y58"/>
    <mergeCell ref="AA57:AA58"/>
    <mergeCell ref="P58:R58"/>
    <mergeCell ref="Z57:Z58"/>
    <mergeCell ref="B74:AA74"/>
    <mergeCell ref="J77:M79"/>
    <mergeCell ref="P77:AA79"/>
    <mergeCell ref="B80:G80"/>
    <mergeCell ref="C81:C83"/>
    <mergeCell ref="D81:F81"/>
    <mergeCell ref="J81:M81"/>
    <mergeCell ref="P81:V81"/>
    <mergeCell ref="P101:AA103"/>
    <mergeCell ref="B98:AA98"/>
    <mergeCell ref="J101:M103"/>
    <mergeCell ref="X81:AA81"/>
    <mergeCell ref="I82:I83"/>
    <mergeCell ref="O82:O83"/>
    <mergeCell ref="X82:X83"/>
    <mergeCell ref="Y82:Y83"/>
    <mergeCell ref="AA82:AA83"/>
    <mergeCell ref="P83:R83"/>
    <mergeCell ref="Z82:Z83"/>
    <mergeCell ref="B81:B83"/>
    <mergeCell ref="B104:G104"/>
    <mergeCell ref="B105:B107"/>
    <mergeCell ref="C105:C107"/>
    <mergeCell ref="D105:F105"/>
    <mergeCell ref="J105:M105"/>
    <mergeCell ref="P105:V105"/>
    <mergeCell ref="X105:AA105"/>
    <mergeCell ref="I106:I107"/>
    <mergeCell ref="O106:O107"/>
    <mergeCell ref="X106:X107"/>
    <mergeCell ref="Y106:Y107"/>
    <mergeCell ref="AA106:AA107"/>
    <mergeCell ref="P107:R107"/>
    <mergeCell ref="Z106:Z107"/>
  </mergeCells>
  <phoneticPr fontId="7" type="noConversion"/>
  <conditionalFormatting sqref="J12:J21 J35:J44 J59:J68 J84:J93 J108:J117">
    <cfRule type="cellIs" dxfId="43" priority="5" operator="greaterThan">
      <formula>1</formula>
    </cfRule>
  </conditionalFormatting>
  <conditionalFormatting sqref="J35:J44 J12:J21">
    <cfRule type="top10" dxfId="42" priority="337" rank="1"/>
  </conditionalFormatting>
  <conditionalFormatting sqref="J59:J68">
    <cfRule type="top10" dxfId="41" priority="349" rank="1"/>
  </conditionalFormatting>
  <conditionalFormatting sqref="J84:J93">
    <cfRule type="top10" dxfId="40" priority="357" rank="1"/>
  </conditionalFormatting>
  <conditionalFormatting sqref="J108:J117">
    <cfRule type="top10" dxfId="39" priority="365" rank="1"/>
  </conditionalFormatting>
  <conditionalFormatting sqref="J12:M21">
    <cfRule type="cellIs" dxfId="38" priority="7" operator="greaterThan">
      <formula>100</formula>
    </cfRule>
  </conditionalFormatting>
  <conditionalFormatting sqref="M12:M21 M35:M44 M59:M68 M84:M93 M108:M117">
    <cfRule type="cellIs" dxfId="37" priority="4" operator="greaterThan">
      <formula>10</formula>
    </cfRule>
  </conditionalFormatting>
  <conditionalFormatting sqref="M35:M44 M12:M21">
    <cfRule type="top10" dxfId="36" priority="339" rank="1"/>
  </conditionalFormatting>
  <conditionalFormatting sqref="M35:M44">
    <cfRule type="top10" dxfId="35" priority="341" rank="1"/>
  </conditionalFormatting>
  <conditionalFormatting sqref="M59:M68">
    <cfRule type="top10" dxfId="34" priority="350" rank="1"/>
  </conditionalFormatting>
  <conditionalFormatting sqref="M84:M93">
    <cfRule type="top10" dxfId="33" priority="358" rank="1"/>
  </conditionalFormatting>
  <conditionalFormatting sqref="M108:M117">
    <cfRule type="top10" dxfId="32" priority="366" rank="1"/>
  </conditionalFormatting>
  <conditionalFormatting sqref="T35:T44 T12:T21">
    <cfRule type="top10" dxfId="31" priority="342" rank="1"/>
  </conditionalFormatting>
  <conditionalFormatting sqref="T59:T68">
    <cfRule type="top10" dxfId="30" priority="351" rank="1"/>
  </conditionalFormatting>
  <conditionalFormatting sqref="T84:T93">
    <cfRule type="top10" dxfId="29" priority="359" rank="1"/>
  </conditionalFormatting>
  <conditionalFormatting sqref="T108:T117">
    <cfRule type="top10" dxfId="28" priority="367" rank="1"/>
  </conditionalFormatting>
  <conditionalFormatting sqref="U35:U44 U12:U21">
    <cfRule type="top10" dxfId="27" priority="344" rank="1"/>
  </conditionalFormatting>
  <conditionalFormatting sqref="U59:U68">
    <cfRule type="top10" dxfId="26" priority="352" rank="1"/>
  </conditionalFormatting>
  <conditionalFormatting sqref="U84:U93">
    <cfRule type="top10" dxfId="25" priority="360" rank="1"/>
  </conditionalFormatting>
  <conditionalFormatting sqref="U108:U117">
    <cfRule type="top10" dxfId="24" priority="368" rank="1"/>
  </conditionalFormatting>
  <conditionalFormatting sqref="Y12:Y21">
    <cfRule type="cellIs" dxfId="23" priority="61" operator="greaterThan">
      <formula>1</formula>
    </cfRule>
  </conditionalFormatting>
  <conditionalFormatting sqref="Y35:Y44 Y12:Y21">
    <cfRule type="top10" dxfId="22" priority="346" rank="1"/>
  </conditionalFormatting>
  <conditionalFormatting sqref="Y35:Y44">
    <cfRule type="cellIs" dxfId="21" priority="57" operator="greaterThan">
      <formula>1</formula>
    </cfRule>
  </conditionalFormatting>
  <conditionalFormatting sqref="Y59:Y68">
    <cfRule type="cellIs" dxfId="20" priority="353" operator="greaterThan">
      <formula>1</formula>
    </cfRule>
    <cfRule type="top10" dxfId="19" priority="354" rank="1"/>
  </conditionalFormatting>
  <conditionalFormatting sqref="Y84:Y93">
    <cfRule type="cellIs" dxfId="18" priority="361" operator="greaterThan">
      <formula>1</formula>
    </cfRule>
    <cfRule type="top10" dxfId="17" priority="362" rank="1"/>
  </conditionalFormatting>
  <conditionalFormatting sqref="Y108:Y117">
    <cfRule type="cellIs" dxfId="16" priority="369" operator="greaterThan">
      <formula>1</formula>
    </cfRule>
    <cfRule type="top10" dxfId="15" priority="370" rank="1"/>
  </conditionalFormatting>
  <conditionalFormatting sqref="Y12:AA21">
    <cfRule type="cellIs" dxfId="14" priority="6" operator="greaterThan">
      <formula>100</formula>
    </cfRule>
  </conditionalFormatting>
  <conditionalFormatting sqref="AA12:AA21">
    <cfRule type="cellIs" dxfId="13" priority="60" operator="greaterThan">
      <formula>1</formula>
    </cfRule>
  </conditionalFormatting>
  <conditionalFormatting sqref="AA35:AA44 AA12:AA21">
    <cfRule type="top10" dxfId="12" priority="348" rank="1"/>
  </conditionalFormatting>
  <conditionalFormatting sqref="AA35:AA44">
    <cfRule type="cellIs" dxfId="11" priority="56" operator="greaterThan">
      <formula>1</formula>
    </cfRule>
  </conditionalFormatting>
  <conditionalFormatting sqref="AA59:AA68">
    <cfRule type="cellIs" dxfId="10" priority="355" operator="greaterThan">
      <formula>1</formula>
    </cfRule>
    <cfRule type="top10" dxfId="9" priority="356" rank="1"/>
  </conditionalFormatting>
  <conditionalFormatting sqref="AA84:AA93">
    <cfRule type="cellIs" dxfId="8" priority="363" operator="greaterThan">
      <formula>1</formula>
    </cfRule>
    <cfRule type="top10" dxfId="7" priority="364" rank="1"/>
  </conditionalFormatting>
  <conditionalFormatting sqref="AA108:AA117">
    <cfRule type="cellIs" dxfId="6" priority="371" operator="greaterThan">
      <formula>1</formula>
    </cfRule>
    <cfRule type="top10" dxfId="5" priority="372" rank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974EDF-DD74-4CB6-9355-7AA3D159521F}">
          <x14:formula1>
            <xm:f>'Supporting Info'!$A$3:$A$4</xm:f>
          </x14:formula1>
          <xm:sqref>C59:C68 C12:C21 C84:C93 C108:C117 C35:C44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1E51-B626-483C-A920-389C7EE35A29}">
  <dimension ref="A1:AD20"/>
  <sheetViews>
    <sheetView workbookViewId="0">
      <selection activeCell="B5" sqref="B5"/>
    </sheetView>
  </sheetViews>
  <sheetFormatPr defaultRowHeight="15" x14ac:dyDescent="0.25"/>
  <sheetData>
    <row r="1" spans="1:30" x14ac:dyDescent="0.25">
      <c r="A1" s="115" t="s">
        <v>68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30" x14ac:dyDescent="0.25">
      <c r="A2" s="115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30" x14ac:dyDescent="0.25">
      <c r="A3" s="115"/>
      <c r="B3" s="70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 t="s">
        <v>71</v>
      </c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x14ac:dyDescent="0.25">
      <c r="A4" s="115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</row>
    <row r="5" spans="1:30" x14ac:dyDescent="0.25">
      <c r="A5" s="69"/>
      <c r="B5" s="120"/>
      <c r="C5" s="69"/>
      <c r="D5" s="69"/>
      <c r="E5" s="69"/>
      <c r="F5" s="69"/>
      <c r="G5" s="69"/>
      <c r="H5" s="121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20"/>
      <c r="U5" s="69"/>
      <c r="V5" s="69"/>
      <c r="W5" s="69"/>
      <c r="X5" s="69"/>
      <c r="Y5" s="69"/>
      <c r="Z5" s="121"/>
      <c r="AA5" s="69"/>
      <c r="AB5" s="69"/>
      <c r="AC5" s="69"/>
      <c r="AD5" s="69"/>
    </row>
    <row r="6" spans="1:30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</row>
    <row r="7" spans="1:30" x14ac:dyDescent="0.25">
      <c r="A7" s="69"/>
      <c r="B7" s="69"/>
      <c r="C7" s="206" t="s">
        <v>69</v>
      </c>
      <c r="D7" s="206"/>
      <c r="E7" s="206"/>
      <c r="F7" s="206"/>
      <c r="G7" s="206"/>
      <c r="H7" s="207" t="s">
        <v>70</v>
      </c>
      <c r="I7" s="207"/>
      <c r="J7" s="207"/>
      <c r="K7" s="207"/>
      <c r="L7" s="207"/>
      <c r="M7" s="208" t="s">
        <v>74</v>
      </c>
      <c r="N7" s="208"/>
      <c r="O7" s="208"/>
      <c r="P7" s="208"/>
      <c r="Q7" s="208"/>
      <c r="R7" s="69"/>
      <c r="S7" s="69"/>
      <c r="T7" s="69"/>
      <c r="U7" s="206" t="s">
        <v>72</v>
      </c>
      <c r="V7" s="206"/>
      <c r="W7" s="206"/>
      <c r="X7" s="206"/>
      <c r="Y7" s="206"/>
      <c r="Z7" s="207" t="s">
        <v>73</v>
      </c>
      <c r="AA7" s="207"/>
      <c r="AB7" s="207"/>
      <c r="AC7" s="207"/>
      <c r="AD7" s="207"/>
    </row>
    <row r="8" spans="1:30" x14ac:dyDescent="0.25">
      <c r="A8" s="69"/>
      <c r="B8" s="69"/>
      <c r="C8" s="116">
        <v>2020</v>
      </c>
      <c r="D8" s="116">
        <v>2021</v>
      </c>
      <c r="E8" s="116">
        <v>2022</v>
      </c>
      <c r="F8" s="116">
        <v>2023</v>
      </c>
      <c r="G8" s="116">
        <v>2024</v>
      </c>
      <c r="H8" s="117">
        <v>2020</v>
      </c>
      <c r="I8" s="117">
        <v>2021</v>
      </c>
      <c r="J8" s="117">
        <v>2022</v>
      </c>
      <c r="K8" s="117">
        <v>2023</v>
      </c>
      <c r="L8" s="117">
        <v>2024</v>
      </c>
      <c r="M8" s="144">
        <v>2020</v>
      </c>
      <c r="N8" s="144">
        <v>2021</v>
      </c>
      <c r="O8" s="144">
        <v>2022</v>
      </c>
      <c r="P8" s="144">
        <v>2023</v>
      </c>
      <c r="Q8" s="144">
        <v>2024</v>
      </c>
      <c r="R8" s="69"/>
      <c r="S8" s="69"/>
      <c r="T8" s="69"/>
      <c r="U8" s="116">
        <v>2020</v>
      </c>
      <c r="V8" s="116">
        <v>2021</v>
      </c>
      <c r="W8" s="116">
        <v>2022</v>
      </c>
      <c r="X8" s="116">
        <v>2023</v>
      </c>
      <c r="Y8" s="116">
        <v>2024</v>
      </c>
      <c r="Z8" s="117">
        <v>2020</v>
      </c>
      <c r="AA8" s="117">
        <v>2021</v>
      </c>
      <c r="AB8" s="117">
        <v>2022</v>
      </c>
      <c r="AC8" s="117">
        <v>2023</v>
      </c>
      <c r="AD8" s="117">
        <v>2024</v>
      </c>
    </row>
    <row r="9" spans="1:30" x14ac:dyDescent="0.25">
      <c r="A9" s="69"/>
      <c r="B9" s="98" t="s">
        <v>56</v>
      </c>
      <c r="C9" s="119">
        <f>'1 - Rochdale Canal SSSI SAC'!J12</f>
        <v>4.7790000000000003E-3</v>
      </c>
      <c r="D9" s="119">
        <f>'1 - Rochdale Canal SSSI SAC'!J35</f>
        <v>5.0883333333333336E-3</v>
      </c>
      <c r="E9" s="119">
        <f>'1 - Rochdale Canal SSSI SAC'!J59</f>
        <v>5.6516666666666668E-3</v>
      </c>
      <c r="F9" s="119">
        <f>'1 - Rochdale Canal SSSI SAC'!J84</f>
        <v>4.9886666666666664E-3</v>
      </c>
      <c r="G9" s="119">
        <f>'1 - Rochdale Canal SSSI SAC'!J108</f>
        <v>4.3119999999999999E-3</v>
      </c>
      <c r="H9" s="118">
        <f>'1 - Rochdale Canal SSSI SAC'!M12</f>
        <v>2.4099733333333331E-2</v>
      </c>
      <c r="I9" s="118">
        <f>'1 - Rochdale Canal SSSI SAC'!M35</f>
        <v>3.1795866666666665E-2</v>
      </c>
      <c r="J9" s="118">
        <f>'1 - Rochdale Canal SSSI SAC'!M59</f>
        <v>3.9825733333333335E-2</v>
      </c>
      <c r="K9" s="118">
        <f>'1 - Rochdale Canal SSSI SAC'!M84</f>
        <v>2.5581066666666666E-2</v>
      </c>
      <c r="L9" s="118">
        <f>'1 - Rochdale Canal SSSI SAC'!M108</f>
        <v>2.6782133333333333E-2</v>
      </c>
      <c r="M9" s="145">
        <f>'1 - Rochdale Canal SSSI SAC'!K12</f>
        <v>0</v>
      </c>
      <c r="N9" s="145">
        <f>'1 - Rochdale Canal SSSI SAC'!K35</f>
        <v>0</v>
      </c>
      <c r="O9" s="145">
        <f>'1 - Rochdale Canal SSSI SAC'!K59</f>
        <v>0</v>
      </c>
      <c r="P9" s="145">
        <f>'1 - Rochdale Canal SSSI SAC'!K84</f>
        <v>0</v>
      </c>
      <c r="Q9" s="145">
        <f>'1 - Rochdale Canal SSSI SAC'!K108</f>
        <v>0</v>
      </c>
      <c r="R9" s="69"/>
      <c r="S9" s="69"/>
      <c r="T9" s="98" t="s">
        <v>56</v>
      </c>
      <c r="U9" s="119">
        <f>'1 - Rochdale Canal SSSI SAC'!Y12</f>
        <v>4.1281583791304352E-3</v>
      </c>
      <c r="V9" s="119">
        <f>'1 - Rochdale Canal SSSI SAC'!Y35</f>
        <v>4.3953642782608698E-3</v>
      </c>
      <c r="W9" s="119">
        <f>'1 - Rochdale Canal SSSI SAC'!Y59</f>
        <v>4.8819784695652178E-3</v>
      </c>
      <c r="X9" s="119">
        <f>'1 - Rochdale Canal SSSI SAC'!Y84</f>
        <v>4.3092709982608694E-3</v>
      </c>
      <c r="Y9" s="119">
        <f>'1 - Rochdale Canal SSSI SAC'!Y108</f>
        <v>3.7247580939130443E-3</v>
      </c>
      <c r="Z9" s="118">
        <f>'1 - Rochdale Canal SSSI SAC'!AA12</f>
        <v>1.0098234782608695E-3</v>
      </c>
      <c r="AA9" s="118">
        <f>'1 - Rochdale Canal SSSI SAC'!AA35</f>
        <v>1.0751869565217393E-3</v>
      </c>
      <c r="AB9" s="118">
        <f>'1 - Rochdale Canal SSSI SAC'!AA59</f>
        <v>1.1942217391304349E-3</v>
      </c>
      <c r="AC9" s="118">
        <f>'1 - Rochdale Canal SSSI SAC'!AA84</f>
        <v>1.054126956521739E-3</v>
      </c>
      <c r="AD9" s="118">
        <f>'1 - Rochdale Canal SSSI SAC'!AA108</f>
        <v>9.1114434782608707E-4</v>
      </c>
    </row>
    <row r="10" spans="1:30" x14ac:dyDescent="0.25">
      <c r="A10" s="69"/>
      <c r="B10" s="98" t="s">
        <v>57</v>
      </c>
      <c r="C10" s="119">
        <f>'1 - Rochdale Canal SSSI SAC'!J13</f>
        <v>4.4313333333333331E-3</v>
      </c>
      <c r="D10" s="119">
        <f>'1 - Rochdale Canal SSSI SAC'!J36</f>
        <v>5.13E-3</v>
      </c>
      <c r="E10" s="119">
        <f>'1 - Rochdale Canal SSSI SAC'!J60</f>
        <v>5.4096666666666659E-3</v>
      </c>
      <c r="F10" s="119">
        <f>'1 - Rochdale Canal SSSI SAC'!J85</f>
        <v>5.0343333333333334E-3</v>
      </c>
      <c r="G10" s="119">
        <f>'1 - Rochdale Canal SSSI SAC'!J109</f>
        <v>4.176333333333334E-3</v>
      </c>
      <c r="H10" s="118">
        <f>'1 - Rochdale Canal SSSI SAC'!M13</f>
        <v>3.1295333333333335E-2</v>
      </c>
      <c r="I10" s="118">
        <f>'1 - Rochdale Canal SSSI SAC'!M36</f>
        <v>3.4895733333333331E-2</v>
      </c>
      <c r="J10" s="118">
        <f>'1 - Rochdale Canal SSSI SAC'!M60</f>
        <v>3.0613466666666665E-2</v>
      </c>
      <c r="K10" s="118">
        <f>'1 - Rochdale Canal SSSI SAC'!M85</f>
        <v>3.0861333333333334E-2</v>
      </c>
      <c r="L10" s="118">
        <f>'1 - Rochdale Canal SSSI SAC'!M109</f>
        <v>2.9789733333333335E-2</v>
      </c>
      <c r="M10" s="145">
        <f>'1 - Rochdale Canal SSSI SAC'!K13</f>
        <v>0</v>
      </c>
      <c r="N10" s="145">
        <f>'1 - Rochdale Canal SSSI SAC'!K36</f>
        <v>0</v>
      </c>
      <c r="O10" s="145">
        <f>'1 - Rochdale Canal SSSI SAC'!K60</f>
        <v>0</v>
      </c>
      <c r="P10" s="145">
        <f>'1 - Rochdale Canal SSSI SAC'!K85</f>
        <v>0</v>
      </c>
      <c r="Q10" s="145">
        <f>'1 - Rochdale Canal SSSI SAC'!K109</f>
        <v>0</v>
      </c>
      <c r="R10" s="69"/>
      <c r="S10" s="69"/>
      <c r="T10" s="98" t="s">
        <v>57</v>
      </c>
      <c r="U10" s="119">
        <f>'1 - Rochdale Canal SSSI SAC'!Y13</f>
        <v>3.8278396800000012E-3</v>
      </c>
      <c r="V10" s="119">
        <f>'1 - Rochdale Canal SSSI SAC'!Y36</f>
        <v>4.4313564521739138E-3</v>
      </c>
      <c r="W10" s="119">
        <f>'1 - Rochdale Canal SSSI SAC'!Y60</f>
        <v>4.6729359234782605E-3</v>
      </c>
      <c r="X10" s="119">
        <f>'1 - Rochdale Canal SSSI SAC'!Y85</f>
        <v>4.3487184208695654E-3</v>
      </c>
      <c r="Y10" s="119">
        <f>'1 - Rochdale Canal SSSI SAC'!Y109</f>
        <v>3.6075675756521751E-3</v>
      </c>
      <c r="Z10" s="118">
        <f>'1 - Rochdale Canal SSSI SAC'!AA13</f>
        <v>9.3636000000000023E-4</v>
      </c>
      <c r="AA10" s="118">
        <f>'1 - Rochdale Canal SSSI SAC'!AA36</f>
        <v>1.0839913043478263E-3</v>
      </c>
      <c r="AB10" s="118">
        <f>'1 - Rochdale Canal SSSI SAC'!AA60</f>
        <v>1.1430860869565218E-3</v>
      </c>
      <c r="AC10" s="118">
        <f>'1 - Rochdale Canal SSSI SAC'!AA85</f>
        <v>1.0637765217391304E-3</v>
      </c>
      <c r="AD10" s="118">
        <f>'1 - Rochdale Canal SSSI SAC'!AA109</f>
        <v>8.8247739130434797E-4</v>
      </c>
    </row>
    <row r="11" spans="1:30" x14ac:dyDescent="0.25">
      <c r="A11" s="69"/>
      <c r="B11" s="98" t="s">
        <v>58</v>
      </c>
      <c r="C11" s="119">
        <f>'1 - Rochdale Canal SSSI SAC'!J14</f>
        <v>4.1356666666666668E-3</v>
      </c>
      <c r="D11" s="119">
        <f>'1 - Rochdale Canal SSSI SAC'!J37</f>
        <v>4.4073333333333334E-3</v>
      </c>
      <c r="E11" s="119">
        <f>'1 - Rochdale Canal SSSI SAC'!J61</f>
        <v>5.0683333333333327E-3</v>
      </c>
      <c r="F11" s="119">
        <f>'1 - Rochdale Canal SSSI SAC'!J86</f>
        <v>4.8519999999999995E-3</v>
      </c>
      <c r="G11" s="119">
        <f>'1 - Rochdale Canal SSSI SAC'!J110</f>
        <v>4.692E-3</v>
      </c>
      <c r="H11" s="118">
        <f>'1 - Rochdale Canal SSSI SAC'!M14</f>
        <v>2.6663066666666665E-2</v>
      </c>
      <c r="I11" s="118">
        <f>'1 - Rochdale Canal SSSI SAC'!M37</f>
        <v>3.0851199999999999E-2</v>
      </c>
      <c r="J11" s="118">
        <f>'1 - Rochdale Canal SSSI SAC'!M61</f>
        <v>2.0668933333333334E-2</v>
      </c>
      <c r="K11" s="118">
        <f>'1 - Rochdale Canal SSSI SAC'!M86</f>
        <v>3.0893599999999997E-2</v>
      </c>
      <c r="L11" s="118">
        <f>'1 - Rochdale Canal SSSI SAC'!M110</f>
        <v>2.4986666666666667E-2</v>
      </c>
      <c r="M11" s="145">
        <f>'1 - Rochdale Canal SSSI SAC'!K14</f>
        <v>0</v>
      </c>
      <c r="N11" s="145">
        <f>'1 - Rochdale Canal SSSI SAC'!K37</f>
        <v>0</v>
      </c>
      <c r="O11" s="145">
        <f>'1 - Rochdale Canal SSSI SAC'!K61</f>
        <v>0</v>
      </c>
      <c r="P11" s="145">
        <f>'1 - Rochdale Canal SSSI SAC'!K86</f>
        <v>0</v>
      </c>
      <c r="Q11" s="145">
        <f>'1 - Rochdale Canal SSSI SAC'!K110</f>
        <v>0</v>
      </c>
      <c r="R11" s="69"/>
      <c r="S11" s="69"/>
      <c r="T11" s="98" t="s">
        <v>58</v>
      </c>
      <c r="U11" s="119">
        <f>'1 - Rochdale Canal SSSI SAC'!Y14</f>
        <v>3.5724392139130437E-3</v>
      </c>
      <c r="V11" s="119">
        <f>'1 - Rochdale Canal SSSI SAC'!Y37</f>
        <v>3.807108187826088E-3</v>
      </c>
      <c r="W11" s="119">
        <f>'1 - Rochdale Canal SSSI SAC'!Y61</f>
        <v>4.3780880347826095E-3</v>
      </c>
      <c r="X11" s="119">
        <f>'1 - Rochdale Canal SSSI SAC'!Y86</f>
        <v>4.1912166678260872E-3</v>
      </c>
      <c r="Y11" s="119">
        <f>'1 - Rochdale Canal SSSI SAC'!Y110</f>
        <v>4.0530067200000002E-3</v>
      </c>
      <c r="Z11" s="118">
        <f>'1 - Rochdale Canal SSSI SAC'!AA14</f>
        <v>8.7388434782608695E-4</v>
      </c>
      <c r="AA11" s="118">
        <f>'1 - Rochdale Canal SSSI SAC'!AA37</f>
        <v>9.3128869565217416E-4</v>
      </c>
      <c r="AB11" s="118">
        <f>'1 - Rochdale Canal SSSI SAC'!AA61</f>
        <v>1.0709608695652175E-3</v>
      </c>
      <c r="AC11" s="118">
        <f>'1 - Rochdale Canal SSSI SAC'!AA86</f>
        <v>1.025248695652174E-3</v>
      </c>
      <c r="AD11" s="118">
        <f>'1 - Rochdale Canal SSSI SAC'!AA110</f>
        <v>9.914399999999999E-4</v>
      </c>
    </row>
    <row r="12" spans="1:30" x14ac:dyDescent="0.25">
      <c r="A12" s="69"/>
      <c r="B12" s="98" t="s">
        <v>59</v>
      </c>
      <c r="C12" s="119">
        <f>'1 - Rochdale Canal SSSI SAC'!J15</f>
        <v>5.9189999999999998E-3</v>
      </c>
      <c r="D12" s="119">
        <f>'1 - Rochdale Canal SSSI SAC'!J38</f>
        <v>6.1143333333333336E-3</v>
      </c>
      <c r="E12" s="119">
        <f>'1 - Rochdale Canal SSSI SAC'!J62</f>
        <v>6.5370000000000003E-3</v>
      </c>
      <c r="F12" s="119">
        <f>'1 - Rochdale Canal SSSI SAC'!J87</f>
        <v>6.7210000000000004E-3</v>
      </c>
      <c r="G12" s="119">
        <f>'1 - Rochdale Canal SSSI SAC'!J111</f>
        <v>6.1483333333333338E-3</v>
      </c>
      <c r="H12" s="118">
        <f>'1 - Rochdale Canal SSSI SAC'!M15</f>
        <v>2.8504799999999997E-2</v>
      </c>
      <c r="I12" s="118">
        <f>'1 - Rochdale Canal SSSI SAC'!M38</f>
        <v>3.9789199999999997E-2</v>
      </c>
      <c r="J12" s="118">
        <f>'1 - Rochdale Canal SSSI SAC'!M62</f>
        <v>3.2952000000000002E-2</v>
      </c>
      <c r="K12" s="118">
        <f>'1 - Rochdale Canal SSSI SAC'!M87</f>
        <v>3.1779333333333333E-2</v>
      </c>
      <c r="L12" s="118">
        <f>'1 - Rochdale Canal SSSI SAC'!M111</f>
        <v>3.6736933333333333E-2</v>
      </c>
      <c r="M12" s="145">
        <f>'1 - Rochdale Canal SSSI SAC'!K15</f>
        <v>0</v>
      </c>
      <c r="N12" s="145">
        <f>'1 - Rochdale Canal SSSI SAC'!K38</f>
        <v>0</v>
      </c>
      <c r="O12" s="145">
        <f>'1 - Rochdale Canal SSSI SAC'!K62</f>
        <v>0</v>
      </c>
      <c r="P12" s="145">
        <f>'1 - Rochdale Canal SSSI SAC'!K87</f>
        <v>0</v>
      </c>
      <c r="Q12" s="145">
        <f>'1 - Rochdale Canal SSSI SAC'!K111</f>
        <v>0</v>
      </c>
      <c r="R12" s="69"/>
      <c r="S12" s="69"/>
      <c r="T12" s="98" t="s">
        <v>59</v>
      </c>
      <c r="U12" s="119">
        <f>'1 - Rochdale Canal SSSI SAC'!Y15</f>
        <v>5.1129042573913059E-3</v>
      </c>
      <c r="V12" s="119">
        <f>'1 - Rochdale Canal SSSI SAC'!Y38</f>
        <v>5.2816355686956529E-3</v>
      </c>
      <c r="W12" s="119">
        <f>'1 - Rochdale Canal SSSI SAC'!Y62</f>
        <v>5.6467401808695666E-3</v>
      </c>
      <c r="X12" s="119">
        <f>'1 - Rochdale Canal SSSI SAC'!Y87</f>
        <v>5.8056816208695667E-3</v>
      </c>
      <c r="Y12" s="119">
        <f>'1 - Rochdale Canal SSSI SAC'!Y111</f>
        <v>5.3110051826086961E-3</v>
      </c>
      <c r="Z12" s="118">
        <f>'1 - Rochdale Canal SSSI SAC'!AA15</f>
        <v>1.2507104347826089E-3</v>
      </c>
      <c r="AA12" s="118">
        <f>'1 - Rochdale Canal SSSI SAC'!AA38</f>
        <v>1.2919852173913044E-3</v>
      </c>
      <c r="AB12" s="118">
        <f>'1 - Rochdale Canal SSSI SAC'!AA62</f>
        <v>1.3812965217391308E-3</v>
      </c>
      <c r="AC12" s="118">
        <f>'1 - Rochdale Canal SSSI SAC'!AA87</f>
        <v>1.4201765217391308E-3</v>
      </c>
      <c r="AD12" s="118">
        <f>'1 - Rochdale Canal SSSI SAC'!AA111</f>
        <v>1.2991695652173913E-3</v>
      </c>
    </row>
    <row r="13" spans="1:30" x14ac:dyDescent="0.25">
      <c r="A13" s="69"/>
      <c r="B13" s="98" t="s">
        <v>60</v>
      </c>
      <c r="C13" s="119">
        <f>'1 - Rochdale Canal SSSI SAC'!J16</f>
        <v>7.4673333333333336E-3</v>
      </c>
      <c r="D13" s="119">
        <f>'1 - Rochdale Canal SSSI SAC'!J39</f>
        <v>7.3199999999999993E-3</v>
      </c>
      <c r="E13" s="119">
        <f>'1 - Rochdale Canal SSSI SAC'!J63</f>
        <v>6.7046666666666669E-3</v>
      </c>
      <c r="F13" s="119">
        <f>'1 - Rochdale Canal SSSI SAC'!J88</f>
        <v>9.078000000000001E-3</v>
      </c>
      <c r="G13" s="119">
        <f>'1 - Rochdale Canal SSSI SAC'!J112</f>
        <v>6.8276666666666668E-3</v>
      </c>
      <c r="H13" s="118">
        <f>'1 - Rochdale Canal SSSI SAC'!M16</f>
        <v>3.3827200000000002E-2</v>
      </c>
      <c r="I13" s="118">
        <f>'1 - Rochdale Canal SSSI SAC'!M39</f>
        <v>3.2965999999999995E-2</v>
      </c>
      <c r="J13" s="118">
        <f>'1 - Rochdale Canal SSSI SAC'!M63</f>
        <v>3.1327066666666667E-2</v>
      </c>
      <c r="K13" s="118">
        <f>'1 - Rochdale Canal SSSI SAC'!M88</f>
        <v>4.6755600000000001E-2</v>
      </c>
      <c r="L13" s="118">
        <f>'1 - Rochdale Canal SSSI SAC'!M112</f>
        <v>5.4121333333333334E-2</v>
      </c>
      <c r="M13" s="145">
        <f>'1 - Rochdale Canal SSSI SAC'!K16</f>
        <v>0</v>
      </c>
      <c r="N13" s="145">
        <f>'1 - Rochdale Canal SSSI SAC'!K39</f>
        <v>0</v>
      </c>
      <c r="O13" s="145">
        <f>'1 - Rochdale Canal SSSI SAC'!K63</f>
        <v>0</v>
      </c>
      <c r="P13" s="145">
        <f>'1 - Rochdale Canal SSSI SAC'!K88</f>
        <v>0</v>
      </c>
      <c r="Q13" s="145">
        <f>'1 - Rochdale Canal SSSI SAC'!K112</f>
        <v>0</v>
      </c>
      <c r="R13" s="69"/>
      <c r="S13" s="69"/>
      <c r="T13" s="98" t="s">
        <v>60</v>
      </c>
      <c r="U13" s="119">
        <f>'1 - Rochdale Canal SSSI SAC'!Y16</f>
        <v>6.4503734400000014E-3</v>
      </c>
      <c r="V13" s="119">
        <f>'1 - Rochdale Canal SSSI SAC'!Y39</f>
        <v>6.3231051130434781E-3</v>
      </c>
      <c r="W13" s="119">
        <f>'1 - Rochdale Canal SSSI SAC'!Y63</f>
        <v>5.7915726886956526E-3</v>
      </c>
      <c r="X13" s="119">
        <f>'1 - Rochdale Canal SSSI SAC'!Y88</f>
        <v>7.8416869147826113E-3</v>
      </c>
      <c r="Y13" s="119">
        <f>'1 - Rochdale Canal SSSI SAC'!Y112</f>
        <v>5.8978215860869578E-3</v>
      </c>
      <c r="Z13" s="118">
        <f>'1 - Rochdale Canal SSSI SAC'!AA16</f>
        <v>1.57788E-3</v>
      </c>
      <c r="AA13" s="118">
        <f>'1 - Rochdale Canal SSSI SAC'!AA39</f>
        <v>1.5467478260869564E-3</v>
      </c>
      <c r="AB13" s="118">
        <f>'1 - Rochdale Canal SSSI SAC'!AA63</f>
        <v>1.4167252173913044E-3</v>
      </c>
      <c r="AC13" s="118">
        <f>'1 - Rochdale Canal SSSI SAC'!AA88</f>
        <v>1.9182208695652178E-3</v>
      </c>
      <c r="AD13" s="118">
        <f>'1 - Rochdale Canal SSSI SAC'!AA112</f>
        <v>1.4427156521739132E-3</v>
      </c>
    </row>
    <row r="14" spans="1:30" x14ac:dyDescent="0.25">
      <c r="A14" s="69"/>
      <c r="B14" s="98" t="s">
        <v>63</v>
      </c>
      <c r="C14" s="119">
        <f>'1 - Rochdale Canal SSSI SAC'!J17</f>
        <v>8.0750000000000006E-3</v>
      </c>
      <c r="D14" s="119">
        <f>'1 - Rochdale Canal SSSI SAC'!J45</f>
        <v>0</v>
      </c>
      <c r="E14" s="119">
        <f>'1 - Rochdale Canal SSSI SAC'!J64</f>
        <v>7.0340000000000003E-3</v>
      </c>
      <c r="F14" s="119">
        <f>'1 - Rochdale Canal SSSI SAC'!J89</f>
        <v>8.9993333333333331E-3</v>
      </c>
      <c r="G14" s="119">
        <f>'1 - Rochdale Canal SSSI SAC'!J113</f>
        <v>7.1333333333333335E-3</v>
      </c>
      <c r="H14" s="118">
        <f>'1 - Rochdale Canal SSSI SAC'!M17</f>
        <v>5.2094933333333329E-2</v>
      </c>
      <c r="I14" s="118">
        <f>'1 - Rochdale Canal SSSI SAC'!M45</f>
        <v>0</v>
      </c>
      <c r="J14" s="118">
        <f>'1 - Rochdale Canal SSSI SAC'!M64</f>
        <v>3.1552266666666669E-2</v>
      </c>
      <c r="K14" s="118">
        <f>'1 - Rochdale Canal SSSI SAC'!M89</f>
        <v>3.182533333333333E-2</v>
      </c>
      <c r="L14" s="118">
        <f>'1 - Rochdale Canal SSSI SAC'!M113</f>
        <v>3.8854E-2</v>
      </c>
      <c r="M14" s="145">
        <f>'1 - Rochdale Canal SSSI SAC'!K17</f>
        <v>0</v>
      </c>
      <c r="N14" s="145">
        <f>'1 - Rochdale Canal SSSI SAC'!K40</f>
        <v>0</v>
      </c>
      <c r="O14" s="145">
        <f>'1 - Rochdale Canal SSSI SAC'!K64</f>
        <v>0</v>
      </c>
      <c r="P14" s="145">
        <f>'1 - Rochdale Canal SSSI SAC'!K89</f>
        <v>0</v>
      </c>
      <c r="Q14" s="145">
        <f>'1 - Rochdale Canal SSSI SAC'!K113</f>
        <v>0</v>
      </c>
      <c r="R14" s="69"/>
      <c r="S14" s="69"/>
      <c r="T14" s="98" t="s">
        <v>63</v>
      </c>
      <c r="U14" s="119">
        <f>'1 - Rochdale Canal SSSI SAC'!Y17</f>
        <v>6.9752833043478261E-3</v>
      </c>
      <c r="V14" s="119">
        <f>'1 - Rochdale Canal SSSI SAC'!Y40</f>
        <v>7.1307694956521759E-3</v>
      </c>
      <c r="W14" s="119">
        <f>'1 - Rochdale Canal SSSI SAC'!Y64</f>
        <v>6.0760548313043491E-3</v>
      </c>
      <c r="X14" s="119">
        <f>'1 - Rochdale Canal SSSI SAC'!Y89</f>
        <v>7.7737336904347819E-3</v>
      </c>
      <c r="Y14" s="119">
        <f>'1 - Rochdale Canal SSSI SAC'!Y113</f>
        <v>6.1618601739130436E-3</v>
      </c>
      <c r="Z14" s="118">
        <f>'1 - Rochdale Canal SSSI SAC'!AA17</f>
        <v>1.7062826086956524E-3</v>
      </c>
      <c r="AA14" s="118">
        <f>'1 - Rochdale Canal SSSI SAC'!AA40</f>
        <v>1.7443173913043479E-3</v>
      </c>
      <c r="AB14" s="118">
        <f>'1 - Rochdale Canal SSSI SAC'!AA64</f>
        <v>1.486314782608696E-3</v>
      </c>
      <c r="AC14" s="118">
        <f>'1 - Rochdale Canal SSSI SAC'!AA89</f>
        <v>1.9015982608695651E-3</v>
      </c>
      <c r="AD14" s="118">
        <f>'1 - Rochdale Canal SSSI SAC'!AA113</f>
        <v>1.5073043478260868E-3</v>
      </c>
    </row>
    <row r="15" spans="1:30" x14ac:dyDescent="0.25">
      <c r="A15" s="69"/>
      <c r="B15" s="98" t="s">
        <v>64</v>
      </c>
      <c r="C15" s="119">
        <f>'1 - Rochdale Canal SSSI SAC'!J18</f>
        <v>6.7490000000000007E-3</v>
      </c>
      <c r="D15" s="119">
        <f>'1 - Rochdale Canal SSSI SAC'!J46</f>
        <v>0</v>
      </c>
      <c r="E15" s="119">
        <f>'1 - Rochdale Canal SSSI SAC'!J65</f>
        <v>6.6036666666666665E-3</v>
      </c>
      <c r="F15" s="119">
        <f>'1 - Rochdale Canal SSSI SAC'!J90</f>
        <v>7.4660000000000004E-3</v>
      </c>
      <c r="G15" s="119">
        <f>'1 - Rochdale Canal SSSI SAC'!J114</f>
        <v>6.3340000000000002E-3</v>
      </c>
      <c r="H15" s="118">
        <f>'1 - Rochdale Canal SSSI SAC'!M18</f>
        <v>3.2950799999999995E-2</v>
      </c>
      <c r="I15" s="118">
        <f>'1 - Rochdale Canal SSSI SAC'!M46</f>
        <v>0</v>
      </c>
      <c r="J15" s="118">
        <f>'1 - Rochdale Canal SSSI SAC'!M65</f>
        <v>3.8854666666666662E-2</v>
      </c>
      <c r="K15" s="118">
        <f>'1 - Rochdale Canal SSSI SAC'!M90</f>
        <v>3.6918266666666671E-2</v>
      </c>
      <c r="L15" s="118">
        <f>'1 - Rochdale Canal SSSI SAC'!M114</f>
        <v>3.7461466666666672E-2</v>
      </c>
      <c r="M15" s="145">
        <f>'1 - Rochdale Canal SSSI SAC'!K18</f>
        <v>0</v>
      </c>
      <c r="N15" s="145">
        <f>'1 - Rochdale Canal SSSI SAC'!K41</f>
        <v>0</v>
      </c>
      <c r="O15" s="145">
        <f>'1 - Rochdale Canal SSSI SAC'!K65</f>
        <v>0</v>
      </c>
      <c r="P15" s="145">
        <f>'1 - Rochdale Canal SSSI SAC'!K90</f>
        <v>0</v>
      </c>
      <c r="Q15" s="145">
        <f>'1 - Rochdale Canal SSSI SAC'!K114</f>
        <v>0</v>
      </c>
      <c r="R15" s="69"/>
      <c r="S15" s="69"/>
      <c r="T15" s="98" t="s">
        <v>64</v>
      </c>
      <c r="U15" s="119">
        <f>'1 - Rochdale Canal SSSI SAC'!Y18</f>
        <v>5.8298683617391319E-3</v>
      </c>
      <c r="V15" s="119">
        <f>'1 - Rochdale Canal SSSI SAC'!Y41</f>
        <v>6.3092841182608717E-3</v>
      </c>
      <c r="W15" s="119">
        <f>'1 - Rochdale Canal SSSI SAC'!Y65</f>
        <v>5.7043276591304355E-3</v>
      </c>
      <c r="X15" s="119">
        <f>'1 - Rochdale Canal SSSI SAC'!Y90</f>
        <v>6.4492216904347838E-3</v>
      </c>
      <c r="Y15" s="119">
        <f>'1 - Rochdale Canal SSSI SAC'!Y114</f>
        <v>5.4713863095652172E-3</v>
      </c>
      <c r="Z15" s="118">
        <f>'1 - Rochdale Canal SSSI SAC'!AA18</f>
        <v>1.4260930434782612E-3</v>
      </c>
      <c r="AA15" s="118">
        <f>'1 - Rochdale Canal SSSI SAC'!AA41</f>
        <v>1.5433669565217394E-3</v>
      </c>
      <c r="AB15" s="118">
        <f>'1 - Rochdale Canal SSSI SAC'!AA65</f>
        <v>1.3953834782608697E-3</v>
      </c>
      <c r="AC15" s="118">
        <f>'1 - Rochdale Canal SSSI SAC'!AA90</f>
        <v>1.5775982608695657E-3</v>
      </c>
      <c r="AD15" s="118">
        <f>'1 - Rochdale Canal SSSI SAC'!AA114</f>
        <v>1.3384017391304347E-3</v>
      </c>
    </row>
    <row r="16" spans="1:30" x14ac:dyDescent="0.25">
      <c r="A16" s="69"/>
      <c r="B16" s="98" t="s">
        <v>65</v>
      </c>
      <c r="C16" s="119">
        <f>'1 - Rochdale Canal SSSI SAC'!J19</f>
        <v>6.5713333333333335E-3</v>
      </c>
      <c r="D16" s="119">
        <f>'1 - Rochdale Canal SSSI SAC'!J47</f>
        <v>0</v>
      </c>
      <c r="E16" s="119">
        <f>'1 - Rochdale Canal SSSI SAC'!J66</f>
        <v>5.7819999999999998E-3</v>
      </c>
      <c r="F16" s="119">
        <f>'1 - Rochdale Canal SSSI SAC'!J91</f>
        <v>6.6760000000000005E-3</v>
      </c>
      <c r="G16" s="119">
        <f>'1 - Rochdale Canal SSSI SAC'!J115</f>
        <v>6.4396666666666665E-3</v>
      </c>
      <c r="H16" s="118">
        <f>'1 - Rochdale Canal SSSI SAC'!M19</f>
        <v>4.0076533333333331E-2</v>
      </c>
      <c r="I16" s="118">
        <f>'1 - Rochdale Canal SSSI SAC'!M47</f>
        <v>0</v>
      </c>
      <c r="J16" s="118">
        <f>'1 - Rochdale Canal SSSI SAC'!M66</f>
        <v>2.6420666666666665E-2</v>
      </c>
      <c r="K16" s="118">
        <f>'1 - Rochdale Canal SSSI SAC'!M91</f>
        <v>4.1591066666666669E-2</v>
      </c>
      <c r="L16" s="118">
        <f>'1 - Rochdale Canal SSSI SAC'!M115</f>
        <v>3.6800399999999997E-2</v>
      </c>
      <c r="M16" s="145">
        <f>'1 - Rochdale Canal SSSI SAC'!K19</f>
        <v>0</v>
      </c>
      <c r="N16" s="145">
        <f>'1 - Rochdale Canal SSSI SAC'!K42</f>
        <v>0</v>
      </c>
      <c r="O16" s="145">
        <f>'1 - Rochdale Canal SSSI SAC'!K66</f>
        <v>0</v>
      </c>
      <c r="P16" s="145">
        <f>'1 - Rochdale Canal SSSI SAC'!K91</f>
        <v>0</v>
      </c>
      <c r="Q16" s="145">
        <f>'1 - Rochdale Canal SSSI SAC'!K115</f>
        <v>0</v>
      </c>
      <c r="R16" s="69"/>
      <c r="S16" s="69"/>
      <c r="T16" s="98" t="s">
        <v>65</v>
      </c>
      <c r="U16" s="119">
        <f>'1 - Rochdale Canal SSSI SAC'!Y19</f>
        <v>5.6763977321739141E-3</v>
      </c>
      <c r="V16" s="119">
        <f>'1 - Rochdale Canal SSSI SAC'!Y42</f>
        <v>5.8598138504347827E-3</v>
      </c>
      <c r="W16" s="119">
        <f>'1 - Rochdale Canal SSSI SAC'!Y66</f>
        <v>4.9945619895652178E-3</v>
      </c>
      <c r="X16" s="119">
        <f>'1 - Rochdale Canal SSSI SAC'!Y91</f>
        <v>5.7668100730434791E-3</v>
      </c>
      <c r="Y16" s="119">
        <f>'1 - Rochdale Canal SSSI SAC'!Y115</f>
        <v>5.5626624626086965E-3</v>
      </c>
      <c r="Z16" s="118">
        <f>'1 - Rochdale Canal SSSI SAC'!AA19</f>
        <v>1.3885513043478265E-3</v>
      </c>
      <c r="AA16" s="118">
        <f>'1 - Rochdale Canal SSSI SAC'!AA42</f>
        <v>1.4334182608695652E-3</v>
      </c>
      <c r="AB16" s="118">
        <f>'1 - Rochdale Canal SSSI SAC'!AA66</f>
        <v>1.2217617391304348E-3</v>
      </c>
      <c r="AC16" s="118">
        <f>'1 - Rochdale Canal SSSI SAC'!AA91</f>
        <v>1.4106678260869566E-3</v>
      </c>
      <c r="AD16" s="118">
        <f>'1 - Rochdale Canal SSSI SAC'!AA115</f>
        <v>1.3607295652173913E-3</v>
      </c>
    </row>
    <row r="17" spans="1:30" x14ac:dyDescent="0.25">
      <c r="A17" s="69"/>
      <c r="B17" s="98" t="s">
        <v>66</v>
      </c>
      <c r="C17" s="119">
        <f>'1 - Rochdale Canal SSSI SAC'!J20</f>
        <v>3.9240000000000004E-3</v>
      </c>
      <c r="D17" s="119">
        <f>'1 - Rochdale Canal SSSI SAC'!J48</f>
        <v>0</v>
      </c>
      <c r="E17" s="119">
        <f>'1 - Rochdale Canal SSSI SAC'!J67</f>
        <v>5.3373333333333337E-3</v>
      </c>
      <c r="F17" s="119">
        <f>'1 - Rochdale Canal SSSI SAC'!J92</f>
        <v>4.2336666666666668E-3</v>
      </c>
      <c r="G17" s="119">
        <f>'1 - Rochdale Canal SSSI SAC'!J116</f>
        <v>4.6159999999999994E-3</v>
      </c>
      <c r="H17" s="118">
        <f>'1 - Rochdale Canal SSSI SAC'!M20</f>
        <v>2.7878266666666665E-2</v>
      </c>
      <c r="I17" s="118">
        <f>'1 - Rochdale Canal SSSI SAC'!M48</f>
        <v>0</v>
      </c>
      <c r="J17" s="118">
        <f>'1 - Rochdale Canal SSSI SAC'!M67</f>
        <v>3.6307466666666663E-2</v>
      </c>
      <c r="K17" s="118">
        <f>'1 - Rochdale Canal SSSI SAC'!M92</f>
        <v>2.20168E-2</v>
      </c>
      <c r="L17" s="118">
        <f>'1 - Rochdale Canal SSSI SAC'!M116</f>
        <v>2.4002133333333332E-2</v>
      </c>
      <c r="M17" s="145">
        <f>'1 - Rochdale Canal SSSI SAC'!K20</f>
        <v>0</v>
      </c>
      <c r="N17" s="145">
        <f>'1 - Rochdale Canal SSSI SAC'!K43</f>
        <v>0</v>
      </c>
      <c r="O17" s="145">
        <f>'1 - Rochdale Canal SSSI SAC'!K67</f>
        <v>0</v>
      </c>
      <c r="P17" s="145">
        <f>'1 - Rochdale Canal SSSI SAC'!K92</f>
        <v>0</v>
      </c>
      <c r="Q17" s="145">
        <f>'1 - Rochdale Canal SSSI SAC'!K116</f>
        <v>0</v>
      </c>
      <c r="R17" s="69"/>
      <c r="S17" s="69"/>
      <c r="T17" s="98" t="s">
        <v>66</v>
      </c>
      <c r="U17" s="119">
        <f>'1 - Rochdale Canal SSSI SAC'!Y20</f>
        <v>3.3895989704347831E-3</v>
      </c>
      <c r="V17" s="119">
        <f>'1 - Rochdale Canal SSSI SAC'!Y43</f>
        <v>3.2539804591304351E-3</v>
      </c>
      <c r="W17" s="119">
        <f>'1 - Rochdale Canal SSSI SAC'!Y67</f>
        <v>4.6104535095652186E-3</v>
      </c>
      <c r="X17" s="119">
        <f>'1 - Rochdale Canal SSSI SAC'!Y92</f>
        <v>3.6570928069565222E-3</v>
      </c>
      <c r="Y17" s="119">
        <f>'1 - Rochdale Canal SSSI SAC'!Y116</f>
        <v>3.9873569947826088E-3</v>
      </c>
      <c r="Z17" s="118">
        <f>'1 - Rochdale Canal SSSI SAC'!AA20</f>
        <v>8.2915826086956529E-4</v>
      </c>
      <c r="AA17" s="118">
        <f>'1 - Rochdale Canal SSSI SAC'!AA43</f>
        <v>7.959834782608696E-4</v>
      </c>
      <c r="AB17" s="118">
        <f>'1 - Rochdale Canal SSSI SAC'!AA67</f>
        <v>1.1278017391304349E-3</v>
      </c>
      <c r="AC17" s="118">
        <f>'1 - Rochdale Canal SSSI SAC'!AA92</f>
        <v>8.9459217391304373E-4</v>
      </c>
      <c r="AD17" s="118">
        <f>'1 - Rochdale Canal SSSI SAC'!AA116</f>
        <v>9.7538086956521744E-4</v>
      </c>
    </row>
    <row r="18" spans="1:30" x14ac:dyDescent="0.25">
      <c r="A18" s="69"/>
      <c r="B18" s="98" t="s">
        <v>67</v>
      </c>
      <c r="C18" s="119">
        <f>'1 - Rochdale Canal SSSI SAC'!J21</f>
        <v>5.2770000000000004E-3</v>
      </c>
      <c r="D18" s="119">
        <f>'1 - Rochdale Canal SSSI SAC'!J49</f>
        <v>0</v>
      </c>
      <c r="E18" s="119">
        <f>'1 - Rochdale Canal SSSI SAC'!J68</f>
        <v>7.5770000000000004E-3</v>
      </c>
      <c r="F18" s="119">
        <f>'1 - Rochdale Canal SSSI SAC'!J93</f>
        <v>5.2703333333333335E-3</v>
      </c>
      <c r="G18" s="119">
        <f>'1 - Rochdale Canal SSSI SAC'!J117</f>
        <v>5.1599999999999997E-3</v>
      </c>
      <c r="H18" s="118">
        <f>'1 - Rochdale Canal SSSI SAC'!M21</f>
        <v>4.0287066666666663E-2</v>
      </c>
      <c r="I18" s="118">
        <f>'1 - Rochdale Canal SSSI SAC'!M49</f>
        <v>0</v>
      </c>
      <c r="J18" s="118">
        <f>'1 - Rochdale Canal SSSI SAC'!M68</f>
        <v>2.7694400000000001E-2</v>
      </c>
      <c r="K18" s="118">
        <f>'1 - Rochdale Canal SSSI SAC'!M93</f>
        <v>2.9975600000000002E-2</v>
      </c>
      <c r="L18" s="118">
        <f>'1 - Rochdale Canal SSSI SAC'!M117</f>
        <v>2.5188800000000001E-2</v>
      </c>
      <c r="M18" s="145">
        <f>'1 - Rochdale Canal SSSI SAC'!K21</f>
        <v>0</v>
      </c>
      <c r="N18" s="145">
        <f>'1 - Rochdale Canal SSSI SAC'!K44</f>
        <v>0</v>
      </c>
      <c r="O18" s="145">
        <f>'1 - Rochdale Canal SSSI SAC'!K68</f>
        <v>0</v>
      </c>
      <c r="P18" s="145">
        <f>'1 - Rochdale Canal SSSI SAC'!K93</f>
        <v>0</v>
      </c>
      <c r="Q18" s="145">
        <f>'1 - Rochdale Canal SSSI SAC'!K117</f>
        <v>0</v>
      </c>
      <c r="R18" s="69"/>
      <c r="S18" s="69"/>
      <c r="T18" s="98" t="s">
        <v>67</v>
      </c>
      <c r="U18" s="119">
        <f>'1 - Rochdale Canal SSSI SAC'!Y21</f>
        <v>4.5583368417391312E-3</v>
      </c>
      <c r="V18" s="119">
        <f>'1 - Rochdale Canal SSSI SAC'!Y44</f>
        <v>5.1491843686956515E-3</v>
      </c>
      <c r="W18" s="119">
        <f>'1 - Rochdale Canal SSSI SAC'!Y68</f>
        <v>6.545104841739131E-3</v>
      </c>
      <c r="X18" s="119">
        <f>'1 - Rochdale Canal SSSI SAC'!Y93</f>
        <v>4.5525780939130438E-3</v>
      </c>
      <c r="Y18" s="119">
        <f>'1 - Rochdale Canal SSSI SAC'!Y117</f>
        <v>4.457270817391305E-3</v>
      </c>
      <c r="Z18" s="118">
        <f>'1 - Rochdale Canal SSSI SAC'!AA21</f>
        <v>1.1150530434782609E-3</v>
      </c>
      <c r="AA18" s="118">
        <f>'1 - Rochdale Canal SSSI SAC'!AA44</f>
        <v>1.2595852173913041E-3</v>
      </c>
      <c r="AB18" s="118">
        <f>'1 - Rochdale Canal SSSI SAC'!AA68</f>
        <v>1.6010530434782612E-3</v>
      </c>
      <c r="AC18" s="118">
        <f>'1 - Rochdale Canal SSSI SAC'!AA93</f>
        <v>1.1136443478260872E-3</v>
      </c>
      <c r="AD18" s="118">
        <f>'1 - Rochdale Canal SSSI SAC'!AA117</f>
        <v>1.0903304347826088E-3</v>
      </c>
    </row>
    <row r="19" spans="1:30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</row>
    <row r="20" spans="1:30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</row>
  </sheetData>
  <mergeCells count="5">
    <mergeCell ref="C7:G7"/>
    <mergeCell ref="H7:L7"/>
    <mergeCell ref="U7:Y7"/>
    <mergeCell ref="Z7:AD7"/>
    <mergeCell ref="M7:Q7"/>
  </mergeCells>
  <phoneticPr fontId="7" type="noConversion"/>
  <conditionalFormatting sqref="C9:G18">
    <cfRule type="top10" dxfId="4" priority="373" rank="1"/>
  </conditionalFormatting>
  <conditionalFormatting sqref="H9:L18">
    <cfRule type="top10" dxfId="3" priority="374" rank="1"/>
  </conditionalFormatting>
  <conditionalFormatting sqref="M9:Q18">
    <cfRule type="top10" dxfId="2" priority="375" rank="1"/>
  </conditionalFormatting>
  <conditionalFormatting sqref="U9:Y18">
    <cfRule type="top10" dxfId="1" priority="376" rank="1"/>
  </conditionalFormatting>
  <conditionalFormatting sqref="Z9:AD18">
    <cfRule type="top10" dxfId="0" priority="377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EA8F-55AD-4CB7-9BF5-143161A93023}">
  <dimension ref="A2:L14"/>
  <sheetViews>
    <sheetView zoomScale="90" zoomScaleNormal="90" workbookViewId="0">
      <selection activeCell="F20" sqref="F20"/>
    </sheetView>
  </sheetViews>
  <sheetFormatPr defaultRowHeight="15" x14ac:dyDescent="0.25"/>
  <cols>
    <col min="1" max="1" width="14.85546875" bestFit="1" customWidth="1"/>
    <col min="3" max="3" width="11.28515625" bestFit="1" customWidth="1"/>
    <col min="5" max="5" width="23" bestFit="1" customWidth="1"/>
    <col min="8" max="8" width="24.28515625" bestFit="1" customWidth="1"/>
    <col min="10" max="10" width="11.42578125" customWidth="1"/>
    <col min="12" max="12" width="23" bestFit="1" customWidth="1"/>
  </cols>
  <sheetData>
    <row r="2" spans="1:12" x14ac:dyDescent="0.25">
      <c r="A2" s="143" t="s">
        <v>79</v>
      </c>
      <c r="H2" s="143" t="s">
        <v>84</v>
      </c>
    </row>
    <row r="3" spans="1:12" ht="30" customHeight="1" x14ac:dyDescent="0.25">
      <c r="A3" s="152" t="s">
        <v>29</v>
      </c>
      <c r="G3" s="7"/>
      <c r="H3" s="151" t="s">
        <v>82</v>
      </c>
    </row>
    <row r="4" spans="1:12" ht="60" x14ac:dyDescent="0.25">
      <c r="B4" s="148" t="s">
        <v>77</v>
      </c>
      <c r="C4" s="148" t="s">
        <v>78</v>
      </c>
      <c r="D4" s="149" t="s">
        <v>75</v>
      </c>
      <c r="E4" s="149" t="s">
        <v>76</v>
      </c>
      <c r="I4" s="148" t="s">
        <v>77</v>
      </c>
      <c r="J4" s="148" t="s">
        <v>85</v>
      </c>
      <c r="K4" s="149" t="s">
        <v>75</v>
      </c>
      <c r="L4" s="149" t="s">
        <v>80</v>
      </c>
    </row>
    <row r="5" spans="1:12" x14ac:dyDescent="0.25">
      <c r="A5" s="3" t="s">
        <v>90</v>
      </c>
      <c r="B5" s="3"/>
      <c r="C5" s="3"/>
      <c r="D5" s="150">
        <f>B5+C5</f>
        <v>0</v>
      </c>
      <c r="E5" s="150">
        <f>D5/30*100</f>
        <v>0</v>
      </c>
      <c r="G5" s="147"/>
      <c r="H5" s="3" t="s">
        <v>90</v>
      </c>
      <c r="I5" s="3">
        <v>0</v>
      </c>
      <c r="J5" s="3">
        <v>14.2</v>
      </c>
      <c r="K5" s="153">
        <f>I5+J5</f>
        <v>14.2</v>
      </c>
      <c r="L5" s="150">
        <f>K5/10*100</f>
        <v>142</v>
      </c>
    </row>
    <row r="6" spans="1:12" x14ac:dyDescent="0.25">
      <c r="A6" s="3"/>
      <c r="B6" s="3"/>
      <c r="C6" s="3"/>
      <c r="D6" s="150">
        <f>B6+C6</f>
        <v>0</v>
      </c>
      <c r="E6" s="150">
        <f>D6/30*100</f>
        <v>0</v>
      </c>
      <c r="H6" s="3"/>
      <c r="I6" s="3"/>
      <c r="J6" s="3"/>
      <c r="K6" s="153">
        <f>I6+J6</f>
        <v>0</v>
      </c>
      <c r="L6" s="150">
        <f>K6/5*100</f>
        <v>0</v>
      </c>
    </row>
    <row r="7" spans="1:12" x14ac:dyDescent="0.25">
      <c r="A7" s="3"/>
      <c r="B7" s="3"/>
      <c r="C7" s="3"/>
      <c r="D7" s="150">
        <f>B7+C7</f>
        <v>0</v>
      </c>
      <c r="E7" s="150">
        <f>D7/30*100</f>
        <v>0</v>
      </c>
      <c r="H7" s="3"/>
      <c r="I7" s="3"/>
      <c r="J7" s="3"/>
      <c r="K7" s="153">
        <f>I7+J7</f>
        <v>0</v>
      </c>
      <c r="L7" s="150">
        <f>K7/5*100</f>
        <v>0</v>
      </c>
    </row>
    <row r="9" spans="1:12" x14ac:dyDescent="0.25">
      <c r="H9" s="146" t="s">
        <v>83</v>
      </c>
    </row>
    <row r="10" spans="1:12" x14ac:dyDescent="0.25">
      <c r="A10" s="152" t="s">
        <v>12</v>
      </c>
      <c r="H10" s="151" t="s">
        <v>81</v>
      </c>
    </row>
    <row r="11" spans="1:12" ht="45" x14ac:dyDescent="0.25">
      <c r="B11" s="148" t="s">
        <v>77</v>
      </c>
      <c r="C11" s="148" t="s">
        <v>78</v>
      </c>
      <c r="D11" s="149" t="s">
        <v>75</v>
      </c>
      <c r="E11" s="149" t="s">
        <v>76</v>
      </c>
      <c r="I11" s="148" t="s">
        <v>77</v>
      </c>
      <c r="J11" s="148" t="s">
        <v>86</v>
      </c>
      <c r="K11" s="149" t="s">
        <v>75</v>
      </c>
      <c r="L11" s="149" t="s">
        <v>80</v>
      </c>
    </row>
    <row r="12" spans="1:12" x14ac:dyDescent="0.25">
      <c r="A12" s="3"/>
      <c r="B12" s="3"/>
      <c r="C12" s="3"/>
      <c r="D12" s="150">
        <f>B12+C12</f>
        <v>0</v>
      </c>
      <c r="E12" s="150">
        <f>D12/10*100</f>
        <v>0</v>
      </c>
      <c r="H12" s="3" t="s">
        <v>90</v>
      </c>
      <c r="I12" s="3"/>
      <c r="J12" s="3"/>
      <c r="K12" s="150">
        <f>I12+J12</f>
        <v>0</v>
      </c>
      <c r="L12" s="150">
        <f>K12/1.46*100</f>
        <v>0</v>
      </c>
    </row>
    <row r="13" spans="1:12" x14ac:dyDescent="0.25">
      <c r="A13" s="3"/>
      <c r="B13" s="3"/>
      <c r="C13" s="3"/>
      <c r="D13" s="150"/>
      <c r="E13" s="150"/>
      <c r="H13" s="3"/>
      <c r="I13" s="3"/>
      <c r="J13" s="3"/>
      <c r="K13" s="150">
        <f>I13+J13</f>
        <v>0</v>
      </c>
      <c r="L13" s="150">
        <f>K13/1.841*100</f>
        <v>0</v>
      </c>
    </row>
    <row r="14" spans="1:12" x14ac:dyDescent="0.25">
      <c r="A14" s="3"/>
      <c r="B14" s="3"/>
      <c r="C14" s="3"/>
      <c r="D14" s="150"/>
      <c r="E14" s="150"/>
      <c r="H14" s="3"/>
      <c r="I14" s="3"/>
      <c r="J14" s="3"/>
      <c r="K14" s="150">
        <f>I14+J14</f>
        <v>0</v>
      </c>
      <c r="L14" s="150">
        <f>K14/0.221*100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E0E3D-FF6C-4654-8F39-48A712E31DBC}">
  <dimension ref="A3:J27"/>
  <sheetViews>
    <sheetView showGridLines="0" workbookViewId="0">
      <selection activeCell="F6" sqref="F6"/>
    </sheetView>
  </sheetViews>
  <sheetFormatPr defaultRowHeight="15" x14ac:dyDescent="0.25"/>
  <cols>
    <col min="5" max="5" width="22.140625" customWidth="1"/>
    <col min="6" max="6" width="12.7109375" customWidth="1"/>
    <col min="7" max="7" width="18.28515625" customWidth="1"/>
  </cols>
  <sheetData>
    <row r="3" spans="1:10" x14ac:dyDescent="0.25">
      <c r="A3" t="s">
        <v>17</v>
      </c>
    </row>
    <row r="4" spans="1:10" x14ac:dyDescent="0.25">
      <c r="A4" t="s">
        <v>18</v>
      </c>
      <c r="E4" s="213" t="s">
        <v>34</v>
      </c>
      <c r="F4" s="214"/>
      <c r="G4" s="215"/>
    </row>
    <row r="5" spans="1:10" x14ac:dyDescent="0.25">
      <c r="E5" s="3" t="s">
        <v>35</v>
      </c>
      <c r="F5" s="2" t="s">
        <v>14</v>
      </c>
      <c r="G5" s="2" t="s">
        <v>15</v>
      </c>
    </row>
    <row r="6" spans="1:10" x14ac:dyDescent="0.25">
      <c r="E6" s="3" t="s">
        <v>29</v>
      </c>
      <c r="F6" s="2">
        <v>3.0000000000000001E-3</v>
      </c>
      <c r="G6" s="2">
        <v>1.5E-3</v>
      </c>
    </row>
    <row r="7" spans="1:10" x14ac:dyDescent="0.25">
      <c r="E7" s="3" t="s">
        <v>12</v>
      </c>
      <c r="F7" s="2">
        <v>2.4E-2</v>
      </c>
      <c r="G7" s="2">
        <v>1.2E-2</v>
      </c>
    </row>
    <row r="8" spans="1:10" x14ac:dyDescent="0.25">
      <c r="E8" s="3" t="s">
        <v>13</v>
      </c>
      <c r="F8" s="2">
        <v>0.03</v>
      </c>
      <c r="G8" s="2">
        <v>0.02</v>
      </c>
    </row>
    <row r="9" spans="1:10" x14ac:dyDescent="0.25">
      <c r="E9" s="3" t="s">
        <v>30</v>
      </c>
      <c r="F9" s="2">
        <v>0.06</v>
      </c>
      <c r="G9" s="2">
        <v>2.5000000000000001E-2</v>
      </c>
    </row>
    <row r="10" spans="1:10" x14ac:dyDescent="0.25">
      <c r="E10" s="3" t="s">
        <v>31</v>
      </c>
      <c r="F10" s="212">
        <v>0.04</v>
      </c>
      <c r="G10" s="212"/>
    </row>
    <row r="11" spans="1:10" x14ac:dyDescent="0.25">
      <c r="E11" s="3" t="s">
        <v>32</v>
      </c>
      <c r="F11" s="216">
        <v>0.01</v>
      </c>
      <c r="G11" s="217"/>
    </row>
    <row r="13" spans="1:10" ht="49.9" customHeight="1" x14ac:dyDescent="0.25">
      <c r="E13" s="7" t="s">
        <v>33</v>
      </c>
      <c r="F13" s="211" t="s">
        <v>36</v>
      </c>
      <c r="G13" s="211"/>
      <c r="H13" s="211"/>
      <c r="I13" s="211"/>
      <c r="J13" s="211"/>
    </row>
    <row r="18" spans="5:8" x14ac:dyDescent="0.25">
      <c r="E18" s="14" t="s">
        <v>46</v>
      </c>
      <c r="F18" s="14"/>
      <c r="G18" s="14"/>
    </row>
    <row r="19" spans="5:8" x14ac:dyDescent="0.25">
      <c r="G19" s="16" t="s">
        <v>51</v>
      </c>
    </row>
    <row r="20" spans="5:8" x14ac:dyDescent="0.25">
      <c r="E20" s="209" t="s">
        <v>53</v>
      </c>
      <c r="F20" s="3" t="s">
        <v>47</v>
      </c>
      <c r="G20" s="2">
        <v>75</v>
      </c>
      <c r="H20" s="15"/>
    </row>
    <row r="21" spans="5:8" x14ac:dyDescent="0.25">
      <c r="E21" s="210"/>
      <c r="F21" s="3" t="s">
        <v>19</v>
      </c>
      <c r="G21" s="2">
        <v>30</v>
      </c>
    </row>
    <row r="22" spans="5:8" x14ac:dyDescent="0.25">
      <c r="E22" s="209" t="s">
        <v>48</v>
      </c>
      <c r="F22" s="3" t="s">
        <v>19</v>
      </c>
      <c r="G22" s="2">
        <v>10</v>
      </c>
      <c r="H22" t="s">
        <v>52</v>
      </c>
    </row>
    <row r="23" spans="5:8" x14ac:dyDescent="0.25">
      <c r="E23" s="210"/>
      <c r="F23" s="3" t="s">
        <v>49</v>
      </c>
      <c r="G23" s="2">
        <v>20</v>
      </c>
    </row>
    <row r="24" spans="5:8" x14ac:dyDescent="0.25">
      <c r="E24" s="209" t="s">
        <v>54</v>
      </c>
      <c r="F24" s="3" t="s">
        <v>49</v>
      </c>
      <c r="G24" s="2">
        <v>1</v>
      </c>
      <c r="H24" t="s">
        <v>52</v>
      </c>
    </row>
    <row r="25" spans="5:8" x14ac:dyDescent="0.25">
      <c r="E25" s="210"/>
      <c r="F25" s="3" t="s">
        <v>19</v>
      </c>
      <c r="G25" s="2">
        <v>3</v>
      </c>
    </row>
    <row r="26" spans="5:8" x14ac:dyDescent="0.25">
      <c r="E26" s="209" t="s">
        <v>55</v>
      </c>
      <c r="F26" s="3" t="s">
        <v>47</v>
      </c>
      <c r="G26" s="2">
        <v>5</v>
      </c>
    </row>
    <row r="27" spans="5:8" x14ac:dyDescent="0.25">
      <c r="E27" s="210"/>
      <c r="F27" s="3" t="s">
        <v>50</v>
      </c>
      <c r="G27" s="2">
        <v>0.5</v>
      </c>
    </row>
  </sheetData>
  <mergeCells count="8">
    <mergeCell ref="E26:E27"/>
    <mergeCell ref="F13:J13"/>
    <mergeCell ref="F10:G10"/>
    <mergeCell ref="E4:G4"/>
    <mergeCell ref="F11:G11"/>
    <mergeCell ref="E20:E21"/>
    <mergeCell ref="E22:E23"/>
    <mergeCell ref="E24:E25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2025-12-18T00:00:00+00:00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EPR-RP3723MK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EPR/RP3723MK</OtherReference>
    <EventLink xmlns="5ffd8e36-f429-4edc-ab50-c5be84842779" xsi:nil="true"/>
    <Customer_x002f_OperatorName xmlns="eebef177-55b5-4448-a5fb-28ea454417ee">Inspired Global Cuisine Ltd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2025-12-18T00:00:00+00:00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EPR/RP3723MK</EPRNumber>
    <FacilityAddressPostcode xmlns="eebef177-55b5-4448-a5fb-28ea454417ee">OL9 9AB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49</Value>
      <Value>11</Value>
      <Value>32</Value>
      <Value>14</Value>
    </TaxCatchAll>
    <ExternalAuthor xmlns="eebef177-55b5-4448-a5fb-28ea454417ee">Patrick Asprey</ExternalAuthor>
    <SiteName xmlns="eebef177-55b5-4448-a5fb-28ea454417ee">Inspired Global Cuisine Limited (IGC)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Unit A, Lydia Becker Way, Oldham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C284F73F-53CE-4639-9820-9B00290DAF32}"/>
</file>

<file path=customXml/itemProps2.xml><?xml version="1.0" encoding="utf-8"?>
<ds:datastoreItem xmlns:ds="http://schemas.openxmlformats.org/officeDocument/2006/customXml" ds:itemID="{8EA82D20-4013-4D79-8CD2-EDE5AEE9D4E7}"/>
</file>

<file path=customXml/itemProps3.xml><?xml version="1.0" encoding="utf-8"?>
<ds:datastoreItem xmlns:ds="http://schemas.openxmlformats.org/officeDocument/2006/customXml" ds:itemID="{71C8B1A9-14CB-421A-AEF7-B3988825D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Critical Loads </vt:lpstr>
      <vt:lpstr>1 - Rochdale Canal SSSI SAC</vt:lpstr>
      <vt:lpstr>Summary of Results</vt:lpstr>
      <vt:lpstr>PEC calcs</vt:lpstr>
      <vt:lpstr>Supporting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Shah, Ishita</dc:creator>
  <cp:lastModifiedBy>Paul Threlfall</cp:lastModifiedBy>
  <dcterms:created xsi:type="dcterms:W3CDTF">2019-09-18T09:16:25Z</dcterms:created>
  <dcterms:modified xsi:type="dcterms:W3CDTF">2025-11-20T14:27:47Z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49;#Installations|645f1c9c-65df-490a-9ce3-4a2aa7c5ff7f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