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000055\Downloads\"/>
    </mc:Choice>
  </mc:AlternateContent>
  <xr:revisionPtr revIDLastSave="0" documentId="8_{955FCF73-F53B-4442-A21A-40EDD9B6F8FF}" xr6:coauthVersionLast="47" xr6:coauthVersionMax="47" xr10:uidLastSave="{00000000-0000-0000-0000-000000000000}"/>
  <bookViews>
    <workbookView xWindow="-120" yWindow="-120" windowWidth="29040" windowHeight="15720" xr2:uid="{B098E96F-BDBE-47C8-A1D5-171C07478E30}"/>
  </bookViews>
  <sheets>
    <sheet name="Gas Mass Balance Diagram" sheetId="15" r:id="rId1"/>
    <sheet name="Gas" sheetId="14" r:id="rId2"/>
    <sheet name="G2G" sheetId="16" r:id="rId3"/>
    <sheet name="Waste In" sheetId="1" r:id="rId4"/>
    <sheet name="Depack" sheetId="2" r:id="rId5"/>
    <sheet name="AD Feedstock" sheetId="4" r:id="rId6"/>
    <sheet name="RWBT" sheetId="5" r:id="rId7"/>
    <sheet name="Splitter1,2,3 + Recycle" sheetId="7" r:id="rId8"/>
    <sheet name="CHP Digesters" sheetId="6" r:id="rId9"/>
    <sheet name="G2G Digesters" sheetId="8" r:id="rId10"/>
    <sheet name="Recycle iMB" sheetId="9" r:id="rId11"/>
    <sheet name="Mixer1" sheetId="11" r:id="rId12"/>
    <sheet name="Pasteurisers" sheetId="10" r:id="rId13"/>
    <sheet name="Borger" sheetId="12" r:id="rId14"/>
    <sheet name="ST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4" l="1"/>
  <c r="B23" i="14"/>
  <c r="B22" i="14"/>
  <c r="C53" i="16" l="1"/>
  <c r="V20" i="15"/>
  <c r="W45" i="15"/>
  <c r="C43" i="16"/>
  <c r="C24" i="16"/>
  <c r="M45" i="15" l="1"/>
  <c r="C47" i="15"/>
  <c r="G16" i="15"/>
  <c r="C10" i="15"/>
  <c r="B39" i="14"/>
  <c r="B40" i="14" s="1"/>
  <c r="B33" i="14"/>
  <c r="B7" i="14"/>
  <c r="B42" i="14" l="1"/>
  <c r="B43" i="14" s="1"/>
  <c r="B44" i="14" s="1"/>
  <c r="N4" i="7" l="1"/>
  <c r="N3" i="7"/>
  <c r="K2" i="7"/>
  <c r="G10" i="7"/>
  <c r="G11" i="7"/>
  <c r="G9" i="7"/>
  <c r="F9" i="4" l="1"/>
  <c r="C4" i="2"/>
  <c r="E13" i="1"/>
  <c r="D10" i="1"/>
  <c r="D9" i="1"/>
  <c r="G14" i="2" l="1"/>
  <c r="J4" i="2" l="1"/>
  <c r="G15" i="15"/>
  <c r="C19" i="15" l="1"/>
  <c r="C16" i="4"/>
  <c r="F20" i="2"/>
  <c r="F8" i="4" l="1"/>
  <c r="B5" i="9" s="1"/>
  <c r="I21" i="4" l="1"/>
  <c r="C46" i="15"/>
  <c r="D5" i="9"/>
  <c r="E5" i="9" s="1"/>
  <c r="F5" i="9" s="1"/>
  <c r="G5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H5" i="9" l="1"/>
  <c r="I5" i="9" s="1"/>
  <c r="C6" i="9" s="1"/>
  <c r="D6" i="9" s="1"/>
  <c r="E6" i="9" s="1"/>
  <c r="C3" i="16"/>
  <c r="I23" i="4"/>
  <c r="I22" i="4"/>
  <c r="G6" i="9" l="1"/>
  <c r="H6" i="9" s="1"/>
  <c r="I6" i="9" s="1"/>
  <c r="C7" i="9" s="1"/>
  <c r="D7" i="9" s="1"/>
  <c r="E7" i="9" s="1"/>
  <c r="F6" i="9"/>
  <c r="C5" i="16"/>
  <c r="C27" i="16" s="1"/>
  <c r="C29" i="16" s="1"/>
  <c r="C32" i="16" s="1"/>
  <c r="H13" i="14"/>
  <c r="H14" i="14" s="1"/>
  <c r="C4" i="16"/>
  <c r="C26" i="16" s="1"/>
  <c r="C28" i="16" s="1"/>
  <c r="C31" i="16" s="1"/>
  <c r="B13" i="14"/>
  <c r="H16" i="14" l="1"/>
  <c r="H15" i="14"/>
  <c r="C45" i="16"/>
  <c r="C46" i="16"/>
  <c r="C49" i="16" s="1"/>
  <c r="C34" i="16"/>
  <c r="C37" i="16" s="1"/>
  <c r="C35" i="16"/>
  <c r="C38" i="16" s="1"/>
  <c r="G7" i="9"/>
  <c r="H7" i="9" s="1"/>
  <c r="I7" i="9" s="1"/>
  <c r="C8" i="9" s="1"/>
  <c r="D8" i="9" s="1"/>
  <c r="E8" i="9" s="1"/>
  <c r="F7" i="9"/>
  <c r="C60" i="16" l="1"/>
  <c r="C48" i="16"/>
  <c r="C51" i="16" s="1"/>
  <c r="C52" i="16" s="1"/>
  <c r="G8" i="9"/>
  <c r="F8" i="9"/>
  <c r="H18" i="14"/>
  <c r="V5" i="15" s="1"/>
  <c r="H17" i="14"/>
  <c r="H8" i="9" l="1"/>
  <c r="I8" i="9" s="1"/>
  <c r="C9" i="9" s="1"/>
  <c r="D9" i="9" s="1"/>
  <c r="E9" i="9" s="1"/>
  <c r="H19" i="14"/>
  <c r="V4" i="15"/>
  <c r="G9" i="9" l="1"/>
  <c r="H9" i="9" s="1"/>
  <c r="I9" i="9" s="1"/>
  <c r="C10" i="9" s="1"/>
  <c r="D10" i="9" s="1"/>
  <c r="E10" i="9" s="1"/>
  <c r="F9" i="9"/>
  <c r="G10" i="9" l="1"/>
  <c r="H10" i="9" s="1"/>
  <c r="I10" i="9" s="1"/>
  <c r="C11" i="9" s="1"/>
  <c r="D11" i="9" s="1"/>
  <c r="E11" i="9" s="1"/>
  <c r="F10" i="9"/>
  <c r="F11" i="9" l="1"/>
  <c r="G11" i="9"/>
  <c r="H11" i="9" s="1"/>
  <c r="I11" i="9" s="1"/>
  <c r="C12" i="9" s="1"/>
  <c r="D12" i="9" s="1"/>
  <c r="E12" i="9" s="1"/>
  <c r="G12" i="9" l="1"/>
  <c r="H12" i="9" s="1"/>
  <c r="I12" i="9" s="1"/>
  <c r="C13" i="9" s="1"/>
  <c r="D13" i="9" s="1"/>
  <c r="E13" i="9" s="1"/>
  <c r="F12" i="9"/>
  <c r="F13" i="9" l="1"/>
  <c r="G13" i="9"/>
  <c r="H13" i="9" s="1"/>
  <c r="I13" i="9" s="1"/>
  <c r="C14" i="9" s="1"/>
  <c r="D14" i="9" s="1"/>
  <c r="E14" i="9" s="1"/>
  <c r="F14" i="9" l="1"/>
  <c r="G14" i="9"/>
  <c r="H14" i="9" s="1"/>
  <c r="I14" i="9" s="1"/>
  <c r="C15" i="9" s="1"/>
  <c r="D15" i="9" s="1"/>
  <c r="E15" i="9" s="1"/>
  <c r="G15" i="9" l="1"/>
  <c r="H15" i="9" s="1"/>
  <c r="I15" i="9" s="1"/>
  <c r="C16" i="9" s="1"/>
  <c r="D16" i="9" s="1"/>
  <c r="E16" i="9" s="1"/>
  <c r="F15" i="9"/>
  <c r="G16" i="9" l="1"/>
  <c r="H16" i="9" s="1"/>
  <c r="I16" i="9" s="1"/>
  <c r="C17" i="9" s="1"/>
  <c r="D17" i="9" s="1"/>
  <c r="E17" i="9" s="1"/>
  <c r="F16" i="9"/>
  <c r="G17" i="9" l="1"/>
  <c r="H17" i="9" s="1"/>
  <c r="I17" i="9" s="1"/>
  <c r="C18" i="9" s="1"/>
  <c r="D18" i="9" s="1"/>
  <c r="E18" i="9" s="1"/>
  <c r="F17" i="9"/>
  <c r="G18" i="9" l="1"/>
  <c r="H18" i="9" s="1"/>
  <c r="I18" i="9" s="1"/>
  <c r="C19" i="9" s="1"/>
  <c r="D19" i="9" s="1"/>
  <c r="E19" i="9" s="1"/>
  <c r="F18" i="9"/>
  <c r="G19" i="9" l="1"/>
  <c r="H19" i="9" s="1"/>
  <c r="I19" i="9" s="1"/>
  <c r="C20" i="9" s="1"/>
  <c r="D20" i="9" s="1"/>
  <c r="E20" i="9" s="1"/>
  <c r="F19" i="9"/>
  <c r="G20" i="9" l="1"/>
  <c r="H20" i="9" s="1"/>
  <c r="I20" i="9" s="1"/>
  <c r="C21" i="9" s="1"/>
  <c r="D21" i="9" s="1"/>
  <c r="E21" i="9" s="1"/>
  <c r="F20" i="9"/>
  <c r="G21" i="9" l="1"/>
  <c r="H21" i="9" s="1"/>
  <c r="I21" i="9" s="1"/>
  <c r="C22" i="9" s="1"/>
  <c r="D22" i="9" s="1"/>
  <c r="E22" i="9" s="1"/>
  <c r="F21" i="9"/>
  <c r="G22" i="9" l="1"/>
  <c r="H22" i="9" s="1"/>
  <c r="I22" i="9" s="1"/>
  <c r="C23" i="9" s="1"/>
  <c r="D23" i="9" s="1"/>
  <c r="E23" i="9" s="1"/>
  <c r="F22" i="9"/>
  <c r="G23" i="9" l="1"/>
  <c r="H23" i="9" s="1"/>
  <c r="I23" i="9" s="1"/>
  <c r="C24" i="9" s="1"/>
  <c r="D24" i="9" s="1"/>
  <c r="E24" i="9" s="1"/>
  <c r="F23" i="9"/>
  <c r="G24" i="9" l="1"/>
  <c r="H24" i="9" s="1"/>
  <c r="I24" i="9" s="1"/>
  <c r="C25" i="9" s="1"/>
  <c r="D25" i="9" s="1"/>
  <c r="E25" i="9" s="1"/>
  <c r="F24" i="9"/>
  <c r="G25" i="9" l="1"/>
  <c r="H25" i="9" s="1"/>
  <c r="I25" i="9" s="1"/>
  <c r="C26" i="9" s="1"/>
  <c r="D26" i="9" s="1"/>
  <c r="E26" i="9" s="1"/>
  <c r="F25" i="9"/>
  <c r="G26" i="9" l="1"/>
  <c r="H26" i="9" s="1"/>
  <c r="I26" i="9" s="1"/>
  <c r="C27" i="9" s="1"/>
  <c r="D27" i="9" s="1"/>
  <c r="E27" i="9" s="1"/>
  <c r="F26" i="9"/>
  <c r="G27" i="9" l="1"/>
  <c r="H27" i="9" s="1"/>
  <c r="I27" i="9" s="1"/>
  <c r="C28" i="9" s="1"/>
  <c r="D28" i="9" s="1"/>
  <c r="E28" i="9" s="1"/>
  <c r="F27" i="9"/>
  <c r="G28" i="9" l="1"/>
  <c r="H28" i="9" s="1"/>
  <c r="I28" i="9" s="1"/>
  <c r="C29" i="9" s="1"/>
  <c r="F28" i="9"/>
  <c r="D29" i="9" l="1"/>
  <c r="E29" i="9" s="1"/>
  <c r="G17" i="8"/>
  <c r="K72" i="7"/>
  <c r="M44" i="15" l="1"/>
  <c r="F2" i="4"/>
  <c r="I16" i="4" s="1"/>
  <c r="E30" i="4" s="1"/>
  <c r="G29" i="9"/>
  <c r="F29" i="9"/>
  <c r="D13" i="11" s="1"/>
  <c r="D55" i="7"/>
  <c r="K63" i="7" l="1"/>
  <c r="D5" i="8" s="1"/>
  <c r="H29" i="9"/>
  <c r="D8" i="11" s="1"/>
  <c r="K52" i="7" l="1"/>
  <c r="I29" i="9"/>
  <c r="I10" i="11"/>
  <c r="D5" i="10" s="1"/>
  <c r="J5" i="10" s="1"/>
  <c r="N32" i="15"/>
  <c r="J5" i="8"/>
  <c r="N33" i="15" s="1"/>
  <c r="F17" i="11" l="1"/>
  <c r="F23" i="8"/>
  <c r="T36" i="15"/>
  <c r="F16" i="10"/>
  <c r="D6" i="12"/>
  <c r="F17" i="12" l="1"/>
  <c r="J6" i="12" l="1"/>
  <c r="F27" i="12" s="1"/>
  <c r="W44" i="15"/>
  <c r="W35" i="15" l="1"/>
  <c r="D5" i="13"/>
  <c r="J5" i="13" s="1"/>
  <c r="AB36" i="15" l="1"/>
  <c r="G16" i="13"/>
  <c r="AF36" i="15" l="1"/>
  <c r="D17" i="5" l="1"/>
  <c r="C27" i="15"/>
  <c r="J17" i="5" l="1"/>
  <c r="G25" i="5" s="1"/>
  <c r="D17" i="7" l="1"/>
  <c r="H26" i="15"/>
  <c r="K14" i="7"/>
  <c r="K25" i="7"/>
  <c r="P69" i="7" l="1"/>
  <c r="D12" i="8" s="1"/>
  <c r="P65" i="7"/>
  <c r="D10" i="8" s="1"/>
  <c r="P61" i="7"/>
  <c r="D8" i="8" s="1"/>
  <c r="P27" i="7"/>
  <c r="P31" i="7"/>
  <c r="P23" i="7"/>
  <c r="P53" i="7"/>
  <c r="P50" i="7"/>
  <c r="E5" i="6"/>
  <c r="P12" i="7"/>
  <c r="P15" i="7"/>
  <c r="E9" i="6" s="1"/>
  <c r="G71" i="7" l="1"/>
  <c r="E7" i="6"/>
  <c r="G30" i="7"/>
  <c r="L5" i="6"/>
  <c r="B14" i="14"/>
  <c r="B16" i="14" s="1"/>
  <c r="H16" i="6" l="1"/>
  <c r="P18" i="15"/>
  <c r="B15" i="14"/>
  <c r="B18" i="14" l="1"/>
  <c r="V12" i="15" s="1"/>
  <c r="B17" i="14"/>
  <c r="V11" i="15" s="1"/>
  <c r="B19" i="14" l="1"/>
  <c r="B26" i="14"/>
  <c r="V22" i="15" l="1"/>
  <c r="V19" i="15"/>
  <c r="V21" i="15"/>
  <c r="V18" i="15"/>
</calcChain>
</file>

<file path=xl/sharedStrings.xml><?xml version="1.0" encoding="utf-8"?>
<sst xmlns="http://schemas.openxmlformats.org/spreadsheetml/2006/main" count="413" uniqueCount="186">
  <si>
    <t>Input Feedstock</t>
  </si>
  <si>
    <t>T/y</t>
  </si>
  <si>
    <t>KWOT</t>
  </si>
  <si>
    <t>CHP Capacity</t>
  </si>
  <si>
    <t>MW</t>
  </si>
  <si>
    <t>CHP OEE</t>
  </si>
  <si>
    <t>%</t>
  </si>
  <si>
    <t>G2G OEE</t>
  </si>
  <si>
    <t>TARGET Biomethane</t>
  </si>
  <si>
    <t>m3/h</t>
  </si>
  <si>
    <t>Pack out Front End</t>
  </si>
  <si>
    <t>Water in</t>
  </si>
  <si>
    <t>Packaging Out</t>
  </si>
  <si>
    <t>Pack out Front End Fraction</t>
  </si>
  <si>
    <t>Processed Waste</t>
  </si>
  <si>
    <t>Input</t>
  </si>
  <si>
    <t>Calculated</t>
  </si>
  <si>
    <t>Bund Water In</t>
  </si>
  <si>
    <t>Bund Water In Fraction</t>
  </si>
  <si>
    <t>Digester Return</t>
  </si>
  <si>
    <t>Digester Return Fraction</t>
  </si>
  <si>
    <t>RWBT Return</t>
  </si>
  <si>
    <t>RWBT Return Fraction</t>
  </si>
  <si>
    <t>Total Return</t>
  </si>
  <si>
    <t>Total Return Fraction</t>
  </si>
  <si>
    <t>Note: Total return fraction estimated and is taken from Halstead mass balance 2024</t>
  </si>
  <si>
    <t xml:space="preserve">Total Return Fraction = Return Flow / Digester Flow </t>
  </si>
  <si>
    <t>AD Feedstock</t>
  </si>
  <si>
    <t>RWBT Out</t>
  </si>
  <si>
    <t>CHP Digesters In</t>
  </si>
  <si>
    <t>G2G Digesters In</t>
  </si>
  <si>
    <t>D3</t>
  </si>
  <si>
    <t>D4</t>
  </si>
  <si>
    <t>D5</t>
  </si>
  <si>
    <t>D1</t>
  </si>
  <si>
    <t>D2</t>
  </si>
  <si>
    <t>Volume (m3)</t>
  </si>
  <si>
    <t>Weighting</t>
  </si>
  <si>
    <t>EXISTING</t>
  </si>
  <si>
    <t>D1 CHP</t>
  </si>
  <si>
    <t>D2 CHP</t>
  </si>
  <si>
    <t>D3 CHP</t>
  </si>
  <si>
    <t>D4 CHP</t>
  </si>
  <si>
    <t>NEW</t>
  </si>
  <si>
    <t>D3 G2G</t>
  </si>
  <si>
    <t>D4 G2G</t>
  </si>
  <si>
    <t>D5 G2G</t>
  </si>
  <si>
    <t>M_CHP,D,in</t>
  </si>
  <si>
    <t>M_G2G,D,in</t>
  </si>
  <si>
    <t>Total</t>
  </si>
  <si>
    <t>CHP Fraction</t>
  </si>
  <si>
    <t>G2G Fraction</t>
  </si>
  <si>
    <t>D3 Fraction</t>
  </si>
  <si>
    <t>D4 Fraction</t>
  </si>
  <si>
    <t>D5 Fraction</t>
  </si>
  <si>
    <t>CHP Digesters Out</t>
  </si>
  <si>
    <t>G2G Digesters Out</t>
  </si>
  <si>
    <t>Recycle Stream (Estimated therefore combines both RWBT and D)</t>
  </si>
  <si>
    <t>Recycle Iterative Mass Balance</t>
  </si>
  <si>
    <t>Iteration #</t>
  </si>
  <si>
    <t>S1 Processed Waste + Water In</t>
  </si>
  <si>
    <t>Recycle Guess S5</t>
  </si>
  <si>
    <t>https://www.youtube.com/watch?v=CvnJd8hS7K8</t>
  </si>
  <si>
    <t>S2 AD Feedstock</t>
  </si>
  <si>
    <t>S3 RWBT Out</t>
  </si>
  <si>
    <t>S4 G2G Digesters Out</t>
  </si>
  <si>
    <t>Split</t>
  </si>
  <si>
    <t>Actual Recycle S5</t>
  </si>
  <si>
    <t>RECYCLE STREAM</t>
  </si>
  <si>
    <t>G2G D's Out</t>
  </si>
  <si>
    <t>CHP D's Out</t>
  </si>
  <si>
    <t>S6 Purge to CHP Ds</t>
  </si>
  <si>
    <t>Pasteuriser Feed</t>
  </si>
  <si>
    <t>Pasteuriser Out</t>
  </si>
  <si>
    <t>Borger Out</t>
  </si>
  <si>
    <t>Screenings Out</t>
  </si>
  <si>
    <t>Screening Fraction</t>
  </si>
  <si>
    <t>Digestate Out</t>
  </si>
  <si>
    <t>BALANCE</t>
  </si>
  <si>
    <t>Recycle in</t>
  </si>
  <si>
    <t>CHP Digesters</t>
  </si>
  <si>
    <t>G2G Digesters</t>
  </si>
  <si>
    <t>TS (total solids)</t>
  </si>
  <si>
    <t>fraction</t>
  </si>
  <si>
    <t>VS/TS</t>
  </si>
  <si>
    <t>Degradable VS fraction</t>
  </si>
  <si>
    <t>Methane yield (per kg VS destroyed)</t>
  </si>
  <si>
    <t>Nm3/kgVS</t>
  </si>
  <si>
    <t>CH4 per tonne (Nm3/t)</t>
  </si>
  <si>
    <t>Nm3/t</t>
  </si>
  <si>
    <t>1000 kg/t × TS × VS/TS × degradable × Nm3/kgVS</t>
  </si>
  <si>
    <t>Biomethane Generated to G2G</t>
  </si>
  <si>
    <t>Biomethane Generated to CHP</t>
  </si>
  <si>
    <t>m3/y</t>
  </si>
  <si>
    <t>CH4 fraction in raw biogas</t>
  </si>
  <si>
    <t>Upgrader CH4 recovery</t>
  </si>
  <si>
    <t>Biogas Generated to CHP</t>
  </si>
  <si>
    <t>Biogas Generated to G2G</t>
  </si>
  <si>
    <t>BMP</t>
  </si>
  <si>
    <t>CHP</t>
  </si>
  <si>
    <t>Electricity</t>
  </si>
  <si>
    <t>Heat</t>
  </si>
  <si>
    <t>Engine electrical efficiency</t>
  </si>
  <si>
    <t>LHV of methane</t>
  </si>
  <si>
    <t>kWh/Nm3</t>
  </si>
  <si>
    <t>Energy yield fixed (KWOT_elec)</t>
  </si>
  <si>
    <t>MWh/t</t>
  </si>
  <si>
    <t>G2G model KWOT</t>
  </si>
  <si>
    <t>Energy per Nm3 biogas</t>
  </si>
  <si>
    <t>only methane fraction has calorific value</t>
  </si>
  <si>
    <t>kWe</t>
  </si>
  <si>
    <t>kWth</t>
  </si>
  <si>
    <t>kW electric</t>
  </si>
  <si>
    <t>kW thermal</t>
  </si>
  <si>
    <t>Engine thermal efficiency</t>
  </si>
  <si>
    <t>m3/d</t>
  </si>
  <si>
    <t>Molar mass CH4</t>
  </si>
  <si>
    <t>Molar mass CO2</t>
  </si>
  <si>
    <t>g/mol</t>
  </si>
  <si>
    <t>Molar mass air</t>
  </si>
  <si>
    <t>CH4 fraction in biogas</t>
  </si>
  <si>
    <t>Molar mass biogas</t>
  </si>
  <si>
    <t>Specific gravity</t>
  </si>
  <si>
    <t>STP, 1 mol gas</t>
  </si>
  <si>
    <t>m3</t>
  </si>
  <si>
    <t>1 Nm³ biogas</t>
  </si>
  <si>
    <t>g/Nm3</t>
  </si>
  <si>
    <t>kg/Nm3</t>
  </si>
  <si>
    <t>T/Nm3</t>
  </si>
  <si>
    <t>MWh/y</t>
  </si>
  <si>
    <t>Westwood Gas to Grid Slurry and Gas Mass Balance</t>
  </si>
  <si>
    <t>Rev A - 05/12/2025</t>
  </si>
  <si>
    <t>Waste In</t>
  </si>
  <si>
    <t>Depackaging</t>
  </si>
  <si>
    <t>T/h</t>
  </si>
  <si>
    <t>AD Fresh Feedstock</t>
  </si>
  <si>
    <t xml:space="preserve">Fresh to CHP </t>
  </si>
  <si>
    <t>Fresh to G2G</t>
  </si>
  <si>
    <t>Recycle stream included in digester flow for HRT/OLR, but excluded from BMP gas calculations.</t>
  </si>
  <si>
    <t>Recycle Stream</t>
  </si>
  <si>
    <t>RWBT</t>
  </si>
  <si>
    <t>Tanks</t>
  </si>
  <si>
    <t>G2G Biogas</t>
  </si>
  <si>
    <t>CHP Biogas</t>
  </si>
  <si>
    <t>Engine efficiencies</t>
  </si>
  <si>
    <t>Electrical</t>
  </si>
  <si>
    <t>Thermal</t>
  </si>
  <si>
    <t>Biomethane Potential BMP</t>
  </si>
  <si>
    <t>CH4 Gen G2G</t>
  </si>
  <si>
    <t>CH4 Gen CHP</t>
  </si>
  <si>
    <t>Biogas Gen G2G</t>
  </si>
  <si>
    <t>Biogas Gen CHP</t>
  </si>
  <si>
    <t>CHP kWe</t>
  </si>
  <si>
    <t>CHP kWth</t>
  </si>
  <si>
    <t>CHP MWh el</t>
  </si>
  <si>
    <t>CHP MWh th</t>
  </si>
  <si>
    <t>MWh el</t>
  </si>
  <si>
    <t>MWh th</t>
  </si>
  <si>
    <t>Product gas purity (PSA)</t>
  </si>
  <si>
    <t>Off-gas CH4 fraction</t>
  </si>
  <si>
    <r>
      <t xml:space="preserve">Split factor, </t>
    </r>
    <r>
      <rPr>
        <sz val="11"/>
        <color theme="1"/>
        <rFont val="Aptos Narrow"/>
        <family val="2"/>
      </rPr>
      <t>α</t>
    </r>
  </si>
  <si>
    <t>Product flow</t>
  </si>
  <si>
    <t>Off-gas flow</t>
  </si>
  <si>
    <t>CH4 in product</t>
  </si>
  <si>
    <t>CH4 in off-gas</t>
  </si>
  <si>
    <t>Nm3/h</t>
  </si>
  <si>
    <t>Annual biomethane</t>
  </si>
  <si>
    <t>Energy</t>
  </si>
  <si>
    <t>Nm3/y</t>
  </si>
  <si>
    <t>Propane</t>
  </si>
  <si>
    <t>Grid requirement</t>
  </si>
  <si>
    <t>MJ/m3</t>
  </si>
  <si>
    <t>Product gas</t>
  </si>
  <si>
    <t>Propane flowrate</t>
  </si>
  <si>
    <t>D5 Volume</t>
  </si>
  <si>
    <t>fresh feed drives BMP, recycle is hydraulic only</t>
  </si>
  <si>
    <t>Pasteurisers</t>
  </si>
  <si>
    <t>D3, D4 Volume</t>
  </si>
  <si>
    <t>D1, D2 Volume</t>
  </si>
  <si>
    <t>P1, P2 Volume</t>
  </si>
  <si>
    <t>Borger Separator</t>
  </si>
  <si>
    <t>ST1, ST2, ST3 Volume</t>
  </si>
  <si>
    <t>OEE</t>
  </si>
  <si>
    <t>Storage Tanks</t>
  </si>
  <si>
    <t>Electricity (from gas)</t>
  </si>
  <si>
    <t>Heat (from 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</si>
</sst>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7"/>
      <color theme="1"/>
      <name val="Segoe U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3" fontId="0" fillId="2" borderId="0" xfId="0" applyNumberFormat="1" applyFill="1"/>
    <xf numFmtId="0" fontId="0" fillId="2" borderId="0" xfId="0" applyFill="1"/>
    <xf numFmtId="0" fontId="3" fillId="2" borderId="0" xfId="0" applyFont="1" applyFill="1"/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0" fillId="0" borderId="1" xfId="0" applyBorder="1"/>
    <xf numFmtId="0" fontId="0" fillId="2" borderId="1" xfId="0" applyFill="1" applyBorder="1"/>
    <xf numFmtId="2" fontId="0" fillId="5" borderId="1" xfId="0" applyNumberFormat="1" applyFill="1" applyBorder="1"/>
    <xf numFmtId="0" fontId="0" fillId="4" borderId="0" xfId="0" applyFill="1"/>
    <xf numFmtId="0" fontId="4" fillId="0" borderId="0" xfId="3"/>
    <xf numFmtId="3" fontId="0" fillId="4" borderId="0" xfId="0" applyNumberFormat="1" applyFill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5" fillId="0" borderId="0" xfId="0" applyFont="1"/>
    <xf numFmtId="3" fontId="6" fillId="0" borderId="0" xfId="0" applyNumberFormat="1" applyFont="1"/>
    <xf numFmtId="2" fontId="0" fillId="6" borderId="0" xfId="0" applyNumberFormat="1" applyFill="1"/>
    <xf numFmtId="2" fontId="0" fillId="2" borderId="0" xfId="0" applyNumberFormat="1" applyFill="1"/>
    <xf numFmtId="2" fontId="0" fillId="4" borderId="0" xfId="0" applyNumberFormat="1" applyFill="1"/>
    <xf numFmtId="1" fontId="0" fillId="0" borderId="0" xfId="0" applyNumberFormat="1"/>
    <xf numFmtId="1" fontId="0" fillId="4" borderId="0" xfId="0" applyNumberFormat="1" applyFill="1"/>
    <xf numFmtId="2" fontId="0" fillId="0" borderId="0" xfId="0" applyNumberFormat="1"/>
    <xf numFmtId="167" fontId="0" fillId="4" borderId="0" xfId="0" applyNumberFormat="1" applyFill="1"/>
    <xf numFmtId="164" fontId="0" fillId="4" borderId="0" xfId="0" applyNumberFormat="1" applyFill="1"/>
    <xf numFmtId="165" fontId="0" fillId="4" borderId="0" xfId="1" applyNumberFormat="1" applyFont="1" applyFill="1"/>
    <xf numFmtId="166" fontId="0" fillId="4" borderId="0" xfId="1" applyNumberFormat="1" applyFont="1" applyFill="1"/>
    <xf numFmtId="0" fontId="0" fillId="7" borderId="0" xfId="0" applyFill="1"/>
    <xf numFmtId="0" fontId="0" fillId="7" borderId="0" xfId="0" applyFill="1" applyAlignment="1">
      <alignment horizontal="center"/>
    </xf>
    <xf numFmtId="3" fontId="0" fillId="7" borderId="0" xfId="0" applyNumberFormat="1" applyFill="1"/>
    <xf numFmtId="0" fontId="2" fillId="7" borderId="0" xfId="0" applyFont="1" applyFill="1"/>
    <xf numFmtId="0" fontId="3" fillId="7" borderId="0" xfId="0" applyFont="1" applyFill="1"/>
    <xf numFmtId="0" fontId="7" fillId="0" borderId="0" xfId="0" applyFont="1" applyAlignment="1">
      <alignment vertical="center"/>
    </xf>
    <xf numFmtId="4" fontId="0" fillId="7" borderId="0" xfId="0" applyNumberFormat="1" applyFill="1"/>
    <xf numFmtId="0" fontId="8" fillId="7" borderId="0" xfId="0" applyFont="1" applyFill="1" applyAlignment="1">
      <alignment horizontal="right" vertical="center"/>
    </xf>
    <xf numFmtId="164" fontId="0" fillId="7" borderId="0" xfId="0" applyNumberFormat="1" applyFill="1"/>
    <xf numFmtId="1" fontId="0" fillId="7" borderId="0" xfId="0" applyNumberFormat="1" applyFill="1"/>
    <xf numFmtId="166" fontId="0" fillId="7" borderId="0" xfId="1" applyNumberFormat="1" applyFont="1" applyFill="1"/>
    <xf numFmtId="9" fontId="0" fillId="7" borderId="0" xfId="2" applyFont="1" applyFill="1"/>
    <xf numFmtId="167" fontId="0" fillId="2" borderId="0" xfId="0" applyNumberFormat="1" applyFill="1"/>
    <xf numFmtId="167" fontId="0" fillId="7" borderId="0" xfId="0" applyNumberFormat="1" applyFill="1"/>
    <xf numFmtId="165" fontId="0" fillId="7" borderId="0" xfId="0" applyNumberFormat="1" applyFill="1"/>
    <xf numFmtId="43" fontId="0" fillId="7" borderId="0" xfId="0" applyNumberFormat="1" applyFill="1" applyAlignment="1">
      <alignment horizontal="left"/>
    </xf>
    <xf numFmtId="9" fontId="0" fillId="2" borderId="0" xfId="2" applyFont="1" applyFill="1"/>
    <xf numFmtId="9" fontId="0" fillId="7" borderId="0" xfId="0" applyNumberFormat="1" applyFill="1"/>
    <xf numFmtId="2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1" fontId="0" fillId="5" borderId="0" xfId="0" applyNumberFormat="1" applyFill="1"/>
    <xf numFmtId="9" fontId="0" fillId="5" borderId="0" xfId="2" applyFont="1" applyFill="1"/>
    <xf numFmtId="0" fontId="0" fillId="7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315685</xdr:colOff>
      <xdr:row>0</xdr:row>
      <xdr:rowOff>176893</xdr:rowOff>
    </xdr:from>
    <xdr:to>
      <xdr:col>10</xdr:col>
      <xdr:colOff>435775</xdr:colOff>
      <xdr:row>2</xdr:row>
      <xdr:rowOff>94343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5E7D11-22F0-EC8D-325E-F961E4F62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1971" y="176893"/>
          <a:ext cx="1435447" cy="28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520700</xdr:colOff>
      <xdr:row>7</xdr:row>
      <xdr:rowOff>101600</xdr:rowOff>
    </xdr:from>
    <xdr:to>
      <xdr:col>3</xdr:col>
      <xdr:colOff>355600</xdr:colOff>
      <xdr:row>12</xdr:row>
      <xdr:rowOff>177800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13B46B-4FD1-422D-2C78-8E5DCD70645C}"/>
            </a:ext>
          </a:extLst>
        </xdr:cNvPr>
        <xdr:cNvSpPr/>
      </xdr:nvSpPr>
      <xdr:spPr>
        <a:xfrm>
          <a:off x="520700" y="1371600"/>
          <a:ext cx="2456543" cy="983343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917575</xdr:colOff>
      <xdr:row>12</xdr:row>
      <xdr:rowOff>177800</xdr:rowOff>
    </xdr:from>
    <xdr:to>
      <xdr:col>1</xdr:col>
      <xdr:colOff>917575</xdr:colOff>
      <xdr:row>15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8572C1F-BA28-05BB-BB79-EFF65887B31F}"/>
            </a:ext>
          </a:extLst>
        </xdr:cNvPr>
        <xdr:cNvCxnSpPr>
          <a:stCxn id="3" idx="2"/>
        </xdr:cNvCxnSpPr>
      </xdr:nvCxnSpPr>
      <xdr:spPr>
        <a:xfrm>
          <a:off x="1525361" y="2354943"/>
          <a:ext cx="0" cy="404586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529770</xdr:colOff>
      <xdr:row>15</xdr:row>
      <xdr:rowOff>74385</xdr:rowOff>
    </xdr:from>
    <xdr:to>
      <xdr:col>3</xdr:col>
      <xdr:colOff>364670</xdr:colOff>
      <xdr:row>20</xdr:row>
      <xdr:rowOff>150586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2293EA7-86F3-45EA-B38C-1330372E565D}"/>
            </a:ext>
          </a:extLst>
        </xdr:cNvPr>
        <xdr:cNvSpPr/>
      </xdr:nvSpPr>
      <xdr:spPr>
        <a:xfrm>
          <a:off x="529770" y="2795814"/>
          <a:ext cx="2012043" cy="983343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905779</xdr:colOff>
      <xdr:row>21</xdr:row>
      <xdr:rowOff>5442</xdr:rowOff>
    </xdr:from>
    <xdr:to>
      <xdr:col>1</xdr:col>
      <xdr:colOff>905779</xdr:colOff>
      <xdr:row>23</xdr:row>
      <xdr:rowOff>47171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8653D55-9C8E-40D6-A709-25A3BC06F55F}"/>
            </a:ext>
          </a:extLst>
        </xdr:cNvPr>
        <xdr:cNvCxnSpPr/>
      </xdr:nvCxnSpPr>
      <xdr:spPr>
        <a:xfrm>
          <a:off x="1513565" y="3815442"/>
          <a:ext cx="0" cy="404586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16</xdr:row>
      <xdr:rowOff>103415</xdr:rowOff>
    </xdr:from>
    <xdr:to>
      <xdr:col>4</xdr:col>
      <xdr:colOff>290286</xdr:colOff>
      <xdr:row>16</xdr:row>
      <xdr:rowOff>108858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5772D4A-4AB9-1EEE-AACB-E2F2B297E445}"/>
            </a:ext>
          </a:extLst>
        </xdr:cNvPr>
        <xdr:cNvCxnSpPr/>
      </xdr:nvCxnSpPr>
      <xdr:spPr>
        <a:xfrm>
          <a:off x="3040742" y="3006272"/>
          <a:ext cx="478973" cy="5443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308428</xdr:colOff>
      <xdr:row>12</xdr:row>
      <xdr:rowOff>90716</xdr:rowOff>
    </xdr:from>
    <xdr:to>
      <xdr:col>7</xdr:col>
      <xdr:colOff>426356</xdr:colOff>
      <xdr:row>17</xdr:row>
      <xdr:rowOff>108857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3433250C-FE13-4F73-8A0F-EA8235B4F09D}"/>
            </a:ext>
          </a:extLst>
        </xdr:cNvPr>
        <xdr:cNvSpPr/>
      </xdr:nvSpPr>
      <xdr:spPr>
        <a:xfrm>
          <a:off x="3537857" y="2267859"/>
          <a:ext cx="3047999" cy="925284"/>
        </a:xfrm>
        <a:prstGeom prst="rect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529770</xdr:colOff>
      <xdr:row>23</xdr:row>
      <xdr:rowOff>74385</xdr:rowOff>
    </xdr:from>
    <xdr:to>
      <xdr:col>3</xdr:col>
      <xdr:colOff>364670</xdr:colOff>
      <xdr:row>28</xdr:row>
      <xdr:rowOff>150586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BA01575-85B5-4EE7-A938-5185E58AA2BA}"/>
            </a:ext>
          </a:extLst>
        </xdr:cNvPr>
        <xdr:cNvSpPr/>
      </xdr:nvSpPr>
      <xdr:spPr>
        <a:xfrm>
          <a:off x="529770" y="2795814"/>
          <a:ext cx="2102757" cy="983343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932541</xdr:colOff>
      <xdr:row>28</xdr:row>
      <xdr:rowOff>177800</xdr:rowOff>
    </xdr:from>
    <xdr:to>
      <xdr:col>1</xdr:col>
      <xdr:colOff>935182</xdr:colOff>
      <xdr:row>42</xdr:row>
      <xdr:rowOff>173182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F41735F-76F1-6B12-9F72-3A48EFE36C13}"/>
            </a:ext>
          </a:extLst>
        </xdr:cNvPr>
        <xdr:cNvCxnSpPr/>
      </xdr:nvCxnSpPr>
      <xdr:spPr>
        <a:xfrm flipH="1" flipV="1">
          <a:off x="1544450" y="5350164"/>
          <a:ext cx="2641" cy="2581563"/>
        </a:xfrm>
        <a:prstGeom prst="straightConnector1">
          <a:avLst/>
        </a:prstGeom>
        <a:ln>
          <a:solidFill>
            <a:schemeClr val="accent4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535213</xdr:colOff>
      <xdr:row>43</xdr:row>
      <xdr:rowOff>63500</xdr:rowOff>
    </xdr:from>
    <xdr:to>
      <xdr:col>3</xdr:col>
      <xdr:colOff>370113</xdr:colOff>
      <xdr:row>48</xdr:row>
      <xdr:rowOff>139701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238D16F-6545-41F0-920E-E0D5A454828C}"/>
            </a:ext>
          </a:extLst>
        </xdr:cNvPr>
        <xdr:cNvSpPr/>
      </xdr:nvSpPr>
      <xdr:spPr>
        <a:xfrm>
          <a:off x="535213" y="6776357"/>
          <a:ext cx="2456543" cy="983344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980374</xdr:colOff>
      <xdr:row>41</xdr:row>
      <xdr:rowOff>44121</xdr:rowOff>
    </xdr:from>
    <xdr:to>
      <xdr:col>10</xdr:col>
      <xdr:colOff>188439</xdr:colOff>
      <xdr:row>41</xdr:row>
      <xdr:rowOff>47749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BA9CA2EF-5484-3169-C349-2D25D2CE176F}"/>
            </a:ext>
          </a:extLst>
        </xdr:cNvPr>
        <xdr:cNvCxnSpPr/>
      </xdr:nvCxnSpPr>
      <xdr:spPr>
        <a:xfrm flipH="1" flipV="1">
          <a:off x="1592283" y="7617939"/>
          <a:ext cx="6620247" cy="3628"/>
        </a:xfrm>
        <a:prstGeom prst="straightConnector1">
          <a:avLst/>
        </a:prstGeom>
        <a:ln>
          <a:solidFill>
            <a:schemeClr val="accent4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217714</xdr:colOff>
      <xdr:row>40</xdr:row>
      <xdr:rowOff>99787</xdr:rowOff>
    </xdr:from>
    <xdr:to>
      <xdr:col>14</xdr:col>
      <xdr:colOff>243114</xdr:colOff>
      <xdr:row>46</xdr:row>
      <xdr:rowOff>126999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F5F2FFF-D946-489F-8362-3B87F8590183}"/>
            </a:ext>
          </a:extLst>
        </xdr:cNvPr>
        <xdr:cNvSpPr/>
      </xdr:nvSpPr>
      <xdr:spPr>
        <a:xfrm>
          <a:off x="8200571" y="6268358"/>
          <a:ext cx="3091543" cy="1115784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1457327</xdr:colOff>
      <xdr:row>19</xdr:row>
      <xdr:rowOff>102961</xdr:rowOff>
    </xdr:from>
    <xdr:to>
      <xdr:col>9</xdr:col>
      <xdr:colOff>178255</xdr:colOff>
      <xdr:row>32</xdr:row>
      <xdr:rowOff>123826</xdr:rowOff>
    </xdr:to>
    <xdr:sp macro="" textlink="">
      <xdr:nvSpPr>
        <xdr:cNvPr id="33" name="Cylinder 32">
          <a:extLst>
            <a:ext uri="{FF2B5EF4-FFF2-40B4-BE49-F238E27FC236}">
              <a16:creationId xmlns:a16="http://schemas.microsoft.com/office/drawing/2014/main" id="{28B61F16-93FA-506C-2EA7-09AD991C5C43}"/>
            </a:ext>
          </a:extLst>
        </xdr:cNvPr>
        <xdr:cNvSpPr/>
      </xdr:nvSpPr>
      <xdr:spPr>
        <a:xfrm>
          <a:off x="5289739" y="3509549"/>
          <a:ext cx="2553340" cy="2351689"/>
        </a:xfrm>
        <a:prstGeom prst="can">
          <a:avLst>
            <a:gd name="adj" fmla="val 14558"/>
          </a:avLst>
        </a:prstGeom>
        <a:noFill/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371928</xdr:colOff>
      <xdr:row>26</xdr:row>
      <xdr:rowOff>145143</xdr:rowOff>
    </xdr:from>
    <xdr:to>
      <xdr:col>5</xdr:col>
      <xdr:colOff>1424215</xdr:colOff>
      <xdr:row>26</xdr:row>
      <xdr:rowOff>145143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6921B937-9805-BD53-EE36-F13E1CF5203A}"/>
            </a:ext>
          </a:extLst>
        </xdr:cNvPr>
        <xdr:cNvCxnSpPr/>
      </xdr:nvCxnSpPr>
      <xdr:spPr>
        <a:xfrm>
          <a:off x="2993571" y="4862286"/>
          <a:ext cx="2267858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323784</xdr:colOff>
      <xdr:row>34</xdr:row>
      <xdr:rowOff>168450</xdr:rowOff>
    </xdr:from>
    <xdr:to>
      <xdr:col>29</xdr:col>
      <xdr:colOff>403412</xdr:colOff>
      <xdr:row>34</xdr:row>
      <xdr:rowOff>168450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F882218A-3578-4002-A55D-1903334E099F}"/>
            </a:ext>
          </a:extLst>
        </xdr:cNvPr>
        <xdr:cNvCxnSpPr/>
      </xdr:nvCxnSpPr>
      <xdr:spPr>
        <a:xfrm>
          <a:off x="22780372" y="6264450"/>
          <a:ext cx="684746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438044</xdr:colOff>
      <xdr:row>33</xdr:row>
      <xdr:rowOff>21610</xdr:rowOff>
    </xdr:from>
    <xdr:to>
      <xdr:col>32</xdr:col>
      <xdr:colOff>358588</xdr:colOff>
      <xdr:row>36</xdr:row>
      <xdr:rowOff>116086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3199CDA-8D5B-4FBA-8E43-371D97CA7D09}"/>
            </a:ext>
          </a:extLst>
        </xdr:cNvPr>
        <xdr:cNvSpPr/>
      </xdr:nvSpPr>
      <xdr:spPr>
        <a:xfrm>
          <a:off x="23499750" y="5938316"/>
          <a:ext cx="1982426" cy="632358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1027545</xdr:colOff>
      <xdr:row>24</xdr:row>
      <xdr:rowOff>54428</xdr:rowOff>
    </xdr:from>
    <xdr:to>
      <xdr:col>14</xdr:col>
      <xdr:colOff>418109</xdr:colOff>
      <xdr:row>38</xdr:row>
      <xdr:rowOff>142671</xdr:rowOff>
    </xdr:to>
    <xdr:sp macro="" textlink="">
      <xdr:nvSpPr>
        <xdr:cNvPr id="58" name="Cylinder 57">
          <a:extLst>
            <a:ext uri="{FF2B5EF4-FFF2-40B4-BE49-F238E27FC236}">
              <a16:creationId xmlns:a16="http://schemas.microsoft.com/office/drawing/2014/main" id="{DD412ED7-3E3B-4AD4-A99D-E5F2A1440B44}"/>
            </a:ext>
          </a:extLst>
        </xdr:cNvPr>
        <xdr:cNvSpPr/>
      </xdr:nvSpPr>
      <xdr:spPr>
        <a:xfrm>
          <a:off x="9618188" y="4408714"/>
          <a:ext cx="2465778" cy="2628243"/>
        </a:xfrm>
        <a:prstGeom prst="can">
          <a:avLst>
            <a:gd name="adj" fmla="val 14558"/>
          </a:avLst>
        </a:prstGeom>
        <a:noFill/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219364</xdr:colOff>
      <xdr:row>14</xdr:row>
      <xdr:rowOff>161636</xdr:rowOff>
    </xdr:from>
    <xdr:to>
      <xdr:col>11</xdr:col>
      <xdr:colOff>219364</xdr:colOff>
      <xdr:row>32</xdr:row>
      <xdr:rowOff>103909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61E68991-95B9-46FE-3E45-17A266CA2986}"/>
            </a:ext>
          </a:extLst>
        </xdr:cNvPr>
        <xdr:cNvCxnSpPr/>
      </xdr:nvCxnSpPr>
      <xdr:spPr>
        <a:xfrm>
          <a:off x="8855364" y="2747818"/>
          <a:ext cx="0" cy="3267364"/>
        </a:xfrm>
        <a:prstGeom prst="line">
          <a:avLst/>
        </a:prstGeom>
        <a:ln>
          <a:solidFill>
            <a:schemeClr val="accent6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235858</xdr:colOff>
      <xdr:row>32</xdr:row>
      <xdr:rowOff>92363</xdr:rowOff>
    </xdr:from>
    <xdr:to>
      <xdr:col>11</xdr:col>
      <xdr:colOff>1011054</xdr:colOff>
      <xdr:row>32</xdr:row>
      <xdr:rowOff>92363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E7915A73-F241-413A-8C0D-339D6FA7F73F}"/>
            </a:ext>
          </a:extLst>
        </xdr:cNvPr>
        <xdr:cNvCxnSpPr/>
      </xdr:nvCxnSpPr>
      <xdr:spPr>
        <a:xfrm>
          <a:off x="8826501" y="5898077"/>
          <a:ext cx="775196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319768</xdr:colOff>
      <xdr:row>10</xdr:row>
      <xdr:rowOff>83911</xdr:rowOff>
    </xdr:from>
    <xdr:to>
      <xdr:col>17</xdr:col>
      <xdr:colOff>265957</xdr:colOff>
      <xdr:row>23</xdr:row>
      <xdr:rowOff>120199</xdr:rowOff>
    </xdr:to>
    <xdr:sp macro="" textlink="">
      <xdr:nvSpPr>
        <xdr:cNvPr id="63" name="Cylinder 62">
          <a:extLst>
            <a:ext uri="{FF2B5EF4-FFF2-40B4-BE49-F238E27FC236}">
              <a16:creationId xmlns:a16="http://schemas.microsoft.com/office/drawing/2014/main" id="{EA1706D5-1DCC-43A5-BFF5-D5D637EED40F}"/>
            </a:ext>
          </a:extLst>
        </xdr:cNvPr>
        <xdr:cNvSpPr/>
      </xdr:nvSpPr>
      <xdr:spPr>
        <a:xfrm>
          <a:off x="11241768" y="1988911"/>
          <a:ext cx="3010064" cy="2512788"/>
        </a:xfrm>
        <a:prstGeom prst="can">
          <a:avLst>
            <a:gd name="adj" fmla="val 14558"/>
          </a:avLst>
        </a:prstGeom>
        <a:noFill/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217982</xdr:colOff>
      <xdr:row>14</xdr:row>
      <xdr:rowOff>174092</xdr:rowOff>
    </xdr:from>
    <xdr:to>
      <xdr:col>13</xdr:col>
      <xdr:colOff>246529</xdr:colOff>
      <xdr:row>14</xdr:row>
      <xdr:rowOff>174092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5B0B05CD-2A06-402B-AF70-0BEF558ACAB2}"/>
            </a:ext>
          </a:extLst>
        </xdr:cNvPr>
        <xdr:cNvCxnSpPr/>
      </xdr:nvCxnSpPr>
      <xdr:spPr>
        <a:xfrm>
          <a:off x="8861453" y="2788798"/>
          <a:ext cx="2396723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879928</xdr:colOff>
      <xdr:row>38</xdr:row>
      <xdr:rowOff>154214</xdr:rowOff>
    </xdr:from>
    <xdr:to>
      <xdr:col>12</xdr:col>
      <xdr:colOff>879928</xdr:colOff>
      <xdr:row>40</xdr:row>
      <xdr:rowOff>54428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8BB51884-525D-0330-AB25-A95041CEA41D}"/>
            </a:ext>
          </a:extLst>
        </xdr:cNvPr>
        <xdr:cNvCxnSpPr/>
      </xdr:nvCxnSpPr>
      <xdr:spPr>
        <a:xfrm>
          <a:off x="10713357" y="7048500"/>
          <a:ext cx="0" cy="263071"/>
        </a:xfrm>
        <a:prstGeom prst="straightConnector1">
          <a:avLst/>
        </a:prstGeom>
        <a:ln>
          <a:solidFill>
            <a:schemeClr val="accent4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145206</xdr:colOff>
      <xdr:row>9</xdr:row>
      <xdr:rowOff>36286</xdr:rowOff>
    </xdr:from>
    <xdr:to>
      <xdr:col>15</xdr:col>
      <xdr:colOff>145206</xdr:colOff>
      <xdr:row>10</xdr:row>
      <xdr:rowOff>87034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2EB548E5-7E99-7A5A-905B-519CCA724449}"/>
            </a:ext>
          </a:extLst>
        </xdr:cNvPr>
        <xdr:cNvCxnSpPr/>
      </xdr:nvCxnSpPr>
      <xdr:spPr>
        <a:xfrm flipV="1">
          <a:off x="12944992" y="1669143"/>
          <a:ext cx="0" cy="232177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761999</xdr:colOff>
      <xdr:row>3</xdr:row>
      <xdr:rowOff>0</xdr:rowOff>
    </xdr:from>
    <xdr:to>
      <xdr:col>12</xdr:col>
      <xdr:colOff>762000</xdr:colOff>
      <xdr:row>13</xdr:row>
      <xdr:rowOff>160131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92F2E551-E1DD-4326-A94A-F044A1A342CD}"/>
            </a:ext>
          </a:extLst>
        </xdr:cNvPr>
        <xdr:cNvCxnSpPr/>
      </xdr:nvCxnSpPr>
      <xdr:spPr>
        <a:xfrm flipH="1" flipV="1">
          <a:off x="10596216" y="546652"/>
          <a:ext cx="1" cy="1982305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144517</xdr:colOff>
      <xdr:row>9</xdr:row>
      <xdr:rowOff>29955</xdr:rowOff>
    </xdr:from>
    <xdr:to>
      <xdr:col>19</xdr:col>
      <xdr:colOff>541058</xdr:colOff>
      <xdr:row>9</xdr:row>
      <xdr:rowOff>29955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1C1E2777-11F1-22E1-0F2E-FF8C0854D0AE}"/>
            </a:ext>
          </a:extLst>
        </xdr:cNvPr>
        <xdr:cNvCxnSpPr/>
      </xdr:nvCxnSpPr>
      <xdr:spPr>
        <a:xfrm>
          <a:off x="12573000" y="1685334"/>
          <a:ext cx="2840196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540005</xdr:colOff>
      <xdr:row>7</xdr:row>
      <xdr:rowOff>158749</xdr:rowOff>
    </xdr:from>
    <xdr:to>
      <xdr:col>22</xdr:col>
      <xdr:colOff>531091</xdr:colOff>
      <xdr:row>12</xdr:row>
      <xdr:rowOff>138546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18BB7BB0-2435-442F-AED9-004A118F55AA}"/>
            </a:ext>
          </a:extLst>
        </xdr:cNvPr>
        <xdr:cNvSpPr/>
      </xdr:nvSpPr>
      <xdr:spPr>
        <a:xfrm>
          <a:off x="15399005" y="1447799"/>
          <a:ext cx="3286736" cy="90054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762000</xdr:colOff>
      <xdr:row>2</xdr:row>
      <xdr:rowOff>173181</xdr:rowOff>
    </xdr:from>
    <xdr:to>
      <xdr:col>19</xdr:col>
      <xdr:colOff>554182</xdr:colOff>
      <xdr:row>2</xdr:row>
      <xdr:rowOff>173181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68DBDF9D-33F3-15FE-3A19-2062C6E0CAFD}"/>
            </a:ext>
          </a:extLst>
        </xdr:cNvPr>
        <xdr:cNvCxnSpPr/>
      </xdr:nvCxnSpPr>
      <xdr:spPr>
        <a:xfrm>
          <a:off x="10644909" y="542636"/>
          <a:ext cx="52070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553028</xdr:colOff>
      <xdr:row>1</xdr:row>
      <xdr:rowOff>66387</xdr:rowOff>
    </xdr:from>
    <xdr:to>
      <xdr:col>22</xdr:col>
      <xdr:colOff>539750</xdr:colOff>
      <xdr:row>6</xdr:row>
      <xdr:rowOff>12700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B7DF2A72-23D0-4984-B8ED-F846FD54FA7B}"/>
            </a:ext>
          </a:extLst>
        </xdr:cNvPr>
        <xdr:cNvSpPr/>
      </xdr:nvSpPr>
      <xdr:spPr>
        <a:xfrm>
          <a:off x="15412028" y="250537"/>
          <a:ext cx="3282372" cy="8670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584890</xdr:colOff>
      <xdr:row>13</xdr:row>
      <xdr:rowOff>158887</xdr:rowOff>
    </xdr:from>
    <xdr:to>
      <xdr:col>12</xdr:col>
      <xdr:colOff>943665</xdr:colOff>
      <xdr:row>16</xdr:row>
      <xdr:rowOff>3312</xdr:rowOff>
    </xdr:to>
    <xdr:sp macro="" textlink="">
      <xdr:nvSpPr>
        <xdr:cNvPr id="89" name="Arc 88">
          <a:extLst>
            <a:ext uri="{FF2B5EF4-FFF2-40B4-BE49-F238E27FC236}">
              <a16:creationId xmlns:a16="http://schemas.microsoft.com/office/drawing/2014/main" id="{9CC5ED7C-0A0C-1E26-3FC2-F562BE335939}"/>
            </a:ext>
          </a:extLst>
        </xdr:cNvPr>
        <xdr:cNvSpPr/>
      </xdr:nvSpPr>
      <xdr:spPr>
        <a:xfrm rot="16200000">
          <a:off x="10402956" y="2543864"/>
          <a:ext cx="391077" cy="358775"/>
        </a:xfrm>
        <a:prstGeom prst="arc">
          <a:avLst>
            <a:gd name="adj1" fmla="val 10702842"/>
            <a:gd name="adj2" fmla="val 0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778566</xdr:colOff>
      <xdr:row>16</xdr:row>
      <xdr:rowOff>11043</xdr:rowOff>
    </xdr:from>
    <xdr:to>
      <xdr:col>12</xdr:col>
      <xdr:colOff>778566</xdr:colOff>
      <xdr:row>24</xdr:row>
      <xdr:rowOff>63500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70789BB5-EF4C-F64B-9899-9B236707D24A}"/>
            </a:ext>
          </a:extLst>
        </xdr:cNvPr>
        <xdr:cNvCxnSpPr/>
      </xdr:nvCxnSpPr>
      <xdr:spPr>
        <a:xfrm>
          <a:off x="10611995" y="2913900"/>
          <a:ext cx="0" cy="1503886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577273</xdr:colOff>
      <xdr:row>15</xdr:row>
      <xdr:rowOff>150090</xdr:rowOff>
    </xdr:from>
    <xdr:to>
      <xdr:col>22</xdr:col>
      <xdr:colOff>568359</xdr:colOff>
      <xdr:row>22</xdr:row>
      <xdr:rowOff>127000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6BDB79E4-E043-416D-A8E9-5845DB91D9CC}"/>
            </a:ext>
          </a:extLst>
        </xdr:cNvPr>
        <xdr:cNvSpPr/>
      </xdr:nvSpPr>
      <xdr:spPr>
        <a:xfrm>
          <a:off x="15436273" y="2912340"/>
          <a:ext cx="3286736" cy="126596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865909</xdr:colOff>
      <xdr:row>12</xdr:row>
      <xdr:rowOff>150091</xdr:rowOff>
    </xdr:from>
    <xdr:to>
      <xdr:col>20</xdr:col>
      <xdr:colOff>865909</xdr:colOff>
      <xdr:row>15</xdr:row>
      <xdr:rowOff>115455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F29E227E-B37E-BF84-B70F-F382CE207DAF}"/>
            </a:ext>
          </a:extLst>
        </xdr:cNvPr>
        <xdr:cNvCxnSpPr/>
      </xdr:nvCxnSpPr>
      <xdr:spPr>
        <a:xfrm>
          <a:off x="16775545" y="2366818"/>
          <a:ext cx="0" cy="519546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488062</xdr:colOff>
      <xdr:row>34</xdr:row>
      <xdr:rowOff>172621</xdr:rowOff>
    </xdr:from>
    <xdr:to>
      <xdr:col>20</xdr:col>
      <xdr:colOff>1288677</xdr:colOff>
      <xdr:row>34</xdr:row>
      <xdr:rowOff>172621</xdr:rowOff>
    </xdr:to>
    <xdr:cxnSp macro="">
      <xdr:nvCxnSpPr>
        <xdr:cNvPr id="101" name="Straight Arrow Connector 100">
          <a:extLst>
            <a:ext uri="{FF2B5EF4-FFF2-40B4-BE49-F238E27FC236}">
              <a16:creationId xmlns:a16="http://schemas.microsoft.com/office/drawing/2014/main" id="{61CBAA8F-9F33-4F91-B6D8-B01D6AA6E2D1}"/>
            </a:ext>
          </a:extLst>
        </xdr:cNvPr>
        <xdr:cNvCxnSpPr/>
      </xdr:nvCxnSpPr>
      <xdr:spPr>
        <a:xfrm>
          <a:off x="15997003" y="6268621"/>
          <a:ext cx="800615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429676</xdr:colOff>
      <xdr:row>34</xdr:row>
      <xdr:rowOff>47670</xdr:rowOff>
    </xdr:from>
    <xdr:to>
      <xdr:col>17</xdr:col>
      <xdr:colOff>486509</xdr:colOff>
      <xdr:row>34</xdr:row>
      <xdr:rowOff>47670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D74448F5-1881-422A-A581-3D2E4B34DC7D}"/>
            </a:ext>
          </a:extLst>
        </xdr:cNvPr>
        <xdr:cNvCxnSpPr/>
      </xdr:nvCxnSpPr>
      <xdr:spPr>
        <a:xfrm>
          <a:off x="12084812" y="5935852"/>
          <a:ext cx="2394788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502227</xdr:colOff>
      <xdr:row>28</xdr:row>
      <xdr:rowOff>124401</xdr:rowOff>
    </xdr:from>
    <xdr:to>
      <xdr:col>20</xdr:col>
      <xdr:colOff>448236</xdr:colOff>
      <xdr:row>41</xdr:row>
      <xdr:rowOff>126215</xdr:rowOff>
    </xdr:to>
    <xdr:sp macro="" textlink="">
      <xdr:nvSpPr>
        <xdr:cNvPr id="104" name="Cylinder 103">
          <a:extLst>
            <a:ext uri="{FF2B5EF4-FFF2-40B4-BE49-F238E27FC236}">
              <a16:creationId xmlns:a16="http://schemas.microsoft.com/office/drawing/2014/main" id="{BBB55FF3-B886-4993-BC71-0D2B685E3C3E}"/>
            </a:ext>
          </a:extLst>
        </xdr:cNvPr>
        <xdr:cNvSpPr/>
      </xdr:nvSpPr>
      <xdr:spPr>
        <a:xfrm>
          <a:off x="14498374" y="5144636"/>
          <a:ext cx="2097538" cy="2332638"/>
        </a:xfrm>
        <a:prstGeom prst="can">
          <a:avLst>
            <a:gd name="adj" fmla="val 14558"/>
          </a:avLst>
        </a:prstGeom>
        <a:noFill/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411444</xdr:colOff>
      <xdr:row>29</xdr:row>
      <xdr:rowOff>17556</xdr:rowOff>
    </xdr:from>
    <xdr:to>
      <xdr:col>28</xdr:col>
      <xdr:colOff>302560</xdr:colOff>
      <xdr:row>42</xdr:row>
      <xdr:rowOff>19370</xdr:rowOff>
    </xdr:to>
    <xdr:sp macro="" textlink="">
      <xdr:nvSpPr>
        <xdr:cNvPr id="105" name="Cylinder 104">
          <a:extLst>
            <a:ext uri="{FF2B5EF4-FFF2-40B4-BE49-F238E27FC236}">
              <a16:creationId xmlns:a16="http://schemas.microsoft.com/office/drawing/2014/main" id="{4AD472E5-D0D7-4DF0-BF79-F71980AC0A36}"/>
            </a:ext>
          </a:extLst>
        </xdr:cNvPr>
        <xdr:cNvSpPr/>
      </xdr:nvSpPr>
      <xdr:spPr>
        <a:xfrm>
          <a:off x="20481179" y="5217085"/>
          <a:ext cx="2356410" cy="2332638"/>
        </a:xfrm>
        <a:prstGeom prst="can">
          <a:avLst>
            <a:gd name="adj" fmla="val 14558"/>
          </a:avLst>
        </a:prstGeom>
        <a:noFill/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201706</xdr:colOff>
      <xdr:row>34</xdr:row>
      <xdr:rowOff>161737</xdr:rowOff>
    </xdr:from>
    <xdr:to>
      <xdr:col>25</xdr:col>
      <xdr:colOff>392206</xdr:colOff>
      <xdr:row>34</xdr:row>
      <xdr:rowOff>161737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7F215F3D-4CA7-4F21-8C61-77E8E50EE4A5}"/>
            </a:ext>
          </a:extLst>
        </xdr:cNvPr>
        <xdr:cNvCxnSpPr/>
      </xdr:nvCxnSpPr>
      <xdr:spPr>
        <a:xfrm>
          <a:off x="19038794" y="6257737"/>
          <a:ext cx="795618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1314262</xdr:colOff>
      <xdr:row>32</xdr:row>
      <xdr:rowOff>132790</xdr:rowOff>
    </xdr:from>
    <xdr:to>
      <xdr:col>24</xdr:col>
      <xdr:colOff>171263</xdr:colOff>
      <xdr:row>38</xdr:row>
      <xdr:rowOff>16997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830DBB13-5136-4DC8-A1FD-E93CFCAD14AA}"/>
            </a:ext>
          </a:extLst>
        </xdr:cNvPr>
        <xdr:cNvSpPr/>
      </xdr:nvSpPr>
      <xdr:spPr>
        <a:xfrm>
          <a:off x="16823203" y="5870202"/>
          <a:ext cx="2185148" cy="959971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476250</xdr:colOff>
      <xdr:row>38</xdr:row>
      <xdr:rowOff>27214</xdr:rowOff>
    </xdr:from>
    <xdr:to>
      <xdr:col>21</xdr:col>
      <xdr:colOff>476250</xdr:colOff>
      <xdr:row>40</xdr:row>
      <xdr:rowOff>163286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851A2224-27A5-78B3-FA05-531B1C01E944}"/>
            </a:ext>
          </a:extLst>
        </xdr:cNvPr>
        <xdr:cNvCxnSpPr/>
      </xdr:nvCxnSpPr>
      <xdr:spPr>
        <a:xfrm>
          <a:off x="17566821" y="6749143"/>
          <a:ext cx="0" cy="489857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1303563</xdr:colOff>
      <xdr:row>41</xdr:row>
      <xdr:rowOff>906</xdr:rowOff>
    </xdr:from>
    <xdr:to>
      <xdr:col>24</xdr:col>
      <xdr:colOff>171450</xdr:colOff>
      <xdr:row>46</xdr:row>
      <xdr:rowOff>22223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3C9C2DC6-1328-41B1-B512-7947323A88A6}"/>
            </a:ext>
          </a:extLst>
        </xdr:cNvPr>
        <xdr:cNvSpPr/>
      </xdr:nvSpPr>
      <xdr:spPr>
        <a:xfrm>
          <a:off x="16848363" y="7420881"/>
          <a:ext cx="2249262" cy="926192"/>
        </a:xfrm>
        <a:prstGeom prst="rect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196022</xdr:colOff>
      <xdr:row>26</xdr:row>
      <xdr:rowOff>115956</xdr:rowOff>
    </xdr:from>
    <xdr:to>
      <xdr:col>11</xdr:col>
      <xdr:colOff>214164</xdr:colOff>
      <xdr:row>26</xdr:row>
      <xdr:rowOff>115956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59039F3-6A0B-9400-DDB1-479D602E87E9}"/>
            </a:ext>
          </a:extLst>
        </xdr:cNvPr>
        <xdr:cNvCxnSpPr/>
      </xdr:nvCxnSpPr>
      <xdr:spPr>
        <a:xfrm>
          <a:off x="7285935" y="4853608"/>
          <a:ext cx="1232925" cy="0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36286</xdr:colOff>
      <xdr:row>23</xdr:row>
      <xdr:rowOff>108857</xdr:rowOff>
    </xdr:from>
    <xdr:to>
      <xdr:col>15</xdr:col>
      <xdr:colOff>36286</xdr:colOff>
      <xdr:row>34</xdr:row>
      <xdr:rowOff>9072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29ACB9B-1ED7-43DE-82CD-4D5F4069E701}"/>
            </a:ext>
          </a:extLst>
        </xdr:cNvPr>
        <xdr:cNvCxnSpPr/>
      </xdr:nvCxnSpPr>
      <xdr:spPr>
        <a:xfrm>
          <a:off x="12446000" y="4281714"/>
          <a:ext cx="0" cy="1895929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161925</xdr:rowOff>
    </xdr:from>
    <xdr:to>
      <xdr:col>6</xdr:col>
      <xdr:colOff>568325</xdr:colOff>
      <xdr:row>12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1A852B5-715A-441A-B310-CEC85EA2274B}"/>
            </a:ext>
          </a:extLst>
        </xdr:cNvPr>
        <xdr:cNvSpPr/>
      </xdr:nvSpPr>
      <xdr:spPr>
        <a:xfrm>
          <a:off x="3130550" y="701675"/>
          <a:ext cx="1533525" cy="1295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Borger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4</xdr:row>
      <xdr:rowOff>6350</xdr:rowOff>
    </xdr:from>
    <xdr:to>
      <xdr:col>7</xdr:col>
      <xdr:colOff>215900</xdr:colOff>
      <xdr:row>11</xdr:row>
      <xdr:rowOff>34925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2B0B2A2-8C58-496E-9479-FB168999AED6}"/>
            </a:ext>
          </a:extLst>
        </xdr:cNvPr>
        <xdr:cNvSpPr/>
      </xdr:nvSpPr>
      <xdr:spPr>
        <a:xfrm>
          <a:off x="3025775" y="730250"/>
          <a:ext cx="1533525" cy="1295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ST x3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28575</xdr:rowOff>
    </xdr:from>
    <xdr:to>
      <xdr:col>6</xdr:col>
      <xdr:colOff>482600</xdr:colOff>
      <xdr:row>10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43AA75-76DF-6A6B-5624-905321F8CBBF}"/>
            </a:ext>
          </a:extLst>
        </xdr:cNvPr>
        <xdr:cNvSpPr/>
      </xdr:nvSpPr>
      <xdr:spPr>
        <a:xfrm>
          <a:off x="2962275" y="571500"/>
          <a:ext cx="1530350" cy="1295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DEPACKAGING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</xdr:colOff>
      <xdr:row>12</xdr:row>
      <xdr:rowOff>9525</xdr:rowOff>
    </xdr:from>
    <xdr:to>
      <xdr:col>6</xdr:col>
      <xdr:colOff>371475</xdr:colOff>
      <xdr:row>19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32ADD0E-1451-4695-B986-D21BCD1B6F2D}"/>
            </a:ext>
          </a:extLst>
        </xdr:cNvPr>
        <xdr:cNvSpPr/>
      </xdr:nvSpPr>
      <xdr:spPr>
        <a:xfrm>
          <a:off x="2959100" y="1819275"/>
          <a:ext cx="2584450" cy="1295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AD FEEDSTOCK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13</xdr:row>
      <xdr:rowOff>9525</xdr:rowOff>
    </xdr:from>
    <xdr:to>
      <xdr:col>7</xdr:col>
      <xdr:colOff>371475</xdr:colOff>
      <xdr:row>20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A6C239-9174-45A6-8B98-91FB37C7DD6C}"/>
            </a:ext>
          </a:extLst>
        </xdr:cNvPr>
        <xdr:cNvSpPr/>
      </xdr:nvSpPr>
      <xdr:spPr>
        <a:xfrm>
          <a:off x="2959100" y="2178050"/>
          <a:ext cx="2514600" cy="12985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RWBT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12</xdr:row>
      <xdr:rowOff>130175</xdr:rowOff>
    </xdr:from>
    <xdr:to>
      <xdr:col>7</xdr:col>
      <xdr:colOff>349250</xdr:colOff>
      <xdr:row>20</xdr:row>
      <xdr:rowOff>82550</xdr:rowOff>
    </xdr:to>
    <xdr:sp macro="" textlink="">
      <xdr:nvSpPr>
        <xdr:cNvPr id="2" name="Diagonal Stripe 1">
          <a:extLst>
            <a:ext uri="{FF2B5EF4-FFF2-40B4-BE49-F238E27FC236}">
              <a16:creationId xmlns:a16="http://schemas.microsoft.com/office/drawing/2014/main" id="{EE86106B-8623-DBC2-A198-CDD968B38269}"/>
            </a:ext>
          </a:extLst>
        </xdr:cNvPr>
        <xdr:cNvSpPr/>
      </xdr:nvSpPr>
      <xdr:spPr>
        <a:xfrm>
          <a:off x="3162300" y="2301875"/>
          <a:ext cx="1454150" cy="1400175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114300</xdr:colOff>
      <xdr:row>12</xdr:row>
      <xdr:rowOff>130175</xdr:rowOff>
    </xdr:from>
    <xdr:to>
      <xdr:col>7</xdr:col>
      <xdr:colOff>352425</xdr:colOff>
      <xdr:row>20</xdr:row>
      <xdr:rowOff>79375</xdr:rowOff>
    </xdr:to>
    <xdr:sp macro="" textlink="">
      <xdr:nvSpPr>
        <xdr:cNvPr id="3" name="Diagonal Stripe 2">
          <a:extLst>
            <a:ext uri="{FF2B5EF4-FFF2-40B4-BE49-F238E27FC236}">
              <a16:creationId xmlns:a16="http://schemas.microsoft.com/office/drawing/2014/main" id="{638AE9A1-5580-4A2D-AD53-4686E4938F80}"/>
            </a:ext>
          </a:extLst>
        </xdr:cNvPr>
        <xdr:cNvSpPr/>
      </xdr:nvSpPr>
      <xdr:spPr>
        <a:xfrm>
          <a:off x="3162300" y="2301875"/>
          <a:ext cx="1457325" cy="139700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S1</a:t>
          </a:r>
        </a:p>
      </xdr:txBody>
    </xdr:sp>
    <xdr:clientData/>
  </xdr:twoCellAnchor>
  <xdr:twoCellAnchor>
    <xdr:from>
      <xdr:col>11</xdr:col>
      <xdr:colOff>228600</xdr:colOff>
      <xdr:row>12</xdr:row>
      <xdr:rowOff>66675</xdr:rowOff>
    </xdr:from>
    <xdr:to>
      <xdr:col>12</xdr:col>
      <xdr:colOff>558800</xdr:colOff>
      <xdr:row>17</xdr:row>
      <xdr:rowOff>101600</xdr:rowOff>
    </xdr:to>
    <xdr:sp macro="" textlink="">
      <xdr:nvSpPr>
        <xdr:cNvPr id="4" name="Diagonal Stripe 3">
          <a:extLst>
            <a:ext uri="{FF2B5EF4-FFF2-40B4-BE49-F238E27FC236}">
              <a16:creationId xmlns:a16="http://schemas.microsoft.com/office/drawing/2014/main" id="{82CCF132-BE18-4343-A8EA-3A6CB3A71E7C}"/>
            </a:ext>
          </a:extLst>
        </xdr:cNvPr>
        <xdr:cNvSpPr/>
      </xdr:nvSpPr>
      <xdr:spPr>
        <a:xfrm>
          <a:off x="6934200" y="2238375"/>
          <a:ext cx="939800" cy="93980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S2</a:t>
          </a:r>
        </a:p>
      </xdr:txBody>
    </xdr:sp>
    <xdr:clientData/>
  </xdr:twoCellAnchor>
  <xdr:twoCellAnchor>
    <xdr:from>
      <xdr:col>11</xdr:col>
      <xdr:colOff>228600</xdr:colOff>
      <xdr:row>22</xdr:row>
      <xdr:rowOff>47625</xdr:rowOff>
    </xdr:from>
    <xdr:to>
      <xdr:col>12</xdr:col>
      <xdr:colOff>561975</xdr:colOff>
      <xdr:row>27</xdr:row>
      <xdr:rowOff>82550</xdr:rowOff>
    </xdr:to>
    <xdr:sp macro="" textlink="">
      <xdr:nvSpPr>
        <xdr:cNvPr id="5" name="Diagonal Stripe 4">
          <a:extLst>
            <a:ext uri="{FF2B5EF4-FFF2-40B4-BE49-F238E27FC236}">
              <a16:creationId xmlns:a16="http://schemas.microsoft.com/office/drawing/2014/main" id="{C3B67A66-85A2-47DA-A622-E26DBABD4435}"/>
            </a:ext>
          </a:extLst>
        </xdr:cNvPr>
        <xdr:cNvSpPr/>
      </xdr:nvSpPr>
      <xdr:spPr>
        <a:xfrm>
          <a:off x="6934200" y="4029075"/>
          <a:ext cx="942975" cy="93980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S3</a:t>
          </a:r>
        </a:p>
      </xdr:txBody>
    </xdr:sp>
    <xdr:clientData/>
  </xdr:twoCellAnchor>
  <xdr:twoCellAnchor>
    <xdr:from>
      <xdr:col>5</xdr:col>
      <xdr:colOff>114300</xdr:colOff>
      <xdr:row>50</xdr:row>
      <xdr:rowOff>130175</xdr:rowOff>
    </xdr:from>
    <xdr:to>
      <xdr:col>7</xdr:col>
      <xdr:colOff>349250</xdr:colOff>
      <xdr:row>58</xdr:row>
      <xdr:rowOff>82550</xdr:rowOff>
    </xdr:to>
    <xdr:sp macro="" textlink="">
      <xdr:nvSpPr>
        <xdr:cNvPr id="6" name="Diagonal Stripe 5">
          <a:extLst>
            <a:ext uri="{FF2B5EF4-FFF2-40B4-BE49-F238E27FC236}">
              <a16:creationId xmlns:a16="http://schemas.microsoft.com/office/drawing/2014/main" id="{F2FB7868-08BC-42AC-9154-531CC1ACA161}"/>
            </a:ext>
          </a:extLst>
        </xdr:cNvPr>
        <xdr:cNvSpPr/>
      </xdr:nvSpPr>
      <xdr:spPr>
        <a:xfrm>
          <a:off x="3162300" y="2301875"/>
          <a:ext cx="1457325" cy="140335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114300</xdr:colOff>
      <xdr:row>50</xdr:row>
      <xdr:rowOff>130175</xdr:rowOff>
    </xdr:from>
    <xdr:to>
      <xdr:col>7</xdr:col>
      <xdr:colOff>352425</xdr:colOff>
      <xdr:row>58</xdr:row>
      <xdr:rowOff>79375</xdr:rowOff>
    </xdr:to>
    <xdr:sp macro="" textlink="">
      <xdr:nvSpPr>
        <xdr:cNvPr id="7" name="Diagonal Stripe 6">
          <a:extLst>
            <a:ext uri="{FF2B5EF4-FFF2-40B4-BE49-F238E27FC236}">
              <a16:creationId xmlns:a16="http://schemas.microsoft.com/office/drawing/2014/main" id="{7672CA4A-41FA-4475-85A4-BDF59718DB9C}"/>
            </a:ext>
          </a:extLst>
        </xdr:cNvPr>
        <xdr:cNvSpPr/>
      </xdr:nvSpPr>
      <xdr:spPr>
        <a:xfrm>
          <a:off x="3162300" y="2301875"/>
          <a:ext cx="1454150" cy="1400175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S1</a:t>
          </a:r>
        </a:p>
      </xdr:txBody>
    </xdr:sp>
    <xdr:clientData/>
  </xdr:twoCellAnchor>
  <xdr:twoCellAnchor>
    <xdr:from>
      <xdr:col>11</xdr:col>
      <xdr:colOff>228600</xdr:colOff>
      <xdr:row>50</xdr:row>
      <xdr:rowOff>66675</xdr:rowOff>
    </xdr:from>
    <xdr:to>
      <xdr:col>12</xdr:col>
      <xdr:colOff>558800</xdr:colOff>
      <xdr:row>55</xdr:row>
      <xdr:rowOff>101600</xdr:rowOff>
    </xdr:to>
    <xdr:sp macro="" textlink="">
      <xdr:nvSpPr>
        <xdr:cNvPr id="8" name="Diagonal Stripe 7">
          <a:extLst>
            <a:ext uri="{FF2B5EF4-FFF2-40B4-BE49-F238E27FC236}">
              <a16:creationId xmlns:a16="http://schemas.microsoft.com/office/drawing/2014/main" id="{11D7E165-5B2F-4096-9343-7D61CC2C7C24}"/>
            </a:ext>
          </a:extLst>
        </xdr:cNvPr>
        <xdr:cNvSpPr/>
      </xdr:nvSpPr>
      <xdr:spPr>
        <a:xfrm>
          <a:off x="7353300" y="2235200"/>
          <a:ext cx="942975" cy="94615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S2</a:t>
          </a:r>
        </a:p>
      </xdr:txBody>
    </xdr:sp>
    <xdr:clientData/>
  </xdr:twoCellAnchor>
  <xdr:twoCellAnchor>
    <xdr:from>
      <xdr:col>11</xdr:col>
      <xdr:colOff>228600</xdr:colOff>
      <xdr:row>60</xdr:row>
      <xdr:rowOff>47625</xdr:rowOff>
    </xdr:from>
    <xdr:to>
      <xdr:col>12</xdr:col>
      <xdr:colOff>561975</xdr:colOff>
      <xdr:row>65</xdr:row>
      <xdr:rowOff>82550</xdr:rowOff>
    </xdr:to>
    <xdr:sp macro="" textlink="">
      <xdr:nvSpPr>
        <xdr:cNvPr id="9" name="Diagonal Stripe 8">
          <a:extLst>
            <a:ext uri="{FF2B5EF4-FFF2-40B4-BE49-F238E27FC236}">
              <a16:creationId xmlns:a16="http://schemas.microsoft.com/office/drawing/2014/main" id="{7385A5A8-986D-428E-B1FA-F836AB8B0F0F}"/>
            </a:ext>
          </a:extLst>
        </xdr:cNvPr>
        <xdr:cNvSpPr/>
      </xdr:nvSpPr>
      <xdr:spPr>
        <a:xfrm>
          <a:off x="7353300" y="4025900"/>
          <a:ext cx="939800" cy="946150"/>
        </a:xfrm>
        <a:prstGeom prst="diagStrip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chemeClr val="tx1"/>
              </a:solidFill>
            </a:rPr>
            <a:t>S3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4</xdr:row>
      <xdr:rowOff>47625</xdr:rowOff>
    </xdr:from>
    <xdr:to>
      <xdr:col>8</xdr:col>
      <xdr:colOff>438150</xdr:colOff>
      <xdr:row>11</xdr:row>
      <xdr:rowOff>73025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E6BFE17-AC28-4962-B76D-5BEB50941329}"/>
            </a:ext>
          </a:extLst>
        </xdr:cNvPr>
        <xdr:cNvSpPr/>
      </xdr:nvSpPr>
      <xdr:spPr>
        <a:xfrm>
          <a:off x="4200525" y="771525"/>
          <a:ext cx="1533525" cy="12922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CHP Digesters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130175</xdr:colOff>
      <xdr:row>4</xdr:row>
      <xdr:rowOff>161925</xdr:rowOff>
    </xdr:from>
    <xdr:to>
      <xdr:col>7</xdr:col>
      <xdr:colOff>444500</xdr:colOff>
      <xdr:row>12</xdr:row>
      <xdr:rowOff>6350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A6A581-7F37-44E2-A7A3-C022E7BF86FD}"/>
            </a:ext>
          </a:extLst>
        </xdr:cNvPr>
        <xdr:cNvSpPr/>
      </xdr:nvSpPr>
      <xdr:spPr>
        <a:xfrm>
          <a:off x="3597275" y="885825"/>
          <a:ext cx="1533525" cy="12922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G2G Digesters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211137</xdr:colOff>
      <xdr:row>7</xdr:row>
      <xdr:rowOff>103191</xdr:rowOff>
    </xdr:from>
    <xdr:to>
      <xdr:col>5</xdr:col>
      <xdr:colOff>503237</xdr:colOff>
      <xdr:row>13</xdr:row>
      <xdr:rowOff>26991</xdr:rowOff>
    </xdr:to>
    <xdr:sp macro="" textlink="">
      <xdr:nvSpPr>
        <xdr:cNvPr id="2" name="Rectangle: Top Corners Snipped 1">
          <a:extLst>
            <a:ext uri="{FF2B5EF4-FFF2-40B4-BE49-F238E27FC236}">
              <a16:creationId xmlns:a16="http://schemas.microsoft.com/office/drawing/2014/main" id="{840ED2FF-E2CB-1A56-EEDC-64C2F9DEA877}"/>
            </a:ext>
          </a:extLst>
        </xdr:cNvPr>
        <xdr:cNvSpPr/>
      </xdr:nvSpPr>
      <xdr:spPr>
        <a:xfrm rot="5400000">
          <a:off x="2595562" y="1423991"/>
          <a:ext cx="1009650" cy="901700"/>
        </a:xfrm>
        <a:prstGeom prst="snip2SameRect">
          <a:avLst>
            <a:gd name="adj1" fmla="val 28287"/>
            <a:gd name="adj2" fmla="val 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</xdr:row>
      <xdr:rowOff>161925</xdr:rowOff>
    </xdr:from>
    <xdr:to>
      <xdr:col>6</xdr:col>
      <xdr:colOff>568325</xdr:colOff>
      <xdr:row>11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DB7520-8433-4A1F-ABAA-2612DD8E103D}"/>
            </a:ext>
          </a:extLst>
        </xdr:cNvPr>
        <xdr:cNvSpPr/>
      </xdr:nvSpPr>
      <xdr:spPr>
        <a:xfrm>
          <a:off x="3133725" y="704850"/>
          <a:ext cx="1530350" cy="1295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 Pasteurisers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CvnJd8hS7K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EBB8-E648-4E0D-A297-C6FD39C44FAB}">
  <dimension ref="B3:AG47"/>
  <sheetViews>
    <sheetView tabSelected="1" zoomScale="70" zoomScaleNormal="70" workbookViewId="0">
      <selection activeCell="AA20" sqref="AA20"/>
    </sheetView>
  </sheetViews>
  <sheetFormatPr defaultColWidth="8.7109375" defaultRowHeight="15" x14ac:dyDescent="0.25"/>
  <cols>
    <col min="1" max="1" width="8.7109375" style="36"/>
    <col min="2" max="2" width="20.140625" style="36" customWidth="1"/>
    <col min="3" max="5" width="8.7109375" style="36"/>
    <col min="6" max="6" width="23.42578125" style="36" customWidth="1"/>
    <col min="7" max="7" width="13" style="36" bestFit="1" customWidth="1"/>
    <col min="8" max="8" width="7.42578125" style="36" bestFit="1" customWidth="1"/>
    <col min="9" max="9" width="2.7109375" style="36" customWidth="1"/>
    <col min="10" max="10" width="8.7109375" style="36" customWidth="1"/>
    <col min="11" max="11" width="8.7109375" style="36"/>
    <col min="12" max="12" width="17.85546875" style="36" bestFit="1" customWidth="1"/>
    <col min="13" max="13" width="16.140625" style="36" bestFit="1" customWidth="1"/>
    <col min="14" max="14" width="8.5703125" style="36" customWidth="1"/>
    <col min="15" max="15" width="16.28515625" style="36" bestFit="1" customWidth="1"/>
    <col min="16" max="16" width="8.7109375" style="36"/>
    <col min="17" max="17" width="3.85546875" style="36" customWidth="1"/>
    <col min="18" max="18" width="8.7109375" style="36"/>
    <col min="19" max="19" width="13.5703125" style="36" bestFit="1" customWidth="1"/>
    <col min="20" max="20" width="8.7109375" style="36"/>
    <col min="21" max="21" width="21.7109375" style="36" bestFit="1" customWidth="1"/>
    <col min="22" max="22" width="16.7109375" style="36" bestFit="1" customWidth="1"/>
    <col min="23" max="23" width="9.42578125" style="36" bestFit="1" customWidth="1"/>
    <col min="24" max="26" width="8.7109375" style="36"/>
    <col min="27" max="27" width="18" style="36" bestFit="1" customWidth="1"/>
    <col min="28" max="28" width="8.5703125" style="36" customWidth="1"/>
    <col min="29" max="30" width="8.7109375" style="36"/>
    <col min="31" max="31" width="12.140625" style="36" bestFit="1" customWidth="1"/>
    <col min="32" max="16384" width="8.7109375" style="36"/>
  </cols>
  <sheetData>
    <row r="3" spans="2:23" x14ac:dyDescent="0.25">
      <c r="U3" s="39" t="s">
        <v>142</v>
      </c>
    </row>
    <row r="4" spans="2:23" x14ac:dyDescent="0.25">
      <c r="G4" s="59"/>
      <c r="J4" s="37" t="s">
        <v>130</v>
      </c>
      <c r="U4" s="36" t="s">
        <v>97</v>
      </c>
      <c r="V4" s="46">
        <f>Gas!H17</f>
        <v>812.91495373150701</v>
      </c>
      <c r="W4" s="36" t="s">
        <v>9</v>
      </c>
    </row>
    <row r="5" spans="2:23" x14ac:dyDescent="0.25">
      <c r="I5" s="36" t="s">
        <v>131</v>
      </c>
      <c r="U5" s="36" t="s">
        <v>97</v>
      </c>
      <c r="V5" s="46">
        <f>Gas!H18</f>
        <v>8650.5872952335558</v>
      </c>
      <c r="W5" t="s">
        <v>1</v>
      </c>
    </row>
    <row r="6" spans="2:23" x14ac:dyDescent="0.25">
      <c r="G6"/>
      <c r="V6" s="53"/>
    </row>
    <row r="9" spans="2:23" x14ac:dyDescent="0.25">
      <c r="B9" s="39" t="s">
        <v>132</v>
      </c>
      <c r="U9" s="39" t="s">
        <v>143</v>
      </c>
    </row>
    <row r="10" spans="2:23" x14ac:dyDescent="0.25">
      <c r="B10" s="1" t="s">
        <v>0</v>
      </c>
      <c r="C10" s="38">
        <f>'Waste In'!B3</f>
        <v>110000</v>
      </c>
      <c r="D10" s="1" t="s">
        <v>1</v>
      </c>
    </row>
    <row r="11" spans="2:23" x14ac:dyDescent="0.25">
      <c r="U11" s="36" t="s">
        <v>96</v>
      </c>
      <c r="V11" s="46">
        <f>Gas!B17</f>
        <v>726.69670106301373</v>
      </c>
      <c r="W11" s="36" t="s">
        <v>9</v>
      </c>
    </row>
    <row r="12" spans="2:23" x14ac:dyDescent="0.25">
      <c r="U12" s="36" t="s">
        <v>96</v>
      </c>
      <c r="V12" s="46">
        <f>Gas!B18</f>
        <v>7733.1007639209047</v>
      </c>
      <c r="W12" s="36" t="s">
        <v>1</v>
      </c>
    </row>
    <row r="14" spans="2:23" x14ac:dyDescent="0.25">
      <c r="F14" s="39" t="s">
        <v>12</v>
      </c>
      <c r="O14" s="39" t="s">
        <v>80</v>
      </c>
    </row>
    <row r="15" spans="2:23" x14ac:dyDescent="0.25">
      <c r="F15" s="36" t="s">
        <v>12</v>
      </c>
      <c r="G15" s="36">
        <f>Depack!G14</f>
        <v>6930</v>
      </c>
      <c r="H15" s="40" t="s">
        <v>1</v>
      </c>
      <c r="O15" s="36" t="s">
        <v>178</v>
      </c>
      <c r="P15" s="36">
        <v>2280</v>
      </c>
      <c r="Q15" s="36" t="s">
        <v>124</v>
      </c>
    </row>
    <row r="16" spans="2:23" x14ac:dyDescent="0.25">
      <c r="F16" s="40" t="s">
        <v>13</v>
      </c>
      <c r="G16" s="36">
        <f>Depack!G15</f>
        <v>6.3E-2</v>
      </c>
      <c r="H16" s="40"/>
      <c r="O16" s="36">
        <v>2</v>
      </c>
      <c r="P16" s="36" t="s">
        <v>141</v>
      </c>
    </row>
    <row r="17" spans="2:23" x14ac:dyDescent="0.25">
      <c r="U17" s="39" t="s">
        <v>99</v>
      </c>
    </row>
    <row r="18" spans="2:23" x14ac:dyDescent="0.25">
      <c r="B18" s="39" t="s">
        <v>133</v>
      </c>
      <c r="O18" s="36" t="s">
        <v>55</v>
      </c>
      <c r="P18" s="38">
        <f>'CHP Digesters'!L5</f>
        <v>72456.976992680517</v>
      </c>
      <c r="Q18" s="36" t="s">
        <v>1</v>
      </c>
      <c r="U18" s="36" t="s">
        <v>184</v>
      </c>
      <c r="V18" s="46">
        <f>Gas!B22</f>
        <v>1738.8398663035796</v>
      </c>
      <c r="W18" s="36" t="s">
        <v>110</v>
      </c>
    </row>
    <row r="19" spans="2:23" x14ac:dyDescent="0.25">
      <c r="B19" t="s">
        <v>14</v>
      </c>
      <c r="C19" s="38">
        <f>Depack!J4</f>
        <v>103070</v>
      </c>
      <c r="D19" s="1" t="s">
        <v>1</v>
      </c>
      <c r="U19" s="36" t="s">
        <v>185</v>
      </c>
      <c r="V19" s="46">
        <f>Gas!B23</f>
        <v>1956.1948495915269</v>
      </c>
      <c r="W19" s="36" t="s">
        <v>111</v>
      </c>
    </row>
    <row r="20" spans="2:23" x14ac:dyDescent="0.25">
      <c r="U20" s="36" t="s">
        <v>5</v>
      </c>
      <c r="V20" s="47">
        <f>'Waste In'!B6</f>
        <v>0.75</v>
      </c>
    </row>
    <row r="21" spans="2:23" x14ac:dyDescent="0.25">
      <c r="P21" s="50"/>
      <c r="Q21" s="51"/>
      <c r="U21" s="36" t="s">
        <v>100</v>
      </c>
      <c r="V21" s="46">
        <f>Gas!B25</f>
        <v>11424.177921614519</v>
      </c>
      <c r="W21" s="36" t="s">
        <v>129</v>
      </c>
    </row>
    <row r="22" spans="2:23" x14ac:dyDescent="0.25">
      <c r="P22" s="50"/>
      <c r="U22" s="36" t="s">
        <v>101</v>
      </c>
      <c r="V22" s="46">
        <f>Gas!B26</f>
        <v>12852.200161816332</v>
      </c>
      <c r="W22" s="36" t="s">
        <v>129</v>
      </c>
    </row>
    <row r="24" spans="2:23" x14ac:dyDescent="0.25">
      <c r="G24" s="39" t="s">
        <v>140</v>
      </c>
      <c r="H24" s="36">
        <v>1000</v>
      </c>
      <c r="I24" s="36" t="s">
        <v>124</v>
      </c>
    </row>
    <row r="26" spans="2:23" x14ac:dyDescent="0.25">
      <c r="B26" s="23" t="s">
        <v>27</v>
      </c>
      <c r="G26" t="s">
        <v>28</v>
      </c>
      <c r="H26" s="38">
        <f>RWBT!J17</f>
        <v>153510.54447601805</v>
      </c>
      <c r="I26" s="40" t="s">
        <v>1</v>
      </c>
    </row>
    <row r="27" spans="2:23" x14ac:dyDescent="0.25">
      <c r="B27" s="36" t="s">
        <v>14</v>
      </c>
      <c r="C27" s="38">
        <f>'AD Feedstock'!I16</f>
        <v>153510.54447601805</v>
      </c>
      <c r="D27" s="1" t="s">
        <v>1</v>
      </c>
      <c r="H27" s="43"/>
    </row>
    <row r="28" spans="2:23" x14ac:dyDescent="0.25">
      <c r="H28" s="43"/>
      <c r="M28" s="39" t="s">
        <v>81</v>
      </c>
    </row>
    <row r="29" spans="2:23" x14ac:dyDescent="0.25">
      <c r="H29" s="44"/>
      <c r="M29" s="36" t="s">
        <v>177</v>
      </c>
      <c r="N29" s="36">
        <v>2280</v>
      </c>
      <c r="O29" s="36" t="s">
        <v>124</v>
      </c>
    </row>
    <row r="30" spans="2:23" x14ac:dyDescent="0.25">
      <c r="M30" s="36" t="s">
        <v>174</v>
      </c>
      <c r="N30" s="36">
        <v>3500</v>
      </c>
      <c r="O30" s="36" t="s">
        <v>124</v>
      </c>
    </row>
    <row r="31" spans="2:23" x14ac:dyDescent="0.25">
      <c r="M31" s="36">
        <v>3</v>
      </c>
      <c r="N31" s="36" t="s">
        <v>141</v>
      </c>
    </row>
    <row r="32" spans="2:23" x14ac:dyDescent="0.25">
      <c r="M32" s="36" t="s">
        <v>30</v>
      </c>
      <c r="N32" s="38">
        <f>'G2G Digesters'!D5</f>
        <v>81053.567483337538</v>
      </c>
      <c r="O32" s="36" t="s">
        <v>1</v>
      </c>
    </row>
    <row r="33" spans="2:33" x14ac:dyDescent="0.25">
      <c r="M33" s="36" t="s">
        <v>56</v>
      </c>
      <c r="N33" s="38">
        <f>'G2G Digesters'!J5</f>
        <v>34735.823007319472</v>
      </c>
      <c r="O33" s="36" t="s">
        <v>1</v>
      </c>
      <c r="S33" s="39" t="s">
        <v>176</v>
      </c>
      <c r="AA33" s="39" t="s">
        <v>183</v>
      </c>
    </row>
    <row r="34" spans="2:33" x14ac:dyDescent="0.25">
      <c r="S34" s="36" t="s">
        <v>179</v>
      </c>
      <c r="T34" s="36">
        <v>170</v>
      </c>
      <c r="U34" s="36" t="s">
        <v>124</v>
      </c>
      <c r="V34" s="39" t="s">
        <v>180</v>
      </c>
      <c r="AA34" s="36" t="s">
        <v>181</v>
      </c>
      <c r="AB34" s="36">
        <v>9700</v>
      </c>
      <c r="AC34" s="36" t="s">
        <v>124</v>
      </c>
    </row>
    <row r="35" spans="2:33" x14ac:dyDescent="0.25">
      <c r="N35" s="44"/>
      <c r="S35" s="36">
        <v>2</v>
      </c>
      <c r="T35" s="36" t="s">
        <v>141</v>
      </c>
      <c r="V35" t="s">
        <v>74</v>
      </c>
      <c r="W35" s="38">
        <f>Borger!J6</f>
        <v>105156.13679997847</v>
      </c>
      <c r="X35" t="s">
        <v>1</v>
      </c>
      <c r="AA35" s="36">
        <v>3</v>
      </c>
      <c r="AB35" s="36" t="s">
        <v>141</v>
      </c>
      <c r="AE35" s="39" t="s">
        <v>77</v>
      </c>
    </row>
    <row r="36" spans="2:33" x14ac:dyDescent="0.25">
      <c r="N36" s="44"/>
      <c r="S36" s="36" t="s">
        <v>73</v>
      </c>
      <c r="T36" s="38">
        <f>Pasteurisers!J5</f>
        <v>107192.79999997806</v>
      </c>
      <c r="U36" s="36" t="s">
        <v>1</v>
      </c>
      <c r="AA36" s="36" t="s">
        <v>77</v>
      </c>
      <c r="AB36" s="38">
        <f>ST!J5</f>
        <v>105156.13679997847</v>
      </c>
      <c r="AC36" s="36" t="s">
        <v>1</v>
      </c>
      <c r="AE36" s="36" t="s">
        <v>77</v>
      </c>
      <c r="AF36" s="38">
        <f>AB36</f>
        <v>105156.13679997847</v>
      </c>
      <c r="AG36" s="36" t="s">
        <v>1</v>
      </c>
    </row>
    <row r="37" spans="2:33" x14ac:dyDescent="0.25">
      <c r="N37" s="44"/>
    </row>
    <row r="38" spans="2:33" x14ac:dyDescent="0.25">
      <c r="T38" s="44"/>
      <c r="AB38" s="44"/>
    </row>
    <row r="42" spans="2:33" x14ac:dyDescent="0.25">
      <c r="L42" s="39" t="s">
        <v>139</v>
      </c>
    </row>
    <row r="43" spans="2:33" x14ac:dyDescent="0.25">
      <c r="V43" s="39" t="s">
        <v>75</v>
      </c>
    </row>
    <row r="44" spans="2:33" x14ac:dyDescent="0.25">
      <c r="L44" s="36" t="s">
        <v>23</v>
      </c>
      <c r="M44" s="38">
        <f>'G2G Digesters'!G17</f>
        <v>46317.744476018066</v>
      </c>
      <c r="N44" s="36" t="s">
        <v>1</v>
      </c>
      <c r="V44" s="36" t="s">
        <v>75</v>
      </c>
      <c r="W44" s="45">
        <f>Borger!F17</f>
        <v>2036.663199999583</v>
      </c>
      <c r="X44" s="36" t="s">
        <v>1</v>
      </c>
    </row>
    <row r="45" spans="2:33" x14ac:dyDescent="0.25">
      <c r="B45" s="39" t="s">
        <v>17</v>
      </c>
      <c r="L45" s="36" t="s">
        <v>24</v>
      </c>
      <c r="M45" s="42">
        <f>'G2G Digesters'!G18</f>
        <v>0.57144609317241579</v>
      </c>
      <c r="V45" s="36" t="s">
        <v>76</v>
      </c>
      <c r="W45" s="49">
        <f>Borger!F18</f>
        <v>1.9E-2</v>
      </c>
    </row>
    <row r="46" spans="2:33" x14ac:dyDescent="0.25">
      <c r="B46" s="36" t="s">
        <v>17</v>
      </c>
      <c r="C46" s="36">
        <f>'AD Feedstock'!F8</f>
        <v>4122.8</v>
      </c>
      <c r="D46" s="40" t="s">
        <v>1</v>
      </c>
    </row>
    <row r="47" spans="2:33" x14ac:dyDescent="0.25">
      <c r="B47" s="40" t="s">
        <v>18</v>
      </c>
      <c r="C47" s="36">
        <f>'AD Feedstock'!F9</f>
        <v>0.04</v>
      </c>
      <c r="D47" s="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4444-C34B-44A5-91B0-DDDFC22C2760}">
  <dimension ref="C5:K23"/>
  <sheetViews>
    <sheetView topLeftCell="A4" workbookViewId="0">
      <selection activeCell="F24" sqref="F24"/>
    </sheetView>
  </sheetViews>
  <sheetFormatPr defaultRowHeight="15" x14ac:dyDescent="0.25"/>
  <cols>
    <col min="3" max="3" width="14.7109375" bestFit="1" customWidth="1"/>
    <col min="9" max="9" width="16.140625" bestFit="1" customWidth="1"/>
  </cols>
  <sheetData>
    <row r="5" spans="3:11" x14ac:dyDescent="0.25">
      <c r="C5" t="s">
        <v>30</v>
      </c>
      <c r="D5" s="13">
        <f>'Splitter1,2,3 + Recycle'!K63</f>
        <v>81053.567483337538</v>
      </c>
      <c r="E5" t="s">
        <v>1</v>
      </c>
      <c r="I5" t="s">
        <v>56</v>
      </c>
      <c r="J5" s="13">
        <f>D5-G17</f>
        <v>34735.823007319472</v>
      </c>
      <c r="K5" t="s">
        <v>1</v>
      </c>
    </row>
    <row r="8" spans="3:11" x14ac:dyDescent="0.25">
      <c r="C8" t="s">
        <v>31</v>
      </c>
      <c r="D8" s="11">
        <f>'Splitter1,2,3 + Recycle'!P61</f>
        <v>23814.707971908454</v>
      </c>
      <c r="E8" t="s">
        <v>1</v>
      </c>
    </row>
    <row r="10" spans="3:11" x14ac:dyDescent="0.25">
      <c r="C10" t="s">
        <v>32</v>
      </c>
      <c r="D10" s="11">
        <f>'Splitter1,2,3 + Recycle'!P65</f>
        <v>23814.707971908454</v>
      </c>
      <c r="E10" t="s">
        <v>1</v>
      </c>
    </row>
    <row r="12" spans="3:11" x14ac:dyDescent="0.25">
      <c r="C12" t="s">
        <v>33</v>
      </c>
      <c r="D12" s="11">
        <f>'Splitter1,2,3 + Recycle'!P69</f>
        <v>33424.15153952063</v>
      </c>
      <c r="E12" t="s">
        <v>1</v>
      </c>
    </row>
    <row r="16" spans="3:11" x14ac:dyDescent="0.25">
      <c r="F16" t="s">
        <v>57</v>
      </c>
    </row>
    <row r="17" spans="6:8" x14ac:dyDescent="0.25">
      <c r="F17" t="s">
        <v>23</v>
      </c>
      <c r="G17" s="13">
        <f>'Recycle iMB'!C29</f>
        <v>46317.744476018066</v>
      </c>
      <c r="H17" t="s">
        <v>1</v>
      </c>
    </row>
    <row r="18" spans="6:8" x14ac:dyDescent="0.25">
      <c r="F18" t="s">
        <v>24</v>
      </c>
      <c r="G18" s="3">
        <v>0.57144609317241579</v>
      </c>
    </row>
    <row r="22" spans="6:8" x14ac:dyDescent="0.25">
      <c r="F22" t="s">
        <v>78</v>
      </c>
    </row>
    <row r="23" spans="6:8" x14ac:dyDescent="0.25">
      <c r="F23" s="5">
        <f>D5-J5-G17</f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B759-894F-4462-9152-772D1F4EBCB8}">
  <dimension ref="A1:M29"/>
  <sheetViews>
    <sheetView workbookViewId="0">
      <selection activeCell="B34" sqref="B34"/>
    </sheetView>
  </sheetViews>
  <sheetFormatPr defaultRowHeight="15" x14ac:dyDescent="0.25"/>
  <cols>
    <col min="1" max="1" width="27" bestFit="1" customWidth="1"/>
    <col min="2" max="2" width="26.85546875" bestFit="1" customWidth="1"/>
    <col min="3" max="3" width="18.5703125" bestFit="1" customWidth="1"/>
    <col min="4" max="4" width="42.85546875" bestFit="1" customWidth="1"/>
    <col min="5" max="5" width="11.42578125" bestFit="1" customWidth="1"/>
    <col min="6" max="6" width="11.42578125" customWidth="1"/>
    <col min="7" max="7" width="6.42578125" bestFit="1" customWidth="1"/>
    <col min="8" max="8" width="18.5703125" bestFit="1" customWidth="1"/>
    <col min="9" max="9" width="15.42578125" bestFit="1" customWidth="1"/>
    <col min="12" max="12" width="11.7109375" bestFit="1" customWidth="1"/>
  </cols>
  <sheetData>
    <row r="1" spans="1:13" x14ac:dyDescent="0.25">
      <c r="A1" s="23" t="s">
        <v>58</v>
      </c>
      <c r="D1" s="12" t="s">
        <v>62</v>
      </c>
    </row>
    <row r="2" spans="1:13" x14ac:dyDescent="0.25">
      <c r="C2" t="s">
        <v>24</v>
      </c>
      <c r="D2" s="3">
        <v>0.57144609317241579</v>
      </c>
      <c r="L2" t="s">
        <v>50</v>
      </c>
      <c r="M2" s="11">
        <v>0.47199999999999998</v>
      </c>
    </row>
    <row r="3" spans="1:13" x14ac:dyDescent="0.25">
      <c r="L3" t="s">
        <v>51</v>
      </c>
      <c r="M3" s="11">
        <v>0.52800000000000002</v>
      </c>
    </row>
    <row r="4" spans="1:13" x14ac:dyDescent="0.25">
      <c r="A4" t="s">
        <v>59</v>
      </c>
      <c r="B4" t="s">
        <v>60</v>
      </c>
      <c r="C4" t="s">
        <v>61</v>
      </c>
      <c r="D4" t="s">
        <v>63</v>
      </c>
      <c r="E4" t="s">
        <v>64</v>
      </c>
      <c r="F4" t="s">
        <v>71</v>
      </c>
      <c r="G4" t="s">
        <v>66</v>
      </c>
      <c r="H4" t="s">
        <v>65</v>
      </c>
      <c r="I4" t="s">
        <v>67</v>
      </c>
    </row>
    <row r="5" spans="1:13" x14ac:dyDescent="0.25">
      <c r="A5">
        <v>1</v>
      </c>
      <c r="B5" s="5">
        <f>'AD Feedstock'!C16+'AD Feedstock'!F8</f>
        <v>107192.8</v>
      </c>
      <c r="C5">
        <v>0</v>
      </c>
      <c r="D5" s="5">
        <f>B5+C5</f>
        <v>107192.8</v>
      </c>
      <c r="E5" s="5">
        <f>D5</f>
        <v>107192.8</v>
      </c>
      <c r="F5" s="5">
        <f>E5*$M$2</f>
        <v>50595.001599999996</v>
      </c>
      <c r="G5" s="5">
        <f>(E5-F5)*$M$3</f>
        <v>29883.637555200006</v>
      </c>
      <c r="H5">
        <f t="shared" ref="H5:H29" si="0">G5*(1-$D$2)</f>
        <v>12806.74962450048</v>
      </c>
      <c r="I5" s="5">
        <f t="shared" ref="I5:I29" si="1">G5-H5</f>
        <v>17076.887930699526</v>
      </c>
    </row>
    <row r="6" spans="1:13" x14ac:dyDescent="0.25">
      <c r="A6">
        <v>2</v>
      </c>
      <c r="B6" s="5">
        <f>B5</f>
        <v>107192.8</v>
      </c>
      <c r="C6" s="5">
        <f>I5</f>
        <v>17076.887930699526</v>
      </c>
      <c r="D6" s="5">
        <f>B6+C6</f>
        <v>124269.68793069953</v>
      </c>
      <c r="E6" s="5">
        <f>D6</f>
        <v>124269.68793069953</v>
      </c>
      <c r="F6" s="5">
        <f t="shared" ref="F6:F29" si="2">E6*$M$2</f>
        <v>58655.292703290172</v>
      </c>
      <c r="G6" s="5">
        <f t="shared" ref="G6:G29" si="3">E6*$M$3</f>
        <v>65614.395227409346</v>
      </c>
      <c r="H6">
        <f t="shared" si="0"/>
        <v>28119.305418835473</v>
      </c>
      <c r="I6" s="5">
        <f t="shared" si="1"/>
        <v>37495.089808573874</v>
      </c>
    </row>
    <row r="7" spans="1:13" x14ac:dyDescent="0.25">
      <c r="A7">
        <v>3</v>
      </c>
      <c r="B7" s="5">
        <f t="shared" ref="B7:B29" si="4">B6</f>
        <v>107192.8</v>
      </c>
      <c r="C7" s="5">
        <f t="shared" ref="C7:C29" si="5">I6</f>
        <v>37495.089808573874</v>
      </c>
      <c r="D7" s="5">
        <f t="shared" ref="D7:D29" si="6">B7+C7</f>
        <v>144687.88980857388</v>
      </c>
      <c r="E7" s="5">
        <f t="shared" ref="E7:E29" si="7">D7</f>
        <v>144687.88980857388</v>
      </c>
      <c r="F7" s="5">
        <f t="shared" si="2"/>
        <v>68292.683989646859</v>
      </c>
      <c r="G7" s="5">
        <f t="shared" si="3"/>
        <v>76395.205818927017</v>
      </c>
      <c r="H7">
        <f t="shared" si="0"/>
        <v>32739.463916598568</v>
      </c>
      <c r="I7" s="5">
        <f t="shared" si="1"/>
        <v>43655.741902328446</v>
      </c>
    </row>
    <row r="8" spans="1:13" x14ac:dyDescent="0.25">
      <c r="A8">
        <v>4</v>
      </c>
      <c r="B8" s="5">
        <f t="shared" si="4"/>
        <v>107192.8</v>
      </c>
      <c r="C8" s="5">
        <f t="shared" si="5"/>
        <v>43655.741902328446</v>
      </c>
      <c r="D8" s="5">
        <f t="shared" si="6"/>
        <v>150848.54190232843</v>
      </c>
      <c r="E8" s="5">
        <f t="shared" si="7"/>
        <v>150848.54190232843</v>
      </c>
      <c r="F8" s="5">
        <f t="shared" si="2"/>
        <v>71200.511777899024</v>
      </c>
      <c r="G8" s="5">
        <f t="shared" si="3"/>
        <v>79648.03012442941</v>
      </c>
      <c r="H8">
        <f t="shared" si="0"/>
        <v>34133.47448094534</v>
      </c>
      <c r="I8" s="5">
        <f t="shared" si="1"/>
        <v>45514.555643484069</v>
      </c>
    </row>
    <row r="9" spans="1:13" x14ac:dyDescent="0.25">
      <c r="A9">
        <v>5</v>
      </c>
      <c r="B9" s="5">
        <f t="shared" si="4"/>
        <v>107192.8</v>
      </c>
      <c r="C9" s="5">
        <f t="shared" si="5"/>
        <v>45514.555643484069</v>
      </c>
      <c r="D9" s="5">
        <f t="shared" si="6"/>
        <v>152707.35564348407</v>
      </c>
      <c r="E9" s="5">
        <f t="shared" si="7"/>
        <v>152707.35564348407</v>
      </c>
      <c r="F9" s="5">
        <f t="shared" si="2"/>
        <v>72077.871863724475</v>
      </c>
      <c r="G9" s="5">
        <f t="shared" si="3"/>
        <v>80629.483779759597</v>
      </c>
      <c r="H9">
        <f t="shared" si="0"/>
        <v>34554.080279307309</v>
      </c>
      <c r="I9" s="5">
        <f t="shared" si="1"/>
        <v>46075.403500452288</v>
      </c>
    </row>
    <row r="10" spans="1:13" x14ac:dyDescent="0.25">
      <c r="A10">
        <v>6</v>
      </c>
      <c r="B10" s="5">
        <f t="shared" si="4"/>
        <v>107192.8</v>
      </c>
      <c r="C10" s="5">
        <f t="shared" si="5"/>
        <v>46075.403500452288</v>
      </c>
      <c r="D10" s="5">
        <f t="shared" si="6"/>
        <v>153268.20350045228</v>
      </c>
      <c r="E10" s="5">
        <f t="shared" si="7"/>
        <v>153268.20350045228</v>
      </c>
      <c r="F10" s="5">
        <f t="shared" si="2"/>
        <v>72342.592052213469</v>
      </c>
      <c r="G10" s="5">
        <f t="shared" si="3"/>
        <v>80925.611448238807</v>
      </c>
      <c r="H10">
        <f t="shared" si="0"/>
        <v>34680.986948553815</v>
      </c>
      <c r="I10" s="5">
        <f t="shared" si="1"/>
        <v>46244.624499684993</v>
      </c>
    </row>
    <row r="11" spans="1:13" x14ac:dyDescent="0.25">
      <c r="A11">
        <v>7</v>
      </c>
      <c r="B11" s="5">
        <f t="shared" si="4"/>
        <v>107192.8</v>
      </c>
      <c r="C11" s="5">
        <f t="shared" si="5"/>
        <v>46244.624499684993</v>
      </c>
      <c r="D11" s="5">
        <f t="shared" si="6"/>
        <v>153437.424499685</v>
      </c>
      <c r="E11" s="5">
        <f t="shared" si="7"/>
        <v>153437.424499685</v>
      </c>
      <c r="F11" s="5">
        <f t="shared" si="2"/>
        <v>72422.464363851323</v>
      </c>
      <c r="G11" s="5">
        <f t="shared" si="3"/>
        <v>81014.96013583368</v>
      </c>
      <c r="H11">
        <f t="shared" si="0"/>
        <v>34719.277677692517</v>
      </c>
      <c r="I11" s="5">
        <f t="shared" si="1"/>
        <v>46295.682458141164</v>
      </c>
    </row>
    <row r="12" spans="1:13" x14ac:dyDescent="0.25">
      <c r="A12">
        <v>8</v>
      </c>
      <c r="B12" s="5">
        <f t="shared" si="4"/>
        <v>107192.8</v>
      </c>
      <c r="C12" s="5">
        <f t="shared" si="5"/>
        <v>46295.682458141164</v>
      </c>
      <c r="D12" s="5">
        <f t="shared" si="6"/>
        <v>153488.48245814117</v>
      </c>
      <c r="E12" s="5">
        <f t="shared" si="7"/>
        <v>153488.48245814117</v>
      </c>
      <c r="F12" s="5">
        <f t="shared" si="2"/>
        <v>72446.56372024263</v>
      </c>
      <c r="G12" s="5">
        <f t="shared" si="3"/>
        <v>81041.918737898537</v>
      </c>
      <c r="H12">
        <f t="shared" si="0"/>
        <v>34730.830891930018</v>
      </c>
      <c r="I12" s="5">
        <f t="shared" si="1"/>
        <v>46311.087845968519</v>
      </c>
    </row>
    <row r="13" spans="1:13" x14ac:dyDescent="0.25">
      <c r="A13">
        <v>9</v>
      </c>
      <c r="B13" s="5">
        <f t="shared" si="4"/>
        <v>107192.8</v>
      </c>
      <c r="C13" s="5">
        <f t="shared" si="5"/>
        <v>46311.087845968519</v>
      </c>
      <c r="D13" s="5">
        <f t="shared" si="6"/>
        <v>153503.88784596854</v>
      </c>
      <c r="E13" s="5">
        <f t="shared" si="7"/>
        <v>153503.88784596854</v>
      </c>
      <c r="F13" s="5">
        <f t="shared" si="2"/>
        <v>72453.835063297141</v>
      </c>
      <c r="G13" s="5">
        <f t="shared" si="3"/>
        <v>81050.052782671395</v>
      </c>
      <c r="H13">
        <f t="shared" si="0"/>
        <v>34734.316768595738</v>
      </c>
      <c r="I13" s="5">
        <f t="shared" si="1"/>
        <v>46315.736014075657</v>
      </c>
    </row>
    <row r="14" spans="1:13" x14ac:dyDescent="0.25">
      <c r="A14">
        <v>10</v>
      </c>
      <c r="B14" s="5">
        <f t="shared" si="4"/>
        <v>107192.8</v>
      </c>
      <c r="C14" s="5">
        <f t="shared" si="5"/>
        <v>46315.736014075657</v>
      </c>
      <c r="D14" s="5">
        <f t="shared" si="6"/>
        <v>153508.53601407565</v>
      </c>
      <c r="E14" s="5">
        <f t="shared" si="7"/>
        <v>153508.53601407565</v>
      </c>
      <c r="F14" s="5">
        <f t="shared" si="2"/>
        <v>72456.028998643698</v>
      </c>
      <c r="G14" s="5">
        <f t="shared" si="3"/>
        <v>81052.507015431955</v>
      </c>
      <c r="H14">
        <f t="shared" si="0"/>
        <v>34735.368539633542</v>
      </c>
      <c r="I14" s="5">
        <f t="shared" si="1"/>
        <v>46317.138475798412</v>
      </c>
    </row>
    <row r="15" spans="1:13" x14ac:dyDescent="0.25">
      <c r="A15">
        <v>11</v>
      </c>
      <c r="B15" s="5">
        <f t="shared" si="4"/>
        <v>107192.8</v>
      </c>
      <c r="C15" s="5">
        <f t="shared" si="5"/>
        <v>46317.138475798412</v>
      </c>
      <c r="D15" s="5">
        <f t="shared" si="6"/>
        <v>153509.93847579841</v>
      </c>
      <c r="E15" s="5">
        <f t="shared" si="7"/>
        <v>153509.93847579841</v>
      </c>
      <c r="F15" s="5">
        <f t="shared" si="2"/>
        <v>72456.690960576845</v>
      </c>
      <c r="G15" s="5">
        <f t="shared" si="3"/>
        <v>81053.247515221563</v>
      </c>
      <c r="H15">
        <f t="shared" si="0"/>
        <v>34735.685883711383</v>
      </c>
      <c r="I15" s="5">
        <f t="shared" si="1"/>
        <v>46317.56163151018</v>
      </c>
    </row>
    <row r="16" spans="1:13" x14ac:dyDescent="0.25">
      <c r="A16">
        <v>12</v>
      </c>
      <c r="B16" s="5">
        <f t="shared" si="4"/>
        <v>107192.8</v>
      </c>
      <c r="C16" s="5">
        <f t="shared" si="5"/>
        <v>46317.56163151018</v>
      </c>
      <c r="D16" s="5">
        <f t="shared" si="6"/>
        <v>153510.3616315102</v>
      </c>
      <c r="E16" s="5">
        <f t="shared" si="7"/>
        <v>153510.3616315102</v>
      </c>
      <c r="F16" s="5">
        <f t="shared" si="2"/>
        <v>72456.890690072803</v>
      </c>
      <c r="G16" s="5">
        <f t="shared" si="3"/>
        <v>81053.470941437394</v>
      </c>
      <c r="H16">
        <f t="shared" si="0"/>
        <v>34735.781633889063</v>
      </c>
      <c r="I16" s="5">
        <f t="shared" si="1"/>
        <v>46317.689307548331</v>
      </c>
    </row>
    <row r="17" spans="1:9" x14ac:dyDescent="0.25">
      <c r="A17">
        <v>13</v>
      </c>
      <c r="B17" s="5">
        <f t="shared" si="4"/>
        <v>107192.8</v>
      </c>
      <c r="C17" s="5">
        <f t="shared" si="5"/>
        <v>46317.689307548331</v>
      </c>
      <c r="D17" s="5">
        <f t="shared" si="6"/>
        <v>153510.48930754833</v>
      </c>
      <c r="E17" s="5">
        <f t="shared" si="7"/>
        <v>153510.48930754833</v>
      </c>
      <c r="F17" s="5">
        <f t="shared" si="2"/>
        <v>72456.950953162814</v>
      </c>
      <c r="G17" s="5">
        <f t="shared" si="3"/>
        <v>81053.538354385513</v>
      </c>
      <c r="H17">
        <f t="shared" si="0"/>
        <v>34735.810523971355</v>
      </c>
      <c r="I17" s="5">
        <f t="shared" si="1"/>
        <v>46317.727830414158</v>
      </c>
    </row>
    <row r="18" spans="1:9" x14ac:dyDescent="0.25">
      <c r="A18">
        <v>14</v>
      </c>
      <c r="B18" s="5">
        <f t="shared" si="4"/>
        <v>107192.8</v>
      </c>
      <c r="C18" s="5">
        <f t="shared" si="5"/>
        <v>46317.727830414158</v>
      </c>
      <c r="D18" s="5">
        <f t="shared" si="6"/>
        <v>153510.52783041415</v>
      </c>
      <c r="E18" s="5">
        <f t="shared" si="7"/>
        <v>153510.52783041415</v>
      </c>
      <c r="F18" s="5">
        <f t="shared" si="2"/>
        <v>72456.969135955471</v>
      </c>
      <c r="G18" s="5">
        <f t="shared" si="3"/>
        <v>81053.558694458683</v>
      </c>
      <c r="H18">
        <f t="shared" si="0"/>
        <v>34735.819240789177</v>
      </c>
      <c r="I18" s="5">
        <f t="shared" si="1"/>
        <v>46317.739453669506</v>
      </c>
    </row>
    <row r="19" spans="1:9" x14ac:dyDescent="0.25">
      <c r="A19">
        <v>15</v>
      </c>
      <c r="B19" s="5">
        <f t="shared" si="4"/>
        <v>107192.8</v>
      </c>
      <c r="C19" s="5">
        <f t="shared" si="5"/>
        <v>46317.739453669506</v>
      </c>
      <c r="D19" s="5">
        <f t="shared" si="6"/>
        <v>153510.53945366951</v>
      </c>
      <c r="E19" s="5">
        <f t="shared" si="7"/>
        <v>153510.53945366951</v>
      </c>
      <c r="F19" s="5">
        <f t="shared" si="2"/>
        <v>72456.974622132009</v>
      </c>
      <c r="G19" s="5">
        <f t="shared" si="3"/>
        <v>81053.5648315375</v>
      </c>
      <c r="H19">
        <f t="shared" si="0"/>
        <v>34735.821870858279</v>
      </c>
      <c r="I19" s="5">
        <f t="shared" si="1"/>
        <v>46317.742960679221</v>
      </c>
    </row>
    <row r="20" spans="1:9" x14ac:dyDescent="0.25">
      <c r="A20">
        <v>16</v>
      </c>
      <c r="B20" s="5">
        <f t="shared" si="4"/>
        <v>107192.8</v>
      </c>
      <c r="C20" s="5">
        <f t="shared" si="5"/>
        <v>46317.742960679221</v>
      </c>
      <c r="D20" s="5">
        <f t="shared" si="6"/>
        <v>153510.54296067922</v>
      </c>
      <c r="E20" s="5">
        <f t="shared" si="7"/>
        <v>153510.54296067922</v>
      </c>
      <c r="F20" s="5">
        <f t="shared" si="2"/>
        <v>72456.976277440583</v>
      </c>
      <c r="G20" s="5">
        <f t="shared" si="3"/>
        <v>81053.566683238634</v>
      </c>
      <c r="H20">
        <f t="shared" si="0"/>
        <v>34735.82266441203</v>
      </c>
      <c r="I20" s="5">
        <f t="shared" si="1"/>
        <v>46317.744018826605</v>
      </c>
    </row>
    <row r="21" spans="1:9" x14ac:dyDescent="0.25">
      <c r="A21">
        <v>17</v>
      </c>
      <c r="B21" s="5">
        <f t="shared" si="4"/>
        <v>107192.8</v>
      </c>
      <c r="C21" s="5">
        <f t="shared" si="5"/>
        <v>46317.744018826605</v>
      </c>
      <c r="D21" s="5">
        <f t="shared" si="6"/>
        <v>153510.54401882662</v>
      </c>
      <c r="E21" s="5">
        <f t="shared" si="7"/>
        <v>153510.54401882662</v>
      </c>
      <c r="F21" s="5">
        <f t="shared" si="2"/>
        <v>72456.976776886164</v>
      </c>
      <c r="G21" s="5">
        <f t="shared" si="3"/>
        <v>81053.567241940458</v>
      </c>
      <c r="H21">
        <f t="shared" si="0"/>
        <v>34735.822903845881</v>
      </c>
      <c r="I21" s="5">
        <f t="shared" si="1"/>
        <v>46317.744338094577</v>
      </c>
    </row>
    <row r="22" spans="1:9" x14ac:dyDescent="0.25">
      <c r="A22">
        <v>18</v>
      </c>
      <c r="B22" s="5">
        <f t="shared" si="4"/>
        <v>107192.8</v>
      </c>
      <c r="C22" s="5">
        <f t="shared" si="5"/>
        <v>46317.744338094577</v>
      </c>
      <c r="D22" s="5">
        <f t="shared" si="6"/>
        <v>153510.54433809459</v>
      </c>
      <c r="E22" s="5">
        <f t="shared" si="7"/>
        <v>153510.54433809459</v>
      </c>
      <c r="F22" s="5">
        <f t="shared" si="2"/>
        <v>72456.976927580647</v>
      </c>
      <c r="G22" s="5">
        <f t="shared" si="3"/>
        <v>81053.567410513948</v>
      </c>
      <c r="H22">
        <f t="shared" si="0"/>
        <v>34735.822976088712</v>
      </c>
      <c r="I22" s="5">
        <f t="shared" si="1"/>
        <v>46317.744434425236</v>
      </c>
    </row>
    <row r="23" spans="1:9" x14ac:dyDescent="0.25">
      <c r="A23">
        <v>19</v>
      </c>
      <c r="B23" s="5">
        <f t="shared" si="4"/>
        <v>107192.8</v>
      </c>
      <c r="C23" s="5">
        <f t="shared" si="5"/>
        <v>46317.744434425236</v>
      </c>
      <c r="D23" s="5">
        <f t="shared" si="6"/>
        <v>153510.54443442525</v>
      </c>
      <c r="E23" s="5">
        <f t="shared" si="7"/>
        <v>153510.54443442525</v>
      </c>
      <c r="F23" s="5">
        <f t="shared" si="2"/>
        <v>72456.976973048717</v>
      </c>
      <c r="G23" s="5">
        <f t="shared" si="3"/>
        <v>81053.56746137653</v>
      </c>
      <c r="H23">
        <f t="shared" si="0"/>
        <v>34735.822997886069</v>
      </c>
      <c r="I23" s="5">
        <f t="shared" si="1"/>
        <v>46317.74446349046</v>
      </c>
    </row>
    <row r="24" spans="1:9" x14ac:dyDescent="0.25">
      <c r="A24">
        <v>20</v>
      </c>
      <c r="B24" s="5">
        <f t="shared" si="4"/>
        <v>107192.8</v>
      </c>
      <c r="C24" s="5">
        <f t="shared" si="5"/>
        <v>46317.74446349046</v>
      </c>
      <c r="D24" s="5">
        <f t="shared" si="6"/>
        <v>153510.54446349046</v>
      </c>
      <c r="E24" s="5">
        <f t="shared" si="7"/>
        <v>153510.54446349046</v>
      </c>
      <c r="F24" s="5">
        <f t="shared" si="2"/>
        <v>72456.976986767491</v>
      </c>
      <c r="G24" s="5">
        <f t="shared" si="3"/>
        <v>81053.567476722965</v>
      </c>
      <c r="H24">
        <f t="shared" si="0"/>
        <v>34735.823004462844</v>
      </c>
      <c r="I24" s="5">
        <f t="shared" si="1"/>
        <v>46317.744472260121</v>
      </c>
    </row>
    <row r="25" spans="1:9" x14ac:dyDescent="0.25">
      <c r="A25">
        <v>21</v>
      </c>
      <c r="B25" s="5">
        <f t="shared" si="4"/>
        <v>107192.8</v>
      </c>
      <c r="C25" s="5">
        <f t="shared" si="5"/>
        <v>46317.744472260121</v>
      </c>
      <c r="D25" s="5">
        <f t="shared" si="6"/>
        <v>153510.54447226011</v>
      </c>
      <c r="E25" s="5">
        <f t="shared" si="7"/>
        <v>153510.54447226011</v>
      </c>
      <c r="F25" s="5">
        <f t="shared" si="2"/>
        <v>72456.976990906769</v>
      </c>
      <c r="G25" s="5">
        <f t="shared" si="3"/>
        <v>81053.567481353341</v>
      </c>
      <c r="H25">
        <f t="shared" si="0"/>
        <v>34735.823006447208</v>
      </c>
      <c r="I25" s="5">
        <f t="shared" si="1"/>
        <v>46317.744474906132</v>
      </c>
    </row>
    <row r="26" spans="1:9" x14ac:dyDescent="0.25">
      <c r="A26">
        <v>22</v>
      </c>
      <c r="B26" s="5">
        <f t="shared" si="4"/>
        <v>107192.8</v>
      </c>
      <c r="C26" s="5">
        <f t="shared" si="5"/>
        <v>46317.744474906132</v>
      </c>
      <c r="D26" s="5">
        <f t="shared" si="6"/>
        <v>153510.54447490614</v>
      </c>
      <c r="E26" s="5">
        <f t="shared" si="7"/>
        <v>153510.54447490614</v>
      </c>
      <c r="F26" s="5">
        <f t="shared" si="2"/>
        <v>72456.976992155702</v>
      </c>
      <c r="G26" s="5">
        <f t="shared" si="3"/>
        <v>81053.567482750441</v>
      </c>
      <c r="H26">
        <f t="shared" si="0"/>
        <v>34735.823007045939</v>
      </c>
      <c r="I26" s="5">
        <f t="shared" si="1"/>
        <v>46317.744475704501</v>
      </c>
    </row>
    <row r="27" spans="1:9" x14ac:dyDescent="0.25">
      <c r="A27">
        <v>23</v>
      </c>
      <c r="B27" s="5">
        <f t="shared" si="4"/>
        <v>107192.8</v>
      </c>
      <c r="C27" s="5">
        <f t="shared" si="5"/>
        <v>46317.744475704501</v>
      </c>
      <c r="D27" s="5">
        <f t="shared" si="6"/>
        <v>153510.54447570449</v>
      </c>
      <c r="E27" s="5">
        <f t="shared" si="7"/>
        <v>153510.54447570449</v>
      </c>
      <c r="F27" s="5">
        <f t="shared" si="2"/>
        <v>72456.976992532509</v>
      </c>
      <c r="G27" s="5">
        <f t="shared" si="3"/>
        <v>81053.567483171981</v>
      </c>
      <c r="H27">
        <f t="shared" si="0"/>
        <v>34735.823007226594</v>
      </c>
      <c r="I27" s="5">
        <f t="shared" si="1"/>
        <v>46317.744475945387</v>
      </c>
    </row>
    <row r="28" spans="1:9" x14ac:dyDescent="0.25">
      <c r="A28">
        <v>24</v>
      </c>
      <c r="B28" s="5">
        <f t="shared" si="4"/>
        <v>107192.8</v>
      </c>
      <c r="C28" s="5">
        <f t="shared" si="5"/>
        <v>46317.744475945387</v>
      </c>
      <c r="D28" s="5">
        <f t="shared" si="6"/>
        <v>153510.54447594538</v>
      </c>
      <c r="E28" s="5">
        <f t="shared" si="7"/>
        <v>153510.54447594538</v>
      </c>
      <c r="F28" s="5">
        <f t="shared" si="2"/>
        <v>72456.976992646218</v>
      </c>
      <c r="G28" s="5">
        <f t="shared" si="3"/>
        <v>81053.567483299164</v>
      </c>
      <c r="H28">
        <f t="shared" si="0"/>
        <v>34735.823007281098</v>
      </c>
      <c r="I28" s="5">
        <f t="shared" si="1"/>
        <v>46317.744476018066</v>
      </c>
    </row>
    <row r="29" spans="1:9" x14ac:dyDescent="0.25">
      <c r="A29">
        <v>25</v>
      </c>
      <c r="B29" s="5">
        <f t="shared" si="4"/>
        <v>107192.8</v>
      </c>
      <c r="C29" s="5">
        <f t="shared" si="5"/>
        <v>46317.744476018066</v>
      </c>
      <c r="D29" s="5">
        <f t="shared" si="6"/>
        <v>153510.54447601805</v>
      </c>
      <c r="E29" s="5">
        <f t="shared" si="7"/>
        <v>153510.54447601805</v>
      </c>
      <c r="F29" s="5">
        <f t="shared" si="2"/>
        <v>72456.976992680517</v>
      </c>
      <c r="G29" s="5">
        <f t="shared" si="3"/>
        <v>81053.567483337538</v>
      </c>
      <c r="H29">
        <f t="shared" si="0"/>
        <v>34735.823007297542</v>
      </c>
      <c r="I29" s="5">
        <f t="shared" si="1"/>
        <v>46317.744476039996</v>
      </c>
    </row>
  </sheetData>
  <hyperlinks>
    <hyperlink ref="D1" r:id="rId1" xr:uid="{E7D1C0F4-30A1-4884-BA06-0AEAB0C4E97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D0FB-558E-41DF-BC3A-0881F0C39AC4}">
  <dimension ref="C8:I17"/>
  <sheetViews>
    <sheetView topLeftCell="A4" workbookViewId="0">
      <selection activeCell="H20" sqref="H20"/>
    </sheetView>
  </sheetViews>
  <sheetFormatPr defaultRowHeight="15" x14ac:dyDescent="0.25"/>
  <cols>
    <col min="3" max="3" width="10.7109375" bestFit="1" customWidth="1"/>
    <col min="8" max="8" width="15" bestFit="1" customWidth="1"/>
  </cols>
  <sheetData>
    <row r="8" spans="3:9" x14ac:dyDescent="0.25">
      <c r="C8" t="s">
        <v>69</v>
      </c>
      <c r="D8" s="11">
        <f>'Recycle iMB'!H29</f>
        <v>34735.823007297542</v>
      </c>
    </row>
    <row r="10" spans="3:9" x14ac:dyDescent="0.25">
      <c r="H10" t="s">
        <v>72</v>
      </c>
      <c r="I10" s="13">
        <f>D8+D13</f>
        <v>107192.79999997806</v>
      </c>
    </row>
    <row r="13" spans="3:9" x14ac:dyDescent="0.25">
      <c r="C13" t="s">
        <v>70</v>
      </c>
      <c r="D13" s="13">
        <f>'Recycle iMB'!F29</f>
        <v>72456.976992680517</v>
      </c>
    </row>
    <row r="16" spans="3:9" x14ac:dyDescent="0.25">
      <c r="F16" s="23" t="s">
        <v>78</v>
      </c>
    </row>
    <row r="17" spans="6:6" x14ac:dyDescent="0.25">
      <c r="F17" s="5">
        <f>D8+D13-I10</f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5953-BB1A-4103-946B-160CCFADEB5D}">
  <dimension ref="C5:J16"/>
  <sheetViews>
    <sheetView workbookViewId="0">
      <selection activeCell="I5" sqref="I5:J5"/>
    </sheetView>
  </sheetViews>
  <sheetFormatPr defaultRowHeight="15" x14ac:dyDescent="0.25"/>
  <cols>
    <col min="3" max="3" width="15" bestFit="1" customWidth="1"/>
    <col min="9" max="9" width="14" bestFit="1" customWidth="1"/>
  </cols>
  <sheetData>
    <row r="5" spans="3:10" x14ac:dyDescent="0.25">
      <c r="C5" t="s">
        <v>72</v>
      </c>
      <c r="D5" s="13">
        <f>Mixer1!I10</f>
        <v>107192.79999997806</v>
      </c>
      <c r="I5" t="s">
        <v>73</v>
      </c>
      <c r="J5" s="13">
        <f>D5</f>
        <v>107192.79999997806</v>
      </c>
    </row>
    <row r="15" spans="3:10" x14ac:dyDescent="0.25">
      <c r="F15" s="23" t="s">
        <v>78</v>
      </c>
    </row>
    <row r="16" spans="3:10" x14ac:dyDescent="0.25">
      <c r="F16" s="5">
        <f>J5-D5</f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EACD-A8CC-4E95-9DA5-6007E9880DD9}">
  <dimension ref="C6:K27"/>
  <sheetViews>
    <sheetView topLeftCell="A7" workbookViewId="0">
      <selection activeCell="F20" sqref="F20"/>
    </sheetView>
  </sheetViews>
  <sheetFormatPr defaultRowHeight="15" x14ac:dyDescent="0.25"/>
  <cols>
    <col min="3" max="3" width="14" bestFit="1" customWidth="1"/>
    <col min="5" max="5" width="16.7109375" bestFit="1" customWidth="1"/>
    <col min="9" max="9" width="9.85546875" bestFit="1" customWidth="1"/>
  </cols>
  <sheetData>
    <row r="6" spans="3:11" x14ac:dyDescent="0.25">
      <c r="C6" t="s">
        <v>73</v>
      </c>
      <c r="D6" s="13">
        <f>Pasteurisers!J5</f>
        <v>107192.79999997806</v>
      </c>
      <c r="E6" t="s">
        <v>1</v>
      </c>
      <c r="I6" t="s">
        <v>74</v>
      </c>
      <c r="J6" s="13">
        <f>D6-F17</f>
        <v>105156.13679997847</v>
      </c>
      <c r="K6" t="s">
        <v>1</v>
      </c>
    </row>
    <row r="17" spans="5:7" x14ac:dyDescent="0.25">
      <c r="E17" t="s">
        <v>75</v>
      </c>
      <c r="F17" s="11">
        <f>D6*F18</f>
        <v>2036.663199999583</v>
      </c>
      <c r="G17" t="s">
        <v>1</v>
      </c>
    </row>
    <row r="18" spans="5:7" x14ac:dyDescent="0.25">
      <c r="E18" t="s">
        <v>76</v>
      </c>
      <c r="F18" s="3">
        <v>1.9E-2</v>
      </c>
    </row>
    <row r="26" spans="5:7" x14ac:dyDescent="0.25">
      <c r="F26" s="23" t="s">
        <v>78</v>
      </c>
    </row>
    <row r="27" spans="5:7" x14ac:dyDescent="0.25">
      <c r="F27" s="5">
        <f>D6-F17-J6</f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2DCA-3261-4321-8010-C1478DCABE3E}">
  <dimension ref="C5:K16"/>
  <sheetViews>
    <sheetView topLeftCell="A7" workbookViewId="0">
      <selection activeCell="I5" sqref="I5:K5"/>
    </sheetView>
  </sheetViews>
  <sheetFormatPr defaultRowHeight="15" x14ac:dyDescent="0.25"/>
  <cols>
    <col min="3" max="3" width="9.85546875" bestFit="1" customWidth="1"/>
  </cols>
  <sheetData>
    <row r="5" spans="3:11" x14ac:dyDescent="0.25">
      <c r="C5" t="s">
        <v>74</v>
      </c>
      <c r="D5" s="13">
        <f>Borger!J6</f>
        <v>105156.13679997847</v>
      </c>
      <c r="E5" t="s">
        <v>1</v>
      </c>
      <c r="I5" t="s">
        <v>77</v>
      </c>
      <c r="J5" s="13">
        <f>D5</f>
        <v>105156.13679997847</v>
      </c>
      <c r="K5" t="s">
        <v>1</v>
      </c>
    </row>
    <row r="15" spans="3:11" x14ac:dyDescent="0.25">
      <c r="G15" s="24" t="s">
        <v>78</v>
      </c>
    </row>
    <row r="16" spans="3:11" x14ac:dyDescent="0.25">
      <c r="G16" s="25">
        <f>J5-D5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1250-2218-4119-ABEF-EE09C9618BA3}">
  <dimension ref="A3:J44"/>
  <sheetViews>
    <sheetView topLeftCell="A11" workbookViewId="0">
      <selection activeCell="B25" sqref="B25"/>
    </sheetView>
  </sheetViews>
  <sheetFormatPr defaultRowHeight="15" x14ac:dyDescent="0.25"/>
  <cols>
    <col min="1" max="1" width="29.7109375" bestFit="1" customWidth="1"/>
    <col min="2" max="2" width="13.85546875" bestFit="1" customWidth="1"/>
    <col min="3" max="3" width="9.140625" bestFit="1" customWidth="1"/>
    <col min="7" max="7" width="25.7109375" bestFit="1" customWidth="1"/>
    <col min="8" max="8" width="10.85546875" bestFit="1" customWidth="1"/>
  </cols>
  <sheetData>
    <row r="3" spans="1:10" x14ac:dyDescent="0.25">
      <c r="A3" t="s">
        <v>82</v>
      </c>
      <c r="B3" s="27">
        <v>0.23300000000000001</v>
      </c>
      <c r="C3" t="s">
        <v>83</v>
      </c>
    </row>
    <row r="4" spans="1:10" x14ac:dyDescent="0.25">
      <c r="A4" t="s">
        <v>84</v>
      </c>
      <c r="B4" s="27">
        <v>0.9</v>
      </c>
      <c r="C4" t="s">
        <v>83</v>
      </c>
    </row>
    <row r="5" spans="1:10" x14ac:dyDescent="0.25">
      <c r="A5" t="s">
        <v>85</v>
      </c>
      <c r="B5" s="27">
        <v>0.8</v>
      </c>
      <c r="C5" t="s">
        <v>83</v>
      </c>
    </row>
    <row r="6" spans="1:10" x14ac:dyDescent="0.25">
      <c r="A6" t="s">
        <v>86</v>
      </c>
      <c r="B6" s="27">
        <v>0.45</v>
      </c>
      <c r="C6" t="s">
        <v>87</v>
      </c>
      <c r="D6" t="s">
        <v>98</v>
      </c>
    </row>
    <row r="7" spans="1:10" x14ac:dyDescent="0.25">
      <c r="A7" t="s">
        <v>88</v>
      </c>
      <c r="B7" s="28">
        <f>1000*B6*B3*B4*B5</f>
        <v>75.492000000000004</v>
      </c>
      <c r="C7" t="s">
        <v>89</v>
      </c>
      <c r="D7" t="s">
        <v>90</v>
      </c>
    </row>
    <row r="8" spans="1:10" x14ac:dyDescent="0.25">
      <c r="B8" s="31"/>
    </row>
    <row r="9" spans="1:10" x14ac:dyDescent="0.25">
      <c r="A9" t="s">
        <v>94</v>
      </c>
      <c r="B9" s="28">
        <v>0.6</v>
      </c>
      <c r="C9" t="s">
        <v>83</v>
      </c>
    </row>
    <row r="10" spans="1:10" x14ac:dyDescent="0.25">
      <c r="A10" t="s">
        <v>95</v>
      </c>
      <c r="B10" s="28">
        <v>0.98</v>
      </c>
      <c r="C10" t="s">
        <v>83</v>
      </c>
    </row>
    <row r="13" spans="1:10" x14ac:dyDescent="0.25">
      <c r="A13" s="23" t="s">
        <v>80</v>
      </c>
      <c r="B13" s="35">
        <f>'AD Feedstock'!I22</f>
        <v>50595.001599999996</v>
      </c>
      <c r="C13" t="s">
        <v>1</v>
      </c>
      <c r="G13" s="23" t="s">
        <v>81</v>
      </c>
      <c r="H13" s="30">
        <f>'AD Feedstock'!I23</f>
        <v>56597.798400000007</v>
      </c>
      <c r="I13" t="s">
        <v>1</v>
      </c>
      <c r="J13" s="41" t="s">
        <v>138</v>
      </c>
    </row>
    <row r="14" spans="1:10" x14ac:dyDescent="0.25">
      <c r="A14" t="s">
        <v>92</v>
      </c>
      <c r="B14" s="35">
        <f>B13*$B$7</f>
        <v>3819517.8607871998</v>
      </c>
      <c r="C14" t="s">
        <v>93</v>
      </c>
      <c r="G14" t="s">
        <v>91</v>
      </c>
      <c r="H14" s="11">
        <f>H13*$B$7</f>
        <v>4272680.9968128009</v>
      </c>
      <c r="I14" t="s">
        <v>93</v>
      </c>
      <c r="J14" t="s">
        <v>175</v>
      </c>
    </row>
    <row r="15" spans="1:10" x14ac:dyDescent="0.25">
      <c r="A15" t="s">
        <v>92</v>
      </c>
      <c r="B15" s="35">
        <f>B14/(24*365)</f>
        <v>436.01802063780821</v>
      </c>
      <c r="C15" t="s">
        <v>115</v>
      </c>
      <c r="G15" t="s">
        <v>91</v>
      </c>
      <c r="H15" s="30">
        <f>H14/(24*365)</f>
        <v>487.74897223890423</v>
      </c>
      <c r="I15" t="s">
        <v>115</v>
      </c>
    </row>
    <row r="16" spans="1:10" x14ac:dyDescent="0.25">
      <c r="A16" t="s">
        <v>96</v>
      </c>
      <c r="B16" s="35">
        <f>B14/($B$9)</f>
        <v>6365863.1013120003</v>
      </c>
      <c r="C16" t="s">
        <v>93</v>
      </c>
      <c r="G16" t="s">
        <v>97</v>
      </c>
      <c r="H16" s="11">
        <f>H14/($B$9)</f>
        <v>7121134.9946880015</v>
      </c>
      <c r="I16" t="s">
        <v>93</v>
      </c>
    </row>
    <row r="17" spans="1:9" x14ac:dyDescent="0.25">
      <c r="A17" t="s">
        <v>96</v>
      </c>
      <c r="B17" s="35">
        <f>B16/(24*365)</f>
        <v>726.69670106301373</v>
      </c>
      <c r="C17" t="s">
        <v>9</v>
      </c>
      <c r="G17" t="s">
        <v>97</v>
      </c>
      <c r="H17" s="30">
        <f>H16/(24*365)</f>
        <v>812.91495373150701</v>
      </c>
      <c r="I17" t="s">
        <v>9</v>
      </c>
    </row>
    <row r="18" spans="1:9" x14ac:dyDescent="0.25">
      <c r="A18" t="s">
        <v>96</v>
      </c>
      <c r="B18" s="35">
        <f>B16*$B$44</f>
        <v>7733.1007639209047</v>
      </c>
      <c r="C18" t="s">
        <v>1</v>
      </c>
      <c r="G18" t="s">
        <v>97</v>
      </c>
      <c r="H18" s="35">
        <f>H16*$B$44</f>
        <v>8650.5872952335558</v>
      </c>
      <c r="I18" t="s">
        <v>1</v>
      </c>
    </row>
    <row r="19" spans="1:9" x14ac:dyDescent="0.25">
      <c r="A19" t="s">
        <v>96</v>
      </c>
      <c r="B19" s="34">
        <f>B17*$B$44</f>
        <v>0.88277405980832246</v>
      </c>
      <c r="C19" t="s">
        <v>134</v>
      </c>
      <c r="G19" t="s">
        <v>97</v>
      </c>
      <c r="H19" s="34">
        <f>H17*$B$44</f>
        <v>0.98750996520931</v>
      </c>
      <c r="I19" t="s">
        <v>134</v>
      </c>
    </row>
    <row r="20" spans="1:9" x14ac:dyDescent="0.25">
      <c r="E20" s="29"/>
    </row>
    <row r="21" spans="1:9" x14ac:dyDescent="0.25">
      <c r="A21" s="23" t="s">
        <v>99</v>
      </c>
    </row>
    <row r="22" spans="1:9" x14ac:dyDescent="0.25">
      <c r="A22" t="s">
        <v>184</v>
      </c>
      <c r="B22" s="35">
        <f>$B$17*$B$33*B30</f>
        <v>1738.8398663035796</v>
      </c>
      <c r="C22" t="s">
        <v>110</v>
      </c>
      <c r="D22" t="s">
        <v>112</v>
      </c>
    </row>
    <row r="23" spans="1:9" x14ac:dyDescent="0.25">
      <c r="A23" t="s">
        <v>185</v>
      </c>
      <c r="B23" s="35">
        <f>$B$17*$B$33*B29</f>
        <v>1956.1948495915269</v>
      </c>
      <c r="C23" t="s">
        <v>111</v>
      </c>
      <c r="D23" t="s">
        <v>113</v>
      </c>
    </row>
    <row r="24" spans="1:9" x14ac:dyDescent="0.25">
      <c r="A24" t="s">
        <v>182</v>
      </c>
      <c r="B24" s="52">
        <v>0.75</v>
      </c>
    </row>
    <row r="25" spans="1:9" x14ac:dyDescent="0.25">
      <c r="A25" t="s">
        <v>100</v>
      </c>
      <c r="B25" s="35">
        <f>B22*24*365*B24/1000</f>
        <v>11424.177921614519</v>
      </c>
      <c r="C25" t="s">
        <v>129</v>
      </c>
    </row>
    <row r="26" spans="1:9" x14ac:dyDescent="0.25">
      <c r="A26" t="s">
        <v>101</v>
      </c>
      <c r="B26" s="35">
        <f>B23*24*365*B24/1000</f>
        <v>12852.200161816332</v>
      </c>
      <c r="C26" t="s">
        <v>129</v>
      </c>
    </row>
    <row r="29" spans="1:9" x14ac:dyDescent="0.25">
      <c r="A29" t="s">
        <v>114</v>
      </c>
      <c r="B29" s="3">
        <v>0.45</v>
      </c>
      <c r="C29" t="s">
        <v>83</v>
      </c>
    </row>
    <row r="30" spans="1:9" x14ac:dyDescent="0.25">
      <c r="A30" t="s">
        <v>102</v>
      </c>
      <c r="B30" s="27">
        <v>0.4</v>
      </c>
      <c r="C30" t="s">
        <v>83</v>
      </c>
    </row>
    <row r="31" spans="1:9" x14ac:dyDescent="0.25">
      <c r="A31" t="s">
        <v>103</v>
      </c>
      <c r="B31" s="27">
        <v>9.9700000000000006</v>
      </c>
      <c r="C31" t="s">
        <v>104</v>
      </c>
    </row>
    <row r="32" spans="1:9" x14ac:dyDescent="0.25">
      <c r="A32" t="s">
        <v>105</v>
      </c>
      <c r="B32" s="26">
        <v>0.50249999999999995</v>
      </c>
      <c r="C32" t="s">
        <v>106</v>
      </c>
      <c r="D32" t="s">
        <v>107</v>
      </c>
    </row>
    <row r="33" spans="1:4" x14ac:dyDescent="0.25">
      <c r="A33" t="s">
        <v>108</v>
      </c>
      <c r="B33" s="3">
        <f>B31*B9</f>
        <v>5.9820000000000002</v>
      </c>
      <c r="C33" t="s">
        <v>104</v>
      </c>
      <c r="D33" t="s">
        <v>109</v>
      </c>
    </row>
    <row r="35" spans="1:4" x14ac:dyDescent="0.25">
      <c r="A35" t="s">
        <v>116</v>
      </c>
      <c r="B35" s="11">
        <v>16.04</v>
      </c>
      <c r="C35" t="s">
        <v>118</v>
      </c>
    </row>
    <row r="36" spans="1:4" x14ac:dyDescent="0.25">
      <c r="A36" t="s">
        <v>117</v>
      </c>
      <c r="B36" s="11">
        <v>44.01</v>
      </c>
      <c r="C36" t="s">
        <v>118</v>
      </c>
    </row>
    <row r="37" spans="1:4" x14ac:dyDescent="0.25">
      <c r="A37" t="s">
        <v>119</v>
      </c>
      <c r="B37" s="11">
        <v>28.96</v>
      </c>
      <c r="C37" t="s">
        <v>118</v>
      </c>
    </row>
    <row r="38" spans="1:4" x14ac:dyDescent="0.25">
      <c r="A38" t="s">
        <v>120</v>
      </c>
      <c r="B38" s="11">
        <v>0.6</v>
      </c>
    </row>
    <row r="39" spans="1:4" x14ac:dyDescent="0.25">
      <c r="A39" t="s">
        <v>121</v>
      </c>
      <c r="B39" s="3">
        <f>(B38*B35)+((1-B38)*B36)</f>
        <v>27.227999999999998</v>
      </c>
      <c r="C39" t="s">
        <v>118</v>
      </c>
    </row>
    <row r="40" spans="1:4" x14ac:dyDescent="0.25">
      <c r="A40" t="s">
        <v>122</v>
      </c>
      <c r="B40" s="27">
        <f>B39/B37</f>
        <v>0.94019337016574578</v>
      </c>
    </row>
    <row r="41" spans="1:4" x14ac:dyDescent="0.25">
      <c r="A41" t="s">
        <v>123</v>
      </c>
      <c r="B41" s="11">
        <v>2.2414E-2</v>
      </c>
      <c r="C41" t="s">
        <v>124</v>
      </c>
    </row>
    <row r="42" spans="1:4" x14ac:dyDescent="0.25">
      <c r="A42" t="s">
        <v>125</v>
      </c>
      <c r="B42" s="32">
        <f>B39/B41</f>
        <v>1214.7764789863477</v>
      </c>
      <c r="C42" t="s">
        <v>126</v>
      </c>
    </row>
    <row r="43" spans="1:4" x14ac:dyDescent="0.25">
      <c r="A43" t="s">
        <v>125</v>
      </c>
      <c r="B43" s="32">
        <f>B42/1000</f>
        <v>1.2147764789863478</v>
      </c>
      <c r="C43" t="s">
        <v>127</v>
      </c>
    </row>
    <row r="44" spans="1:4" x14ac:dyDescent="0.25">
      <c r="A44" t="s">
        <v>125</v>
      </c>
      <c r="B44" s="11">
        <f>B43/1000</f>
        <v>1.2147764789863479E-3</v>
      </c>
      <c r="C44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20D1-575B-4353-AADD-D57FAEAEB4C1}">
  <dimension ref="B3:E60"/>
  <sheetViews>
    <sheetView topLeftCell="A49" workbookViewId="0">
      <selection activeCell="D62" sqref="D62"/>
    </sheetView>
  </sheetViews>
  <sheetFormatPr defaultRowHeight="15" x14ac:dyDescent="0.25"/>
  <cols>
    <col min="2" max="2" width="31.140625" bestFit="1" customWidth="1"/>
    <col min="3" max="3" width="9.85546875" bestFit="1" customWidth="1"/>
  </cols>
  <sheetData>
    <row r="3" spans="2:4" x14ac:dyDescent="0.25">
      <c r="B3" t="s">
        <v>135</v>
      </c>
      <c r="C3" s="7">
        <f>'AD Feedstock'!I21</f>
        <v>107192.8</v>
      </c>
      <c r="D3" s="1" t="s">
        <v>1</v>
      </c>
    </row>
    <row r="4" spans="2:4" x14ac:dyDescent="0.25">
      <c r="B4" t="s">
        <v>136</v>
      </c>
      <c r="C4" s="7">
        <f>'AD Feedstock'!I22</f>
        <v>50595.001599999996</v>
      </c>
      <c r="D4" s="1" t="s">
        <v>1</v>
      </c>
    </row>
    <row r="5" spans="2:4" x14ac:dyDescent="0.25">
      <c r="B5" t="s">
        <v>137</v>
      </c>
      <c r="C5" s="7">
        <f>'AD Feedstock'!I23</f>
        <v>56597.798400000007</v>
      </c>
      <c r="D5" s="1" t="s">
        <v>1</v>
      </c>
    </row>
    <row r="6" spans="2:4" x14ac:dyDescent="0.25">
      <c r="B6" s="41"/>
    </row>
    <row r="7" spans="2:4" x14ac:dyDescent="0.25">
      <c r="B7" t="s">
        <v>82</v>
      </c>
      <c r="C7" s="27">
        <v>0.23300000000000001</v>
      </c>
      <c r="D7" t="s">
        <v>83</v>
      </c>
    </row>
    <row r="8" spans="2:4" x14ac:dyDescent="0.25">
      <c r="B8" t="s">
        <v>84</v>
      </c>
      <c r="C8" s="27">
        <v>0.9</v>
      </c>
      <c r="D8" t="s">
        <v>83</v>
      </c>
    </row>
    <row r="9" spans="2:4" x14ac:dyDescent="0.25">
      <c r="B9" t="s">
        <v>85</v>
      </c>
      <c r="C9" s="27">
        <v>0.8</v>
      </c>
      <c r="D9" t="s">
        <v>83</v>
      </c>
    </row>
    <row r="10" spans="2:4" x14ac:dyDescent="0.25">
      <c r="B10" t="s">
        <v>86</v>
      </c>
      <c r="C10" s="27">
        <v>0.45</v>
      </c>
      <c r="D10" t="s">
        <v>87</v>
      </c>
    </row>
    <row r="11" spans="2:4" x14ac:dyDescent="0.25">
      <c r="B11" s="41"/>
    </row>
    <row r="12" spans="2:4" x14ac:dyDescent="0.25">
      <c r="B12" t="s">
        <v>94</v>
      </c>
      <c r="C12" s="28">
        <v>0.6</v>
      </c>
      <c r="D12" t="s">
        <v>83</v>
      </c>
    </row>
    <row r="13" spans="2:4" x14ac:dyDescent="0.25">
      <c r="B13" t="s">
        <v>95</v>
      </c>
      <c r="C13" s="28">
        <v>0.98</v>
      </c>
      <c r="D13" t="s">
        <v>83</v>
      </c>
    </row>
    <row r="15" spans="2:4" x14ac:dyDescent="0.25">
      <c r="B15" t="s">
        <v>103</v>
      </c>
      <c r="C15" s="27">
        <v>9.9700000000000006</v>
      </c>
      <c r="D15" t="s">
        <v>104</v>
      </c>
    </row>
    <row r="17" spans="2:5" x14ac:dyDescent="0.25">
      <c r="B17" t="s">
        <v>144</v>
      </c>
    </row>
    <row r="18" spans="2:5" x14ac:dyDescent="0.25">
      <c r="B18" t="s">
        <v>145</v>
      </c>
      <c r="C18" s="3">
        <v>0.4</v>
      </c>
    </row>
    <row r="19" spans="2:5" x14ac:dyDescent="0.25">
      <c r="B19" t="s">
        <v>146</v>
      </c>
      <c r="C19" s="3">
        <v>0.45</v>
      </c>
    </row>
    <row r="21" spans="2:5" x14ac:dyDescent="0.25">
      <c r="B21" t="s">
        <v>182</v>
      </c>
      <c r="C21" s="3">
        <v>0.75</v>
      </c>
    </row>
    <row r="24" spans="2:5" x14ac:dyDescent="0.25">
      <c r="B24" t="s">
        <v>147</v>
      </c>
      <c r="C24" s="54">
        <f>1000*C7*C8*C9*C10</f>
        <v>75.492000000000004</v>
      </c>
      <c r="D24" t="s">
        <v>89</v>
      </c>
      <c r="E24" t="s">
        <v>90</v>
      </c>
    </row>
    <row r="26" spans="2:5" x14ac:dyDescent="0.25">
      <c r="B26" t="s">
        <v>149</v>
      </c>
      <c r="C26" s="55">
        <f>C4*$C$24</f>
        <v>3819517.8607871998</v>
      </c>
      <c r="D26" t="s">
        <v>93</v>
      </c>
    </row>
    <row r="27" spans="2:5" x14ac:dyDescent="0.25">
      <c r="B27" t="s">
        <v>148</v>
      </c>
      <c r="C27" s="55">
        <f>C5*$C$24</f>
        <v>4272680.9968128009</v>
      </c>
      <c r="D27" t="s">
        <v>93</v>
      </c>
    </row>
    <row r="28" spans="2:5" x14ac:dyDescent="0.25">
      <c r="B28" t="s">
        <v>151</v>
      </c>
      <c r="C28" s="55">
        <f>C26/$C$12</f>
        <v>6365863.1013120003</v>
      </c>
      <c r="D28" t="s">
        <v>93</v>
      </c>
    </row>
    <row r="29" spans="2:5" x14ac:dyDescent="0.25">
      <c r="B29" t="s">
        <v>150</v>
      </c>
      <c r="C29" s="55">
        <f>C27/$C$12</f>
        <v>7121134.9946880015</v>
      </c>
      <c r="D29" t="s">
        <v>93</v>
      </c>
    </row>
    <row r="31" spans="2:5" x14ac:dyDescent="0.25">
      <c r="B31" t="s">
        <v>151</v>
      </c>
      <c r="C31" s="56">
        <f>C28/(24*365)</f>
        <v>726.69670106301373</v>
      </c>
      <c r="D31" t="s">
        <v>9</v>
      </c>
    </row>
    <row r="32" spans="2:5" x14ac:dyDescent="0.25">
      <c r="B32" t="s">
        <v>150</v>
      </c>
      <c r="C32" s="56">
        <f>C29/(24*365)</f>
        <v>812.91495373150701</v>
      </c>
      <c r="D32" t="s">
        <v>9</v>
      </c>
    </row>
    <row r="34" spans="2:4" x14ac:dyDescent="0.25">
      <c r="B34" t="s">
        <v>152</v>
      </c>
      <c r="C34" s="57">
        <f>C31*$C$12*$C$15*C18</f>
        <v>1738.8398663035796</v>
      </c>
      <c r="D34" t="s">
        <v>110</v>
      </c>
    </row>
    <row r="35" spans="2:4" x14ac:dyDescent="0.25">
      <c r="B35" t="s">
        <v>153</v>
      </c>
      <c r="C35" s="57">
        <f>C31*$C$12*$C$15*C19</f>
        <v>1956.1948495915269</v>
      </c>
      <c r="D35" t="s">
        <v>111</v>
      </c>
    </row>
    <row r="37" spans="2:4" x14ac:dyDescent="0.25">
      <c r="B37" t="s">
        <v>154</v>
      </c>
      <c r="C37" s="57">
        <f>C34*24*365*C21/1000</f>
        <v>11424.177921614519</v>
      </c>
      <c r="D37" t="s">
        <v>156</v>
      </c>
    </row>
    <row r="38" spans="2:4" x14ac:dyDescent="0.25">
      <c r="B38" t="s">
        <v>155</v>
      </c>
      <c r="C38" s="57">
        <f>C35*24*365*C21/1000</f>
        <v>12852.200161816332</v>
      </c>
      <c r="D38" t="s">
        <v>157</v>
      </c>
    </row>
    <row r="40" spans="2:4" x14ac:dyDescent="0.25">
      <c r="B40" t="s">
        <v>158</v>
      </c>
      <c r="C40" s="3">
        <v>0.97099999999999997</v>
      </c>
    </row>
    <row r="41" spans="2:4" x14ac:dyDescent="0.25">
      <c r="B41" t="s">
        <v>159</v>
      </c>
      <c r="C41" s="3">
        <v>1.2E-2</v>
      </c>
    </row>
    <row r="43" spans="2:4" x14ac:dyDescent="0.25">
      <c r="B43" t="s">
        <v>160</v>
      </c>
      <c r="C43" s="48">
        <f>(C12-C41)/(C40-C41)</f>
        <v>0.61313868613138689</v>
      </c>
    </row>
    <row r="45" spans="2:4" x14ac:dyDescent="0.25">
      <c r="B45" t="s">
        <v>161</v>
      </c>
      <c r="C45" s="56">
        <f>C43*C32</f>
        <v>498.42960666749337</v>
      </c>
      <c r="D45" t="s">
        <v>9</v>
      </c>
    </row>
    <row r="46" spans="2:4" x14ac:dyDescent="0.25">
      <c r="B46" t="s">
        <v>162</v>
      </c>
      <c r="C46" s="56">
        <f>(1-C43)*C32</f>
        <v>314.48534706401364</v>
      </c>
      <c r="D46" t="s">
        <v>9</v>
      </c>
    </row>
    <row r="48" spans="2:4" x14ac:dyDescent="0.25">
      <c r="B48" t="s">
        <v>163</v>
      </c>
      <c r="C48" s="56">
        <f>C45*C40</f>
        <v>483.97514807413603</v>
      </c>
      <c r="D48" t="s">
        <v>165</v>
      </c>
    </row>
    <row r="49" spans="2:4" x14ac:dyDescent="0.25">
      <c r="B49" t="s">
        <v>164</v>
      </c>
      <c r="C49" s="56">
        <f>C46*C41</f>
        <v>3.7738241647681638</v>
      </c>
      <c r="D49" t="s">
        <v>165</v>
      </c>
    </row>
    <row r="51" spans="2:4" x14ac:dyDescent="0.25">
      <c r="B51" t="s">
        <v>166</v>
      </c>
      <c r="C51" s="57">
        <f>C48*24*365</f>
        <v>4239622.2971294317</v>
      </c>
      <c r="D51" t="s">
        <v>168</v>
      </c>
    </row>
    <row r="52" spans="2:4" x14ac:dyDescent="0.25">
      <c r="B52" t="s">
        <v>167</v>
      </c>
      <c r="C52" s="57">
        <f>C51*C15/1000*C53</f>
        <v>39310.201901213812</v>
      </c>
      <c r="D52" t="s">
        <v>129</v>
      </c>
    </row>
    <row r="53" spans="2:4" x14ac:dyDescent="0.25">
      <c r="B53" t="s">
        <v>7</v>
      </c>
      <c r="C53" s="58">
        <f>'Waste In'!B7</f>
        <v>0.93</v>
      </c>
    </row>
    <row r="55" spans="2:4" x14ac:dyDescent="0.25">
      <c r="B55" t="s">
        <v>169</v>
      </c>
    </row>
    <row r="56" spans="2:4" x14ac:dyDescent="0.25">
      <c r="B56" t="s">
        <v>170</v>
      </c>
      <c r="C56" s="3">
        <v>40</v>
      </c>
      <c r="D56" t="s">
        <v>171</v>
      </c>
    </row>
    <row r="57" spans="2:4" x14ac:dyDescent="0.25">
      <c r="B57" t="s">
        <v>172</v>
      </c>
      <c r="C57" s="3">
        <v>36.65</v>
      </c>
      <c r="D57" t="s">
        <v>171</v>
      </c>
    </row>
    <row r="58" spans="2:4" x14ac:dyDescent="0.25">
      <c r="B58" t="s">
        <v>169</v>
      </c>
      <c r="C58" s="3">
        <v>91.5</v>
      </c>
      <c r="D58" t="s">
        <v>171</v>
      </c>
    </row>
    <row r="60" spans="2:4" x14ac:dyDescent="0.25">
      <c r="B60" t="s">
        <v>173</v>
      </c>
      <c r="C60" s="33">
        <f>((C56-C57)*C45)/(C58-C56)</f>
        <v>32.422120045361233</v>
      </c>
      <c r="D60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72D0-CF56-4927-BBDB-0432C815DD24}">
  <dimension ref="A1:F13"/>
  <sheetViews>
    <sheetView workbookViewId="0">
      <selection activeCell="B3" sqref="B3"/>
    </sheetView>
  </sheetViews>
  <sheetFormatPr defaultRowHeight="15" x14ac:dyDescent="0.25"/>
  <cols>
    <col min="1" max="1" width="18" bestFit="1" customWidth="1"/>
    <col min="6" max="6" width="9.85546875" bestFit="1" customWidth="1"/>
  </cols>
  <sheetData>
    <row r="1" spans="1:6" x14ac:dyDescent="0.25">
      <c r="E1" s="3" t="s">
        <v>15</v>
      </c>
      <c r="F1" s="6" t="s">
        <v>16</v>
      </c>
    </row>
    <row r="3" spans="1:6" x14ac:dyDescent="0.25">
      <c r="A3" s="1" t="s">
        <v>0</v>
      </c>
      <c r="B3" s="2">
        <v>110000</v>
      </c>
      <c r="C3" s="1" t="s">
        <v>1</v>
      </c>
    </row>
    <row r="4" spans="1:6" x14ac:dyDescent="0.25">
      <c r="A4" s="1" t="s">
        <v>2</v>
      </c>
      <c r="B4" s="3">
        <v>500</v>
      </c>
    </row>
    <row r="5" spans="1:6" x14ac:dyDescent="0.25">
      <c r="A5" s="1" t="s">
        <v>3</v>
      </c>
      <c r="B5" s="3">
        <v>3</v>
      </c>
      <c r="C5" s="1" t="s">
        <v>4</v>
      </c>
    </row>
    <row r="6" spans="1:6" x14ac:dyDescent="0.25">
      <c r="A6" s="1" t="s">
        <v>5</v>
      </c>
      <c r="B6" s="52">
        <v>0.75</v>
      </c>
      <c r="C6" s="1"/>
    </row>
    <row r="7" spans="1:6" x14ac:dyDescent="0.25">
      <c r="A7" s="1" t="s">
        <v>7</v>
      </c>
      <c r="B7" s="52">
        <v>0.93</v>
      </c>
      <c r="C7" s="1"/>
    </row>
    <row r="8" spans="1:6" x14ac:dyDescent="0.25">
      <c r="A8" t="s">
        <v>8</v>
      </c>
      <c r="B8" s="4">
        <v>650</v>
      </c>
      <c r="C8" t="s">
        <v>9</v>
      </c>
      <c r="D8" s="1"/>
    </row>
    <row r="9" spans="1:6" x14ac:dyDescent="0.25">
      <c r="A9" s="1" t="s">
        <v>10</v>
      </c>
      <c r="B9" s="4">
        <v>6.3E-2</v>
      </c>
      <c r="C9" s="1" t="s">
        <v>6</v>
      </c>
      <c r="D9">
        <f>B9*100</f>
        <v>6.3</v>
      </c>
    </row>
    <row r="10" spans="1:6" x14ac:dyDescent="0.25">
      <c r="A10" s="1" t="s">
        <v>11</v>
      </c>
      <c r="B10" s="4">
        <v>0.04</v>
      </c>
      <c r="C10" s="1" t="s">
        <v>6</v>
      </c>
      <c r="D10">
        <f t="shared" ref="D10" si="0">B10*100</f>
        <v>4</v>
      </c>
    </row>
    <row r="13" spans="1:6" x14ac:dyDescent="0.25">
      <c r="E13">
        <f>1-B9</f>
        <v>0.93700000000000006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239D-DCC7-43D0-BEA2-8CEB4F33713D}">
  <dimension ref="B4:K20"/>
  <sheetViews>
    <sheetView workbookViewId="0">
      <selection activeCell="F17" sqref="F17"/>
    </sheetView>
  </sheetViews>
  <sheetFormatPr defaultRowHeight="15" x14ac:dyDescent="0.25"/>
  <cols>
    <col min="2" max="2" width="13.7109375" bestFit="1" customWidth="1"/>
    <col min="6" max="6" width="23.7109375" bestFit="1" customWidth="1"/>
    <col min="9" max="9" width="15.42578125" bestFit="1" customWidth="1"/>
  </cols>
  <sheetData>
    <row r="4" spans="2:11" x14ac:dyDescent="0.25">
      <c r="B4" s="1" t="s">
        <v>0</v>
      </c>
      <c r="C4" s="7">
        <f>'Waste In'!B3</f>
        <v>110000</v>
      </c>
      <c r="D4" s="1" t="s">
        <v>1</v>
      </c>
      <c r="I4" t="s">
        <v>14</v>
      </c>
      <c r="J4" s="7">
        <f>C4-G14</f>
        <v>103070</v>
      </c>
      <c r="K4" s="1" t="s">
        <v>1</v>
      </c>
    </row>
    <row r="14" spans="2:11" x14ac:dyDescent="0.25">
      <c r="F14" t="s">
        <v>12</v>
      </c>
      <c r="G14" s="6">
        <f>G15*C4</f>
        <v>6930</v>
      </c>
      <c r="H14" s="1" t="s">
        <v>1</v>
      </c>
    </row>
    <row r="15" spans="2:11" x14ac:dyDescent="0.25">
      <c r="F15" s="1" t="s">
        <v>13</v>
      </c>
      <c r="G15" s="4">
        <v>6.3E-2</v>
      </c>
      <c r="H15" s="1"/>
    </row>
    <row r="19" spans="6:6" x14ac:dyDescent="0.25">
      <c r="F19" s="23" t="s">
        <v>78</v>
      </c>
    </row>
    <row r="20" spans="6:6" x14ac:dyDescent="0.25">
      <c r="F20" s="5">
        <f>C4-G14-J4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54C1-C4D3-47C6-B5DA-994B4F4B6682}">
  <dimension ref="B2:J30"/>
  <sheetViews>
    <sheetView topLeftCell="A13" workbookViewId="0">
      <selection activeCell="F25" sqref="F25"/>
    </sheetView>
  </sheetViews>
  <sheetFormatPr defaultRowHeight="15" x14ac:dyDescent="0.25"/>
  <cols>
    <col min="2" max="2" width="15.42578125" bestFit="1" customWidth="1"/>
    <col min="5" max="5" width="23.7109375" bestFit="1" customWidth="1"/>
    <col min="6" max="6" width="7.85546875" bestFit="1" customWidth="1"/>
    <col min="8" max="8" width="20.5703125" bestFit="1" customWidth="1"/>
    <col min="9" max="9" width="7.42578125" bestFit="1" customWidth="1"/>
  </cols>
  <sheetData>
    <row r="2" spans="2:10" x14ac:dyDescent="0.25">
      <c r="C2" t="s">
        <v>25</v>
      </c>
      <c r="E2" t="s">
        <v>23</v>
      </c>
      <c r="F2" s="7">
        <f>'G2G Digesters'!G17</f>
        <v>46317.744476018066</v>
      </c>
      <c r="H2" t="s">
        <v>19</v>
      </c>
    </row>
    <row r="3" spans="2:10" x14ac:dyDescent="0.25">
      <c r="C3" t="s">
        <v>26</v>
      </c>
      <c r="E3" t="s">
        <v>24</v>
      </c>
      <c r="F3" s="3">
        <v>0.57144609317241579</v>
      </c>
      <c r="H3" t="s">
        <v>20</v>
      </c>
    </row>
    <row r="5" spans="2:10" x14ac:dyDescent="0.25">
      <c r="H5" t="s">
        <v>21</v>
      </c>
    </row>
    <row r="6" spans="2:10" x14ac:dyDescent="0.25">
      <c r="H6" t="s">
        <v>22</v>
      </c>
    </row>
    <row r="8" spans="2:10" x14ac:dyDescent="0.25">
      <c r="E8" t="s">
        <v>17</v>
      </c>
      <c r="F8" s="6">
        <f>F9*C16</f>
        <v>4122.8</v>
      </c>
      <c r="G8" s="1" t="s">
        <v>1</v>
      </c>
    </row>
    <row r="9" spans="2:10" x14ac:dyDescent="0.25">
      <c r="E9" s="1" t="s">
        <v>18</v>
      </c>
      <c r="F9" s="4">
        <f>'Waste In'!B10</f>
        <v>0.04</v>
      </c>
      <c r="G9" s="1"/>
    </row>
    <row r="16" spans="2:10" x14ac:dyDescent="0.25">
      <c r="B16" t="s">
        <v>14</v>
      </c>
      <c r="C16" s="7">
        <f>Depack!J4</f>
        <v>103070</v>
      </c>
      <c r="D16" s="1" t="s">
        <v>1</v>
      </c>
      <c r="H16" t="s">
        <v>27</v>
      </c>
      <c r="I16" s="7">
        <f>F8+C16+F2</f>
        <v>153510.54447601805</v>
      </c>
      <c r="J16" s="1" t="s">
        <v>1</v>
      </c>
    </row>
    <row r="21" spans="5:10" x14ac:dyDescent="0.25">
      <c r="H21" t="s">
        <v>135</v>
      </c>
      <c r="I21" s="7">
        <f>F8+C16</f>
        <v>107192.8</v>
      </c>
      <c r="J21" s="1" t="s">
        <v>1</v>
      </c>
    </row>
    <row r="22" spans="5:10" x14ac:dyDescent="0.25">
      <c r="H22" t="s">
        <v>136</v>
      </c>
      <c r="I22" s="6">
        <f>$I$21*'Splitter1,2,3 + Recycle'!N3</f>
        <v>50595.001599999996</v>
      </c>
      <c r="J22" s="1" t="s">
        <v>1</v>
      </c>
    </row>
    <row r="23" spans="5:10" x14ac:dyDescent="0.25">
      <c r="H23" t="s">
        <v>137</v>
      </c>
      <c r="I23" s="6">
        <f>$I$21*'Splitter1,2,3 + Recycle'!N4</f>
        <v>56597.798400000007</v>
      </c>
      <c r="J23" s="1" t="s">
        <v>1</v>
      </c>
    </row>
    <row r="29" spans="5:10" x14ac:dyDescent="0.25">
      <c r="E29" s="23" t="s">
        <v>78</v>
      </c>
    </row>
    <row r="30" spans="5:10" x14ac:dyDescent="0.25">
      <c r="E30" s="5">
        <f>I16-(I21+F2)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43AC-30BF-488C-A116-97EA41FA46BB}">
  <dimension ref="C17:K25"/>
  <sheetViews>
    <sheetView topLeftCell="A10" workbookViewId="0">
      <selection activeCell="I17" sqref="I17:K17"/>
    </sheetView>
  </sheetViews>
  <sheetFormatPr defaultRowHeight="15" x14ac:dyDescent="0.25"/>
  <cols>
    <col min="3" max="3" width="12.140625" bestFit="1" customWidth="1"/>
    <col min="9" max="9" width="9.140625" bestFit="1" customWidth="1"/>
  </cols>
  <sheetData>
    <row r="17" spans="3:11" x14ac:dyDescent="0.25">
      <c r="C17" t="s">
        <v>27</v>
      </c>
      <c r="D17" s="7">
        <f>'AD Feedstock'!I16</f>
        <v>153510.54447601805</v>
      </c>
      <c r="E17" s="1" t="s">
        <v>1</v>
      </c>
      <c r="I17" t="s">
        <v>28</v>
      </c>
      <c r="J17" s="7">
        <f>D17+G9+G6+G3</f>
        <v>153510.54447601805</v>
      </c>
      <c r="K17" s="1" t="s">
        <v>1</v>
      </c>
    </row>
    <row r="24" spans="3:11" x14ac:dyDescent="0.25">
      <c r="G24" s="23" t="s">
        <v>78</v>
      </c>
    </row>
    <row r="25" spans="3:11" x14ac:dyDescent="0.25">
      <c r="G25" s="5">
        <f>D17-J17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4B1B-63D0-4514-A465-5484794522DB}">
  <dimension ref="C2:R74"/>
  <sheetViews>
    <sheetView topLeftCell="A19" workbookViewId="0">
      <selection activeCell="J25" sqref="J25:L25"/>
    </sheetView>
  </sheetViews>
  <sheetFormatPr defaultRowHeight="15" x14ac:dyDescent="0.25"/>
  <cols>
    <col min="10" max="10" width="14.7109375" bestFit="1" customWidth="1"/>
    <col min="13" max="13" width="11.7109375" bestFit="1" customWidth="1"/>
  </cols>
  <sheetData>
    <row r="2" spans="4:17" x14ac:dyDescent="0.25">
      <c r="D2" s="8"/>
      <c r="E2" s="8"/>
      <c r="F2" s="8" t="s">
        <v>36</v>
      </c>
      <c r="G2" s="8" t="s">
        <v>37</v>
      </c>
      <c r="J2" t="s">
        <v>49</v>
      </c>
      <c r="K2" s="3">
        <f>K3+K4</f>
        <v>90000</v>
      </c>
      <c r="L2" t="s">
        <v>1</v>
      </c>
    </row>
    <row r="3" spans="4:17" x14ac:dyDescent="0.25">
      <c r="D3" s="60" t="s">
        <v>38</v>
      </c>
      <c r="E3" s="8" t="s">
        <v>39</v>
      </c>
      <c r="F3" s="9">
        <v>2280</v>
      </c>
      <c r="G3" s="8"/>
      <c r="J3" t="s">
        <v>47</v>
      </c>
      <c r="K3" s="3">
        <v>42480</v>
      </c>
      <c r="L3" t="s">
        <v>1</v>
      </c>
      <c r="M3" t="s">
        <v>50</v>
      </c>
      <c r="N3" s="11">
        <f>K3/$K$2</f>
        <v>0.47199999999999998</v>
      </c>
    </row>
    <row r="4" spans="4:17" x14ac:dyDescent="0.25">
      <c r="D4" s="60"/>
      <c r="E4" s="8" t="s">
        <v>40</v>
      </c>
      <c r="F4" s="9">
        <v>2280</v>
      </c>
      <c r="G4" s="8"/>
      <c r="J4" t="s">
        <v>48</v>
      </c>
      <c r="K4" s="3">
        <v>47520</v>
      </c>
      <c r="L4" t="s">
        <v>1</v>
      </c>
      <c r="M4" t="s">
        <v>51</v>
      </c>
      <c r="N4" s="11">
        <f>K4/$K$2</f>
        <v>0.52800000000000002</v>
      </c>
    </row>
    <row r="5" spans="4:17" x14ac:dyDescent="0.25">
      <c r="D5" s="60"/>
      <c r="E5" s="8" t="s">
        <v>41</v>
      </c>
      <c r="F5" s="9">
        <v>2280</v>
      </c>
      <c r="G5" s="8"/>
    </row>
    <row r="6" spans="4:17" x14ac:dyDescent="0.25">
      <c r="D6" s="60"/>
      <c r="E6" s="8" t="s">
        <v>42</v>
      </c>
      <c r="F6" s="9">
        <v>2280</v>
      </c>
      <c r="G6" s="8"/>
    </row>
    <row r="7" spans="4:17" x14ac:dyDescent="0.25">
      <c r="D7" s="60" t="s">
        <v>43</v>
      </c>
      <c r="E7" s="8" t="s">
        <v>39</v>
      </c>
      <c r="F7" s="9">
        <v>2280</v>
      </c>
      <c r="G7" s="8"/>
    </row>
    <row r="8" spans="4:17" x14ac:dyDescent="0.25">
      <c r="D8" s="60"/>
      <c r="E8" s="8" t="s">
        <v>40</v>
      </c>
      <c r="F8" s="9">
        <v>2280</v>
      </c>
      <c r="G8" s="8"/>
    </row>
    <row r="9" spans="4:17" x14ac:dyDescent="0.25">
      <c r="D9" s="60"/>
      <c r="E9" s="8" t="s">
        <v>44</v>
      </c>
      <c r="F9" s="9">
        <v>2280</v>
      </c>
      <c r="G9" s="10">
        <f>F9/SUM($F$9:$F$11)</f>
        <v>0.29381443298969073</v>
      </c>
      <c r="H9" t="s">
        <v>52</v>
      </c>
    </row>
    <row r="10" spans="4:17" x14ac:dyDescent="0.25">
      <c r="D10" s="60"/>
      <c r="E10" s="8" t="s">
        <v>45</v>
      </c>
      <c r="F10" s="9">
        <v>2280</v>
      </c>
      <c r="G10" s="10">
        <f t="shared" ref="G10:G11" si="0">F10/SUM($F$9:$F$11)</f>
        <v>0.29381443298969073</v>
      </c>
      <c r="H10" t="s">
        <v>53</v>
      </c>
    </row>
    <row r="11" spans="4:17" x14ac:dyDescent="0.25">
      <c r="D11" s="60"/>
      <c r="E11" s="8" t="s">
        <v>46</v>
      </c>
      <c r="F11" s="9">
        <v>3200</v>
      </c>
      <c r="G11" s="10">
        <f t="shared" si="0"/>
        <v>0.41237113402061853</v>
      </c>
      <c r="H11" t="s">
        <v>54</v>
      </c>
    </row>
    <row r="12" spans="4:17" x14ac:dyDescent="0.25">
      <c r="O12" t="s">
        <v>34</v>
      </c>
      <c r="P12" s="11">
        <f>$K$14/2</f>
        <v>36228.488496340258</v>
      </c>
      <c r="Q12" t="s">
        <v>1</v>
      </c>
    </row>
    <row r="14" spans="4:17" x14ac:dyDescent="0.25">
      <c r="J14" t="s">
        <v>29</v>
      </c>
      <c r="K14" s="11">
        <f>N3*D17</f>
        <v>72456.976992680517</v>
      </c>
      <c r="L14" t="s">
        <v>1</v>
      </c>
    </row>
    <row r="15" spans="4:17" x14ac:dyDescent="0.25">
      <c r="O15" t="s">
        <v>35</v>
      </c>
      <c r="P15" s="11">
        <f>$K$14/2</f>
        <v>36228.488496340258</v>
      </c>
      <c r="Q15" t="s">
        <v>1</v>
      </c>
    </row>
    <row r="17" spans="3:17" x14ac:dyDescent="0.25">
      <c r="C17" t="s">
        <v>28</v>
      </c>
      <c r="D17" s="7">
        <f>RWBT!J17</f>
        <v>153510.54447601805</v>
      </c>
      <c r="E17" s="1" t="s">
        <v>1</v>
      </c>
    </row>
    <row r="23" spans="3:17" x14ac:dyDescent="0.25">
      <c r="O23" t="s">
        <v>31</v>
      </c>
      <c r="P23" s="11">
        <f>$K$25*G9</f>
        <v>23814.707971908454</v>
      </c>
      <c r="Q23" t="s">
        <v>1</v>
      </c>
    </row>
    <row r="25" spans="3:17" x14ac:dyDescent="0.25">
      <c r="J25" t="s">
        <v>30</v>
      </c>
      <c r="K25" s="11">
        <f>N4*D17</f>
        <v>81053.567483337538</v>
      </c>
      <c r="L25" t="s">
        <v>1</v>
      </c>
    </row>
    <row r="27" spans="3:17" x14ac:dyDescent="0.25">
      <c r="O27" t="s">
        <v>32</v>
      </c>
      <c r="P27" s="11">
        <f>$K$25*G10</f>
        <v>23814.707971908454</v>
      </c>
      <c r="Q27" t="s">
        <v>1</v>
      </c>
    </row>
    <row r="29" spans="3:17" x14ac:dyDescent="0.25">
      <c r="G29" s="23" t="s">
        <v>78</v>
      </c>
    </row>
    <row r="30" spans="3:17" x14ac:dyDescent="0.25">
      <c r="G30" s="5">
        <f>D17-(SUM(P9:P31))</f>
        <v>0</v>
      </c>
    </row>
    <row r="31" spans="3:17" x14ac:dyDescent="0.25">
      <c r="O31" t="s">
        <v>33</v>
      </c>
      <c r="P31" s="11">
        <f>$K$25*G11</f>
        <v>33424.15153952063</v>
      </c>
      <c r="Q31" t="s">
        <v>1</v>
      </c>
    </row>
    <row r="32" spans="3:17" x14ac:dyDescent="0.25">
      <c r="K32" s="5"/>
    </row>
    <row r="48" spans="3:3" x14ac:dyDescent="0.25">
      <c r="C48" s="23" t="s">
        <v>68</v>
      </c>
    </row>
    <row r="49" spans="3:18" ht="15.75" thickBot="1" x14ac:dyDescent="0.3"/>
    <row r="50" spans="3:18" x14ac:dyDescent="0.25"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 t="s">
        <v>34</v>
      </c>
      <c r="P50" s="16">
        <f>$K$14/2</f>
        <v>36228.488496340258</v>
      </c>
      <c r="Q50" s="15" t="s">
        <v>1</v>
      </c>
      <c r="R50" s="17"/>
    </row>
    <row r="51" spans="3:18" x14ac:dyDescent="0.25">
      <c r="C51" s="18"/>
      <c r="R51" s="19"/>
    </row>
    <row r="52" spans="3:18" x14ac:dyDescent="0.25">
      <c r="C52" s="18"/>
      <c r="J52" t="s">
        <v>29</v>
      </c>
      <c r="K52" s="13">
        <f>D55-K63</f>
        <v>72456.976992680517</v>
      </c>
      <c r="L52" t="s">
        <v>1</v>
      </c>
      <c r="R52" s="19"/>
    </row>
    <row r="53" spans="3:18" x14ac:dyDescent="0.25">
      <c r="C53" s="18"/>
      <c r="O53" t="s">
        <v>35</v>
      </c>
      <c r="P53" s="11">
        <f>$K$14/2</f>
        <v>36228.488496340258</v>
      </c>
      <c r="Q53" t="s">
        <v>1</v>
      </c>
      <c r="R53" s="19"/>
    </row>
    <row r="54" spans="3:18" x14ac:dyDescent="0.25">
      <c r="C54" s="18"/>
      <c r="R54" s="19"/>
    </row>
    <row r="55" spans="3:18" x14ac:dyDescent="0.25">
      <c r="C55" s="18" t="s">
        <v>28</v>
      </c>
      <c r="D55" s="7">
        <f>'Recycle iMB'!E29</f>
        <v>153510.54447601805</v>
      </c>
      <c r="E55" s="1" t="s">
        <v>1</v>
      </c>
      <c r="R55" s="19"/>
    </row>
    <row r="56" spans="3:18" x14ac:dyDescent="0.25">
      <c r="C56" s="18"/>
      <c r="R56" s="19"/>
    </row>
    <row r="57" spans="3:18" x14ac:dyDescent="0.25">
      <c r="C57" s="18"/>
      <c r="R57" s="19"/>
    </row>
    <row r="58" spans="3:18" x14ac:dyDescent="0.25">
      <c r="C58" s="18"/>
      <c r="R58" s="19"/>
    </row>
    <row r="59" spans="3:18" x14ac:dyDescent="0.25">
      <c r="C59" s="18"/>
      <c r="R59" s="19"/>
    </row>
    <row r="60" spans="3:18" x14ac:dyDescent="0.25">
      <c r="C60" s="18"/>
      <c r="R60" s="19"/>
    </row>
    <row r="61" spans="3:18" x14ac:dyDescent="0.25">
      <c r="C61" s="18"/>
      <c r="O61" t="s">
        <v>31</v>
      </c>
      <c r="P61" s="11">
        <f>$K$25*G9</f>
        <v>23814.707971908454</v>
      </c>
      <c r="Q61" t="s">
        <v>1</v>
      </c>
      <c r="R61" s="19"/>
    </row>
    <row r="62" spans="3:18" x14ac:dyDescent="0.25">
      <c r="C62" s="18"/>
      <c r="R62" s="19"/>
    </row>
    <row r="63" spans="3:18" x14ac:dyDescent="0.25">
      <c r="C63" s="18"/>
      <c r="J63" t="s">
        <v>30</v>
      </c>
      <c r="K63" s="13">
        <f>'Recycle iMB'!G29</f>
        <v>81053.567483337538</v>
      </c>
      <c r="L63" t="s">
        <v>1</v>
      </c>
      <c r="R63" s="19"/>
    </row>
    <row r="64" spans="3:18" x14ac:dyDescent="0.25">
      <c r="C64" s="18"/>
      <c r="R64" s="19"/>
    </row>
    <row r="65" spans="3:18" x14ac:dyDescent="0.25">
      <c r="C65" s="18"/>
      <c r="O65" t="s">
        <v>32</v>
      </c>
      <c r="P65" s="11">
        <f>$K$25*G10</f>
        <v>23814.707971908454</v>
      </c>
      <c r="Q65" t="s">
        <v>1</v>
      </c>
      <c r="R65" s="19"/>
    </row>
    <row r="66" spans="3:18" x14ac:dyDescent="0.25">
      <c r="C66" s="18"/>
      <c r="R66" s="19"/>
    </row>
    <row r="67" spans="3:18" x14ac:dyDescent="0.25">
      <c r="C67" s="18"/>
      <c r="R67" s="19"/>
    </row>
    <row r="68" spans="3:18" x14ac:dyDescent="0.25">
      <c r="C68" s="18"/>
      <c r="R68" s="19"/>
    </row>
    <row r="69" spans="3:18" x14ac:dyDescent="0.25">
      <c r="C69" s="18"/>
      <c r="O69" t="s">
        <v>33</v>
      </c>
      <c r="P69" s="11">
        <f>$K$25*G11</f>
        <v>33424.15153952063</v>
      </c>
      <c r="Q69" t="s">
        <v>1</v>
      </c>
      <c r="R69" s="19"/>
    </row>
    <row r="70" spans="3:18" x14ac:dyDescent="0.25">
      <c r="C70" s="18"/>
      <c r="G70" s="23" t="s">
        <v>78</v>
      </c>
      <c r="R70" s="19"/>
    </row>
    <row r="71" spans="3:18" x14ac:dyDescent="0.25">
      <c r="C71" s="18"/>
      <c r="G71" s="5">
        <f>D55-(SUM(P50:P72))</f>
        <v>0</v>
      </c>
      <c r="K71" t="s">
        <v>79</v>
      </c>
      <c r="R71" s="19"/>
    </row>
    <row r="72" spans="3:18" x14ac:dyDescent="0.25">
      <c r="C72" s="18"/>
      <c r="K72" s="5">
        <f>'Recycle iMB'!C29</f>
        <v>46317.744476018066</v>
      </c>
      <c r="R72" s="19"/>
    </row>
    <row r="73" spans="3:18" x14ac:dyDescent="0.25">
      <c r="C73" s="18"/>
      <c r="R73" s="19"/>
    </row>
    <row r="74" spans="3:18" ht="15.75" thickBot="1" x14ac:dyDescent="0.3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2"/>
    </row>
  </sheetData>
  <mergeCells count="2">
    <mergeCell ref="D3:D6"/>
    <mergeCell ref="D7:D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C351-16C8-42A4-87E7-BCE9A8BBAFF0}">
  <dimension ref="D5:M16"/>
  <sheetViews>
    <sheetView workbookViewId="0">
      <selection activeCell="D5" sqref="D5:F5"/>
    </sheetView>
  </sheetViews>
  <sheetFormatPr defaultRowHeight="15" x14ac:dyDescent="0.25"/>
  <cols>
    <col min="4" max="4" width="14.7109375" bestFit="1" customWidth="1"/>
    <col min="11" max="11" width="16.140625" bestFit="1" customWidth="1"/>
  </cols>
  <sheetData>
    <row r="5" spans="4:13" x14ac:dyDescent="0.25">
      <c r="D5" t="s">
        <v>29</v>
      </c>
      <c r="E5" s="11">
        <f>'Splitter1,2,3 + Recycle'!K14</f>
        <v>72456.976992680517</v>
      </c>
      <c r="F5" t="s">
        <v>1</v>
      </c>
      <c r="K5" t="s">
        <v>55</v>
      </c>
      <c r="L5" s="11">
        <f>E5</f>
        <v>72456.976992680517</v>
      </c>
      <c r="M5" t="s">
        <v>1</v>
      </c>
    </row>
    <row r="7" spans="4:13" x14ac:dyDescent="0.25">
      <c r="D7" t="s">
        <v>34</v>
      </c>
      <c r="E7" s="11">
        <f>'Splitter1,2,3 + Recycle'!P12</f>
        <v>36228.488496340258</v>
      </c>
      <c r="F7" t="s">
        <v>1</v>
      </c>
    </row>
    <row r="9" spans="4:13" x14ac:dyDescent="0.25">
      <c r="D9" t="s">
        <v>35</v>
      </c>
      <c r="E9" s="11">
        <f>'Splitter1,2,3 + Recycle'!P15</f>
        <v>36228.488496340258</v>
      </c>
      <c r="F9" t="s">
        <v>1</v>
      </c>
    </row>
    <row r="15" spans="4:13" x14ac:dyDescent="0.25">
      <c r="H15" s="23" t="s">
        <v>78</v>
      </c>
    </row>
    <row r="16" spans="4:13" x14ac:dyDescent="0.25">
      <c r="H16">
        <f>E5-L5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26acc6674aee07967c2d3d69ead0933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97dfe1ac631c29bddd4259cfe71274c0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2026-02-09T00:00:00+00:00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epr-fp3137gf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FP3137GF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Biogen (UK)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2026-02-09T00:00:00+00:00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EPR/FP3137GF/V009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NN10 0SQ</FacilityAddressPostcode>
    <TaxCatchAll xmlns="662745e8-e224-48e8-a2e3-254862b8c2f5">
      <Value>181</Value>
      <Value>12</Value>
      <Value>10</Value>
      <Value>9</Value>
      <Value>38</Value>
    </TaxCatchAll>
    <ExternalAuthor xmlns="eebef177-55b5-4448-a5fb-28ea454417ee">BIOGEN (UK) LIMITED</ExternalAuthor>
    <SiteName xmlns="eebef177-55b5-4448-a5fb-28ea454417ee">Westwood Anaerobic Digestion Plant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lcf76f155ced4ddcb4097134ff3c332f xmlns="f2b7f3ca-46f3-45f8-8338-025c3a7cf089">
      <Terms xmlns="http://schemas.microsoft.com/office/infopath/2007/PartnerControls"/>
    </lcf76f155ced4ddcb4097134ff3c332f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Westwood AD Plant  Bedford Road   Rushden  Northants. NN10 0SQ</FacilityAddress>
  </documentManagement>
</p:properties>
</file>

<file path=customXml/itemProps1.xml><?xml version="1.0" encoding="utf-8"?>
<ds:datastoreItem xmlns:ds="http://schemas.openxmlformats.org/officeDocument/2006/customXml" ds:itemID="{2B489314-F377-41B7-99F2-D473A3138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C9E8E-9618-4223-A77C-1155A295F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f2b7f3ca-46f3-45f8-8338-025c3a7cf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4A4EF-BDF9-4314-955A-A1E1A8FACF54}">
  <ds:schemaRefs>
    <ds:schemaRef ds:uri="http://schemas.microsoft.com/office/2006/metadata/properties"/>
    <ds:schemaRef ds:uri="eebef177-55b5-4448-a5fb-28ea454417ee"/>
    <ds:schemaRef ds:uri="http://purl.org/dc/terms/"/>
    <ds:schemaRef ds:uri="662745e8-e224-48e8-a2e3-254862b8c2f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f2b7f3ca-46f3-45f8-8338-025c3a7cf089"/>
    <ds:schemaRef ds:uri="5ffd8e36-f429-4edc-ab50-c5be84842779"/>
    <ds:schemaRef ds:uri="8595a0ec-c146-4eeb-925a-270f4bc4be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Gas Mass Balance Diagram</vt:lpstr>
      <vt:lpstr>Gas</vt:lpstr>
      <vt:lpstr>G2G</vt:lpstr>
      <vt:lpstr>Waste In</vt:lpstr>
      <vt:lpstr>Depack</vt:lpstr>
      <vt:lpstr>AD Feedstock</vt:lpstr>
      <vt:lpstr>RWBT</vt:lpstr>
      <vt:lpstr>Splitter1,2,3 + Recycle</vt:lpstr>
      <vt:lpstr>CHP Digesters</vt:lpstr>
      <vt:lpstr>G2G Digesters</vt:lpstr>
      <vt:lpstr>Recycle iMB</vt:lpstr>
      <vt:lpstr>Mixer1</vt:lpstr>
      <vt:lpstr>Pasteurisers</vt:lpstr>
      <vt:lpstr>Borger</vt:lpstr>
      <vt:lpstr>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Viraj Vora</dc:creator>
  <cp:lastModifiedBy>Joel Robson</cp:lastModifiedBy>
  <dcterms:created xsi:type="dcterms:W3CDTF">2025-11-28T16:11:42Z</dcterms:created>
  <dcterms:modified xsi:type="dcterms:W3CDTF">2026-05-15T11:34:10Z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