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jr000055\Downloads\"/>
    </mc:Choice>
  </mc:AlternateContent>
  <xr:revisionPtr revIDLastSave="0" documentId="8_{4377FD28-B27C-4E6A-A399-82ADF49D7049}" xr6:coauthVersionLast="47" xr6:coauthVersionMax="47" xr10:uidLastSave="{00000000-0000-0000-0000-000000000000}"/>
  <bookViews>
    <workbookView xWindow="-120" yWindow="-120" windowWidth="29040" windowHeight="15720" xr2:uid="{D7DE4442-A5FD-4073-895C-7FDE72B5557C}"/>
  </bookViews>
  <sheets>
    <sheet name="Front Page" sheetId="5" r:id="rId1"/>
    <sheet name="Instructions" sheetId="7" r:id="rId2"/>
    <sheet name="Site Specific RA" sheetId="1" r:id="rId3"/>
    <sheet name="Overall RA" sheetId="6" r:id="rId4"/>
    <sheet name="Appendices" sheetId="3" r:id="rId5"/>
    <sheet name="Indicators" sheetId="4" r:id="rId6"/>
  </sheets>
  <externalReferences>
    <externalReference r:id="rId7"/>
    <externalReference r:id="rId8"/>
  </externalReferences>
  <definedNames>
    <definedName name="_Hlk162961077" localSheetId="3">'Overall RA'!$A$113</definedName>
    <definedName name="_Hlk168837315" localSheetId="3">'Overall RA'!$A$85</definedName>
    <definedName name="_Hlk175153403" localSheetId="3">'Overall RA'!$A$205</definedName>
    <definedName name="_Hlk175223899" localSheetId="2">'Site Specific RA'!#REF!</definedName>
    <definedName name="_Hlk175224013" localSheetId="2">'Site Specific RA'!#REF!</definedName>
    <definedName name="_Hlk175224090" localSheetId="3">'Overall RA'!$A$171</definedName>
    <definedName name="_Hlk175224439" localSheetId="2">'Site Specific RA'!#REF!</definedName>
    <definedName name="_Ref161038773" localSheetId="3">'Overall RA'!$A$110</definedName>
    <definedName name="_Toc176344442" localSheetId="3">'Overall RA'!$A$75</definedName>
    <definedName name="_Toc176344443" localSheetId="3">'Overall RA'!$A$149</definedName>
    <definedName name="_Toc176344444" localSheetId="3">'Overall RA'!$A$169</definedName>
    <definedName name="_Toc176344445" localSheetId="3">'Overall RA'!$A$193</definedName>
    <definedName name="_Toc176344446" localSheetId="3">'Overall RA'!$A$213</definedName>
    <definedName name="_Toc176344447" localSheetId="3">'Overall RA'!$A$235</definedName>
    <definedName name="_Toc176344448" localSheetId="3">'Overall RA'!$A$267</definedName>
    <definedName name="_Toc176344449" localSheetId="3">'Overall RA'!$A$284</definedName>
    <definedName name="_Toc176344450" localSheetId="3">'Overall RA'!$A$310</definedName>
    <definedName name="_Toc176344451" localSheetId="3">'Overall RA'!$A$357</definedName>
  </definedName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1" l="1"/>
  <c r="M56" i="1"/>
  <c r="O56" i="1"/>
  <c r="L56" i="1"/>
  <c r="H56" i="1"/>
  <c r="N55" i="1"/>
  <c r="M55" i="1"/>
  <c r="O55" i="1"/>
  <c r="L55" i="1"/>
  <c r="H55" i="1"/>
  <c r="N54" i="1"/>
  <c r="M54" i="1"/>
  <c r="O54" i="1"/>
  <c r="L54" i="1"/>
  <c r="H54" i="1"/>
  <c r="O53" i="1"/>
  <c r="N53" i="1"/>
  <c r="M53" i="1"/>
  <c r="L53" i="1"/>
  <c r="H53" i="1"/>
  <c r="N52" i="1"/>
  <c r="M52" i="1"/>
  <c r="O52" i="1"/>
  <c r="L52" i="1"/>
  <c r="H52" i="1"/>
  <c r="N51" i="1"/>
  <c r="M51" i="1"/>
  <c r="O51" i="1"/>
  <c r="L51" i="1"/>
  <c r="H51" i="1"/>
  <c r="N50" i="1"/>
  <c r="O50" i="1"/>
  <c r="M50" i="1"/>
  <c r="L50" i="1"/>
  <c r="H50" i="1"/>
  <c r="N49" i="1"/>
  <c r="M49" i="1"/>
  <c r="O49" i="1"/>
  <c r="L49" i="1"/>
  <c r="H49" i="1"/>
  <c r="N48" i="1"/>
  <c r="M48" i="1"/>
  <c r="O48" i="1"/>
  <c r="L48" i="1"/>
  <c r="H48" i="1"/>
  <c r="N47" i="1"/>
  <c r="O47" i="1"/>
  <c r="M47" i="1"/>
  <c r="L47" i="1"/>
  <c r="H47" i="1"/>
  <c r="N46" i="1"/>
  <c r="M46" i="1"/>
  <c r="O46" i="1"/>
  <c r="L46" i="1"/>
  <c r="H46" i="1"/>
  <c r="N45" i="1"/>
  <c r="M45" i="1"/>
  <c r="O45" i="1"/>
  <c r="L45" i="1"/>
  <c r="H45" i="1"/>
  <c r="N44" i="1"/>
  <c r="M44" i="1"/>
  <c r="O44" i="1"/>
  <c r="L44" i="1"/>
  <c r="H44" i="1"/>
  <c r="N43" i="1"/>
  <c r="M43" i="1"/>
  <c r="O43" i="1"/>
  <c r="L43" i="1"/>
  <c r="H43" i="1"/>
  <c r="N42" i="1"/>
  <c r="O42" i="1"/>
  <c r="M42" i="1"/>
  <c r="L42" i="1"/>
  <c r="H42" i="1"/>
  <c r="N41" i="1"/>
  <c r="M41" i="1"/>
  <c r="O41" i="1"/>
  <c r="L41" i="1"/>
  <c r="H41" i="1"/>
  <c r="N40" i="1"/>
  <c r="M40" i="1"/>
  <c r="O40" i="1"/>
  <c r="L40" i="1"/>
  <c r="H40" i="1"/>
  <c r="N39" i="1"/>
  <c r="O39" i="1"/>
  <c r="M39" i="1"/>
  <c r="L39" i="1"/>
  <c r="H39" i="1"/>
  <c r="N38" i="1"/>
  <c r="M38" i="1"/>
  <c r="O38" i="1"/>
  <c r="L38" i="1"/>
  <c r="H38" i="1"/>
  <c r="N37" i="1"/>
  <c r="M37" i="1"/>
  <c r="O37" i="1"/>
  <c r="L37" i="1"/>
  <c r="H37" i="1"/>
  <c r="N36" i="1"/>
  <c r="M36" i="1"/>
  <c r="O36" i="1"/>
  <c r="L36" i="1"/>
  <c r="H36" i="1"/>
  <c r="N35" i="1"/>
  <c r="M35" i="1"/>
  <c r="O35" i="1"/>
  <c r="L35" i="1"/>
  <c r="H35" i="1"/>
  <c r="O34" i="1"/>
  <c r="N34" i="1"/>
  <c r="M34" i="1"/>
  <c r="L34" i="1"/>
  <c r="H34" i="1"/>
  <c r="N33" i="1"/>
  <c r="M33" i="1"/>
  <c r="O33" i="1"/>
  <c r="L33" i="1"/>
  <c r="H33" i="1"/>
  <c r="N32" i="1"/>
  <c r="M32" i="1"/>
  <c r="O32" i="1"/>
  <c r="L32" i="1"/>
  <c r="H32" i="1"/>
  <c r="N31" i="1"/>
  <c r="O31" i="1"/>
  <c r="M31" i="1"/>
  <c r="L31" i="1"/>
  <c r="H31" i="1"/>
  <c r="N30" i="1"/>
  <c r="M30" i="1"/>
  <c r="O30" i="1"/>
  <c r="L30" i="1"/>
  <c r="H30" i="1"/>
  <c r="N29" i="1"/>
  <c r="M29" i="1"/>
  <c r="O29" i="1"/>
  <c r="L29" i="1"/>
  <c r="H29" i="1"/>
  <c r="N28" i="1"/>
  <c r="M28" i="1"/>
  <c r="O28" i="1"/>
  <c r="L28" i="1"/>
  <c r="H28" i="1"/>
  <c r="N27" i="1"/>
  <c r="M27" i="1"/>
  <c r="O27" i="1"/>
  <c r="L27" i="1"/>
  <c r="H27" i="1"/>
  <c r="O26" i="1"/>
  <c r="N26" i="1"/>
  <c r="M26" i="1"/>
  <c r="L26" i="1"/>
  <c r="H26" i="1"/>
  <c r="N25" i="1"/>
  <c r="M25" i="1"/>
  <c r="O25" i="1"/>
  <c r="L25" i="1"/>
  <c r="H25" i="1"/>
  <c r="N24" i="1"/>
  <c r="M24" i="1"/>
  <c r="O24" i="1"/>
  <c r="L24" i="1"/>
  <c r="H24" i="1"/>
  <c r="N23" i="1"/>
  <c r="O23" i="1"/>
  <c r="M23" i="1"/>
  <c r="L23" i="1"/>
  <c r="H23" i="1"/>
  <c r="N22" i="1"/>
  <c r="M22" i="1"/>
  <c r="O22" i="1"/>
  <c r="L22" i="1"/>
  <c r="H22" i="1"/>
  <c r="E7" i="1"/>
  <c r="E5" i="1"/>
  <c r="D1" i="1"/>
  <c r="H56" i="5"/>
  <c r="F56" i="5"/>
  <c r="E56" i="5"/>
  <c r="F53" i="5"/>
  <c r="E53" i="5"/>
  <c r="F50" i="5"/>
  <c r="L50" i="5"/>
  <c r="F47" i="5"/>
  <c r="L47" i="5"/>
  <c r="F44" i="5"/>
  <c r="L44" i="5"/>
  <c r="F43" i="5"/>
  <c r="E43" i="5"/>
  <c r="F42" i="5"/>
  <c r="L42" i="5"/>
  <c r="K39" i="5"/>
  <c r="I39" i="5"/>
  <c r="H39" i="5"/>
  <c r="F39" i="5"/>
  <c r="L39" i="5"/>
  <c r="K38" i="5"/>
  <c r="J38" i="5"/>
  <c r="I38" i="5"/>
  <c r="H38" i="5"/>
  <c r="F38" i="5"/>
  <c r="L38" i="5"/>
  <c r="K37" i="5"/>
  <c r="J37" i="5"/>
  <c r="I37" i="5"/>
  <c r="H37" i="5"/>
  <c r="F37" i="5"/>
  <c r="E37" i="5"/>
  <c r="K34" i="5"/>
  <c r="J34" i="5"/>
  <c r="I34" i="5"/>
  <c r="H34" i="5"/>
  <c r="F34" i="5"/>
  <c r="E34" i="5"/>
  <c r="K33" i="5"/>
  <c r="J33" i="5"/>
  <c r="I33" i="5"/>
  <c r="H33" i="5"/>
  <c r="F33" i="5"/>
  <c r="E33" i="5"/>
  <c r="K32" i="5"/>
  <c r="J32" i="5"/>
  <c r="I32" i="5"/>
  <c r="H32" i="5"/>
  <c r="F32" i="5"/>
  <c r="E32" i="5"/>
  <c r="K31" i="5"/>
  <c r="J31" i="5"/>
  <c r="I31" i="5"/>
  <c r="H31" i="5"/>
  <c r="F31" i="5"/>
  <c r="E31" i="5"/>
  <c r="K28" i="5"/>
  <c r="J28" i="5"/>
  <c r="I28" i="5"/>
  <c r="H28" i="5"/>
  <c r="F28" i="5"/>
  <c r="E28" i="5"/>
  <c r="K27" i="5"/>
  <c r="J27" i="5"/>
  <c r="I27" i="5"/>
  <c r="H27" i="5"/>
  <c r="F27" i="5"/>
  <c r="E27" i="5"/>
  <c r="K26" i="5"/>
  <c r="J26" i="5"/>
  <c r="I26" i="5"/>
  <c r="H26" i="5"/>
  <c r="F26" i="5"/>
  <c r="E26" i="5"/>
  <c r="K25" i="5"/>
  <c r="J25" i="5"/>
  <c r="I25" i="5"/>
  <c r="H25" i="5"/>
  <c r="F25" i="5"/>
  <c r="E25" i="5"/>
  <c r="K24" i="5"/>
  <c r="J24" i="5"/>
  <c r="I24" i="5"/>
  <c r="H24" i="5"/>
  <c r="F24" i="5"/>
  <c r="E24" i="5"/>
  <c r="K23" i="5"/>
  <c r="J23" i="5"/>
  <c r="I23" i="5"/>
  <c r="H23" i="5"/>
  <c r="F23" i="5"/>
  <c r="E23" i="5"/>
  <c r="K22" i="5"/>
  <c r="J22" i="5"/>
  <c r="I22" i="5"/>
  <c r="H22" i="5"/>
  <c r="F22" i="5"/>
  <c r="E22" i="5"/>
  <c r="C12" i="5"/>
  <c r="C11" i="5"/>
  <c r="C9" i="5"/>
  <c r="E6" i="1"/>
  <c r="BW46" i="4"/>
  <c r="BV46" i="4"/>
  <c r="BU46" i="4"/>
  <c r="BT46" i="4"/>
  <c r="BS46" i="4"/>
  <c r="BR46" i="4"/>
  <c r="BQ46" i="4"/>
  <c r="BP46" i="4"/>
  <c r="BO46" i="4"/>
  <c r="BN46" i="4"/>
  <c r="BM46" i="4"/>
  <c r="BL46" i="4"/>
  <c r="BK46" i="4"/>
  <c r="BJ46" i="4"/>
  <c r="BI46" i="4"/>
  <c r="BH46" i="4"/>
  <c r="BG46" i="4"/>
  <c r="BF46" i="4"/>
  <c r="BE46" i="4"/>
  <c r="BD46" i="4"/>
  <c r="BC46" i="4"/>
  <c r="BB46" i="4"/>
  <c r="BA46" i="4"/>
  <c r="AZ46" i="4"/>
  <c r="AY46" i="4"/>
  <c r="AX46" i="4"/>
  <c r="AW46" i="4"/>
  <c r="AV46" i="4"/>
  <c r="AU46" i="4"/>
  <c r="AT46" i="4"/>
  <c r="AS46" i="4"/>
  <c r="AR46" i="4"/>
  <c r="AQ46" i="4"/>
  <c r="AP46" i="4"/>
  <c r="AO46" i="4"/>
  <c r="AN46" i="4"/>
  <c r="AM46" i="4"/>
  <c r="AL46" i="4"/>
  <c r="AK46" i="4"/>
  <c r="AJ46" i="4"/>
  <c r="AI46" i="4"/>
  <c r="AH46" i="4"/>
  <c r="AG46" i="4"/>
  <c r="AF46" i="4"/>
  <c r="AE46" i="4"/>
  <c r="AD46" i="4"/>
  <c r="AC46" i="4"/>
  <c r="AB46" i="4"/>
  <c r="AA46" i="4"/>
  <c r="Z46" i="4"/>
  <c r="Y46" i="4"/>
  <c r="X46" i="4"/>
  <c r="W46" i="4"/>
  <c r="V46" i="4"/>
  <c r="U46" i="4"/>
  <c r="T46" i="4"/>
  <c r="S46" i="4"/>
  <c r="R46" i="4"/>
  <c r="Q46" i="4"/>
  <c r="P46" i="4"/>
  <c r="O46" i="4"/>
  <c r="N46" i="4"/>
  <c r="M46" i="4"/>
  <c r="L46" i="4"/>
  <c r="K46" i="4"/>
  <c r="J46" i="4"/>
  <c r="I46" i="4"/>
  <c r="H46" i="4"/>
  <c r="G46" i="4"/>
  <c r="BW45" i="4"/>
  <c r="BP45" i="4"/>
  <c r="BO45" i="4"/>
  <c r="BH45" i="4"/>
  <c r="BG45" i="4"/>
  <c r="AZ45" i="4"/>
  <c r="AY45" i="4"/>
  <c r="AR45" i="4"/>
  <c r="AQ45" i="4"/>
  <c r="AJ45" i="4"/>
  <c r="AI45" i="4"/>
  <c r="AB45" i="4"/>
  <c r="AA45" i="4"/>
  <c r="T45" i="4"/>
  <c r="S45" i="4"/>
  <c r="L45" i="4"/>
  <c r="K45" i="4"/>
  <c r="BU44" i="4"/>
  <c r="BT44" i="4"/>
  <c r="BM44" i="4"/>
  <c r="BL44" i="4"/>
  <c r="BE44" i="4"/>
  <c r="BD44" i="4"/>
  <c r="AW44" i="4"/>
  <c r="AV44" i="4"/>
  <c r="AO44" i="4"/>
  <c r="AN44" i="4"/>
  <c r="AG44" i="4"/>
  <c r="AF44" i="4"/>
  <c r="Y44" i="4"/>
  <c r="X44" i="4"/>
  <c r="Q44" i="4"/>
  <c r="P44" i="4"/>
  <c r="I44" i="4"/>
  <c r="H44" i="4"/>
  <c r="BW43" i="4"/>
  <c r="BV43" i="4"/>
  <c r="BU43" i="4"/>
  <c r="BT43" i="4"/>
  <c r="BS43" i="4"/>
  <c r="BR43" i="4"/>
  <c r="BQ43" i="4"/>
  <c r="BP43" i="4"/>
  <c r="BO43" i="4"/>
  <c r="BN43" i="4"/>
  <c r="BM43" i="4"/>
  <c r="BL43" i="4"/>
  <c r="BK43" i="4"/>
  <c r="BJ43" i="4"/>
  <c r="BI43" i="4"/>
  <c r="BH43" i="4"/>
  <c r="BG43" i="4"/>
  <c r="BF43" i="4"/>
  <c r="BE43" i="4"/>
  <c r="BD43" i="4"/>
  <c r="BC43" i="4"/>
  <c r="BB43" i="4"/>
  <c r="BA43" i="4"/>
  <c r="AZ43" i="4"/>
  <c r="AY43" i="4"/>
  <c r="AX43" i="4"/>
  <c r="AW43" i="4"/>
  <c r="AV43" i="4"/>
  <c r="AU43" i="4"/>
  <c r="AT43" i="4"/>
  <c r="AS43" i="4"/>
  <c r="AR43" i="4"/>
  <c r="AQ43" i="4"/>
  <c r="AP43" i="4"/>
  <c r="AO43" i="4"/>
  <c r="AN43" i="4"/>
  <c r="AM43" i="4"/>
  <c r="AL43" i="4"/>
  <c r="AK43" i="4"/>
  <c r="AJ43" i="4"/>
  <c r="AI43" i="4"/>
  <c r="AH43" i="4"/>
  <c r="AG43" i="4"/>
  <c r="AF43" i="4"/>
  <c r="AE43" i="4"/>
  <c r="AD43" i="4"/>
  <c r="AC43" i="4"/>
  <c r="AB43" i="4"/>
  <c r="AA43" i="4"/>
  <c r="Z43" i="4"/>
  <c r="Y43" i="4"/>
  <c r="X43" i="4"/>
  <c r="W43" i="4"/>
  <c r="V43" i="4"/>
  <c r="U43" i="4"/>
  <c r="T43" i="4"/>
  <c r="S43" i="4"/>
  <c r="R43" i="4"/>
  <c r="Q43" i="4"/>
  <c r="P43" i="4"/>
  <c r="O43" i="4"/>
  <c r="N43" i="4"/>
  <c r="M43" i="4"/>
  <c r="L43" i="4"/>
  <c r="K43" i="4"/>
  <c r="J43" i="4"/>
  <c r="I43" i="4"/>
  <c r="H43" i="4"/>
  <c r="G43" i="4"/>
  <c r="BW42" i="4"/>
  <c r="BW44" i="4"/>
  <c r="BV42" i="4"/>
  <c r="BV44" i="4"/>
  <c r="BU42" i="4"/>
  <c r="BT42" i="4"/>
  <c r="BS42" i="4"/>
  <c r="BS44" i="4"/>
  <c r="BR42" i="4"/>
  <c r="BR44" i="4"/>
  <c r="BQ42" i="4"/>
  <c r="BQ44" i="4"/>
  <c r="BP42" i="4"/>
  <c r="BP44" i="4"/>
  <c r="BO42" i="4"/>
  <c r="BO44" i="4"/>
  <c r="BN42" i="4"/>
  <c r="BN44" i="4"/>
  <c r="BM42" i="4"/>
  <c r="BL42" i="4"/>
  <c r="BK42" i="4"/>
  <c r="BK44" i="4"/>
  <c r="BJ42" i="4"/>
  <c r="BJ44" i="4"/>
  <c r="BI42" i="4"/>
  <c r="BI44" i="4"/>
  <c r="BH42" i="4"/>
  <c r="BH44" i="4"/>
  <c r="BG42" i="4"/>
  <c r="BG44" i="4"/>
  <c r="BF42" i="4"/>
  <c r="BF44" i="4"/>
  <c r="BE42" i="4"/>
  <c r="BD42" i="4"/>
  <c r="BC42" i="4"/>
  <c r="BC44" i="4"/>
  <c r="BB42" i="4"/>
  <c r="BB44" i="4"/>
  <c r="BA42" i="4"/>
  <c r="BA44" i="4"/>
  <c r="AZ42" i="4"/>
  <c r="AZ44" i="4"/>
  <c r="AY42" i="4"/>
  <c r="AY44" i="4"/>
  <c r="AX42" i="4"/>
  <c r="AX44" i="4"/>
  <c r="AW42" i="4"/>
  <c r="AV42" i="4"/>
  <c r="AU42" i="4"/>
  <c r="AU44" i="4"/>
  <c r="AT42" i="4"/>
  <c r="AT44" i="4"/>
  <c r="AS42" i="4"/>
  <c r="AS44" i="4"/>
  <c r="AR42" i="4"/>
  <c r="AR44" i="4"/>
  <c r="AQ42" i="4"/>
  <c r="AQ44" i="4"/>
  <c r="AP42" i="4"/>
  <c r="AP44" i="4"/>
  <c r="AO42" i="4"/>
  <c r="AN42" i="4"/>
  <c r="AM42" i="4"/>
  <c r="AM44" i="4"/>
  <c r="AL42" i="4"/>
  <c r="AL44" i="4"/>
  <c r="AK42" i="4"/>
  <c r="AK44" i="4"/>
  <c r="AJ42" i="4"/>
  <c r="AJ44" i="4"/>
  <c r="AI42" i="4"/>
  <c r="AI44" i="4"/>
  <c r="AH42" i="4"/>
  <c r="AH44" i="4"/>
  <c r="AG42" i="4"/>
  <c r="AF42" i="4"/>
  <c r="AE42" i="4"/>
  <c r="AE44" i="4"/>
  <c r="AD42" i="4"/>
  <c r="AD44" i="4"/>
  <c r="AC42" i="4"/>
  <c r="AC44" i="4"/>
  <c r="AB42" i="4"/>
  <c r="AB44" i="4"/>
  <c r="AA42" i="4"/>
  <c r="AA44" i="4"/>
  <c r="Z42" i="4"/>
  <c r="Z44" i="4"/>
  <c r="Y42" i="4"/>
  <c r="X42" i="4"/>
  <c r="W42" i="4"/>
  <c r="W44" i="4"/>
  <c r="V42" i="4"/>
  <c r="V44" i="4"/>
  <c r="U42" i="4"/>
  <c r="U44" i="4"/>
  <c r="T42" i="4"/>
  <c r="T44" i="4"/>
  <c r="S42" i="4"/>
  <c r="S44" i="4"/>
  <c r="R42" i="4"/>
  <c r="R44" i="4"/>
  <c r="Q42" i="4"/>
  <c r="P42" i="4"/>
  <c r="O42" i="4"/>
  <c r="O44" i="4"/>
  <c r="N42" i="4"/>
  <c r="N44" i="4"/>
  <c r="M42" i="4"/>
  <c r="M44" i="4"/>
  <c r="L42" i="4"/>
  <c r="L44" i="4"/>
  <c r="K42" i="4"/>
  <c r="K44" i="4"/>
  <c r="J42" i="4"/>
  <c r="J44" i="4"/>
  <c r="I42" i="4"/>
  <c r="H42" i="4"/>
  <c r="G42" i="4"/>
  <c r="G44" i="4"/>
  <c r="BW41" i="4"/>
  <c r="BV41" i="4"/>
  <c r="BV45" i="4"/>
  <c r="BU41" i="4"/>
  <c r="BU45" i="4"/>
  <c r="BT41" i="4"/>
  <c r="BT45" i="4"/>
  <c r="BS41" i="4"/>
  <c r="BS45" i="4"/>
  <c r="BR41" i="4"/>
  <c r="BR45" i="4"/>
  <c r="BQ41" i="4"/>
  <c r="BQ45" i="4"/>
  <c r="BP41" i="4"/>
  <c r="BO41" i="4"/>
  <c r="BN41" i="4"/>
  <c r="BN45" i="4"/>
  <c r="BM41" i="4"/>
  <c r="BM45" i="4"/>
  <c r="BL41" i="4"/>
  <c r="BL45" i="4"/>
  <c r="BK41" i="4"/>
  <c r="BK45" i="4"/>
  <c r="BJ41" i="4"/>
  <c r="BJ45" i="4"/>
  <c r="BI41" i="4"/>
  <c r="BI45" i="4"/>
  <c r="BH41" i="4"/>
  <c r="BG41" i="4"/>
  <c r="BF41" i="4"/>
  <c r="BF45" i="4"/>
  <c r="BE41" i="4"/>
  <c r="BE45" i="4"/>
  <c r="BD41" i="4"/>
  <c r="BD45" i="4"/>
  <c r="BC41" i="4"/>
  <c r="BC45" i="4"/>
  <c r="BB41" i="4"/>
  <c r="BB45" i="4"/>
  <c r="BA41" i="4"/>
  <c r="BA45" i="4"/>
  <c r="AZ41" i="4"/>
  <c r="AY41" i="4"/>
  <c r="AX41" i="4"/>
  <c r="AX45" i="4"/>
  <c r="AW41" i="4"/>
  <c r="AW45" i="4"/>
  <c r="AV41" i="4"/>
  <c r="AV45" i="4"/>
  <c r="AU41" i="4"/>
  <c r="AU45" i="4"/>
  <c r="AT41" i="4"/>
  <c r="AT45" i="4"/>
  <c r="AS41" i="4"/>
  <c r="AS45" i="4"/>
  <c r="AR41" i="4"/>
  <c r="AQ41" i="4"/>
  <c r="AP41" i="4"/>
  <c r="AP45" i="4"/>
  <c r="AO41" i="4"/>
  <c r="AO45" i="4"/>
  <c r="AN41" i="4"/>
  <c r="AN45" i="4"/>
  <c r="AM41" i="4"/>
  <c r="AM45" i="4"/>
  <c r="AL41" i="4"/>
  <c r="AL45" i="4"/>
  <c r="AK41" i="4"/>
  <c r="AK45" i="4"/>
  <c r="AJ41" i="4"/>
  <c r="AI41" i="4"/>
  <c r="AH41" i="4"/>
  <c r="AH45" i="4"/>
  <c r="AG41" i="4"/>
  <c r="AG45" i="4"/>
  <c r="AF41" i="4"/>
  <c r="AF45" i="4"/>
  <c r="AE41" i="4"/>
  <c r="AE45" i="4"/>
  <c r="AD41" i="4"/>
  <c r="AD45" i="4"/>
  <c r="AC41" i="4"/>
  <c r="AC45" i="4"/>
  <c r="AB41" i="4"/>
  <c r="AA41" i="4"/>
  <c r="Z41" i="4"/>
  <c r="Z45" i="4"/>
  <c r="Y41" i="4"/>
  <c r="Y45" i="4"/>
  <c r="X41" i="4"/>
  <c r="X45" i="4"/>
  <c r="W41" i="4"/>
  <c r="W45" i="4"/>
  <c r="V41" i="4"/>
  <c r="V45" i="4"/>
  <c r="U41" i="4"/>
  <c r="U45" i="4"/>
  <c r="T41" i="4"/>
  <c r="S41" i="4"/>
  <c r="R41" i="4"/>
  <c r="R45" i="4"/>
  <c r="Q41" i="4"/>
  <c r="Q45" i="4"/>
  <c r="P41" i="4"/>
  <c r="P45" i="4"/>
  <c r="O41" i="4"/>
  <c r="O45" i="4"/>
  <c r="N41" i="4"/>
  <c r="N45" i="4"/>
  <c r="M41" i="4"/>
  <c r="M45" i="4"/>
  <c r="L41" i="4"/>
  <c r="K41" i="4"/>
  <c r="J41" i="4"/>
  <c r="J45" i="4"/>
  <c r="I41" i="4"/>
  <c r="I45" i="4"/>
  <c r="H41" i="4"/>
  <c r="H45" i="4"/>
  <c r="G41" i="4"/>
  <c r="G45" i="4"/>
  <c r="L56" i="5"/>
  <c r="L22" i="5"/>
  <c r="L32" i="5"/>
  <c r="L23" i="5"/>
  <c r="L53" i="5"/>
  <c r="L33" i="5"/>
  <c r="L43" i="5"/>
  <c r="L31" i="5"/>
  <c r="L24" i="5"/>
  <c r="L28" i="5"/>
  <c r="L34" i="5"/>
  <c r="L25" i="5"/>
  <c r="L27" i="5"/>
  <c r="L26" i="5"/>
  <c r="D32" i="1"/>
  <c r="L37" i="5"/>
  <c r="AB26" i="7"/>
  <c r="AB25" i="7"/>
  <c r="AB24" i="7"/>
  <c r="AB23" i="7"/>
  <c r="AB22" i="7"/>
  <c r="AB21" i="7"/>
  <c r="AB20" i="7"/>
  <c r="AB19" i="7"/>
  <c r="AB18" i="7"/>
  <c r="AB17" i="7"/>
  <c r="AB16" i="7"/>
  <c r="AB15" i="7"/>
  <c r="AB14" i="7"/>
  <c r="AB13" i="7"/>
  <c r="AB12" i="7"/>
  <c r="AB11" i="7"/>
  <c r="X13" i="7"/>
  <c r="X14" i="7"/>
  <c r="X15" i="7"/>
  <c r="AC15" i="7"/>
  <c r="AD15" i="7"/>
  <c r="X16" i="7"/>
  <c r="X17" i="7"/>
  <c r="X18" i="7"/>
  <c r="X19" i="7"/>
  <c r="X20" i="7"/>
  <c r="X21" i="7"/>
  <c r="X22" i="7"/>
  <c r="AC22" i="7"/>
  <c r="AD22" i="7"/>
  <c r="X23" i="7"/>
  <c r="AC23" i="7"/>
  <c r="AD23" i="7"/>
  <c r="X24" i="7"/>
  <c r="AC24" i="7"/>
  <c r="AD24" i="7"/>
  <c r="X25" i="7"/>
  <c r="X26" i="7"/>
  <c r="X12" i="7"/>
  <c r="X11" i="7"/>
  <c r="G44" i="5"/>
  <c r="G42" i="5"/>
  <c r="G47" i="5"/>
  <c r="G39" i="5"/>
  <c r="C16" i="5"/>
  <c r="G38" i="5"/>
  <c r="P28" i="5"/>
  <c r="P27" i="5"/>
  <c r="P26" i="5"/>
  <c r="P25" i="5"/>
  <c r="P24" i="5"/>
  <c r="P23" i="5"/>
  <c r="D37" i="1"/>
  <c r="D33" i="1"/>
  <c r="D31" i="1"/>
  <c r="AC26" i="7"/>
  <c r="AD26" i="7"/>
  <c r="AC18" i="7"/>
  <c r="AD18" i="7"/>
  <c r="AC25" i="7"/>
  <c r="AD25" i="7"/>
  <c r="AC17" i="7"/>
  <c r="AD17" i="7"/>
  <c r="G32" i="5"/>
  <c r="AC14" i="7"/>
  <c r="AD14" i="7"/>
  <c r="AC21" i="7"/>
  <c r="AD21" i="7"/>
  <c r="AC11" i="7"/>
  <c r="AD11" i="7"/>
  <c r="AC12" i="7"/>
  <c r="AD12" i="7"/>
  <c r="AC16" i="7"/>
  <c r="AD16" i="7"/>
  <c r="AC19" i="7"/>
  <c r="AD19" i="7"/>
  <c r="AC20" i="7"/>
  <c r="AD20" i="7"/>
  <c r="AC13" i="7"/>
  <c r="AD13" i="7"/>
  <c r="G56" i="5"/>
  <c r="G24" i="5"/>
  <c r="G37" i="5"/>
  <c r="G26" i="5"/>
  <c r="G22" i="5"/>
  <c r="G43" i="5"/>
  <c r="G25" i="5"/>
  <c r="C14" i="5"/>
  <c r="G33" i="5"/>
  <c r="G23" i="5"/>
  <c r="G53" i="5"/>
  <c r="G31" i="5"/>
  <c r="G28" i="5"/>
  <c r="G27" i="5"/>
  <c r="G34" i="5"/>
  <c r="C15" i="5"/>
  <c r="D50" i="1"/>
</calcChain>
</file>

<file path=xl/sharedStrings.xml><?xml version="1.0" encoding="utf-8"?>
<sst xmlns="http://schemas.openxmlformats.org/spreadsheetml/2006/main" count="1458" uniqueCount="826">
  <si>
    <t>Heat &amp; Health</t>
  </si>
  <si>
    <t>1. Summer daily maximum temperature</t>
  </si>
  <si>
    <t>2. Winter daily temperatures</t>
  </si>
  <si>
    <t>Freezing pipes</t>
  </si>
  <si>
    <t>Potholes</t>
  </si>
  <si>
    <t>Precipitation &amp; Visibility</t>
  </si>
  <si>
    <t>3. Daily Extreme rainfall</t>
  </si>
  <si>
    <t>Loss of power due to flooding</t>
  </si>
  <si>
    <t>4. Average Winter Rainfall</t>
  </si>
  <si>
    <t>5. Sea Level Rise</t>
  </si>
  <si>
    <t>6. Drier Summers</t>
  </si>
  <si>
    <t>Coastal surge</t>
  </si>
  <si>
    <t>7. River Flow</t>
  </si>
  <si>
    <t>8. Storms</t>
  </si>
  <si>
    <t>9. Other</t>
  </si>
  <si>
    <t>Land subsidence</t>
  </si>
  <si>
    <t>Erosion</t>
  </si>
  <si>
    <t>Rock Fall</t>
  </si>
  <si>
    <t>Lack of Personnel</t>
  </si>
  <si>
    <t>No Immediate Site Access</t>
  </si>
  <si>
    <t>Transport &amp; Supply Chain</t>
  </si>
  <si>
    <t>Hail</t>
  </si>
  <si>
    <t>Likelihood</t>
  </si>
  <si>
    <t>Severity</t>
  </si>
  <si>
    <t>Mitigation/ Adaptation Plan</t>
  </si>
  <si>
    <t>Now</t>
  </si>
  <si>
    <t>After</t>
  </si>
  <si>
    <t>Priority Level</t>
  </si>
  <si>
    <t xml:space="preserve"> </t>
  </si>
  <si>
    <t>Pending</t>
  </si>
  <si>
    <t>Add sensitive ecological receptors 1 km</t>
  </si>
  <si>
    <t>Count of Extreme Summer Days (days)</t>
  </si>
  <si>
    <t>Summer Maximum Temperature Change (°C)</t>
  </si>
  <si>
    <t>Summer Average Temperature (°C)</t>
  </si>
  <si>
    <t>Annual Count of Summer Days 25 °C (days)</t>
  </si>
  <si>
    <t>Icing Days (days)</t>
  </si>
  <si>
    <t>Heat-stress (days/year)</t>
  </si>
  <si>
    <t>Heatwave (events/year)</t>
  </si>
  <si>
    <t>Summer Rainy Days (days/month)</t>
  </si>
  <si>
    <t>Winter Rainy Days (days/month)</t>
  </si>
  <si>
    <t>Summer Wettest Day (mm)</t>
  </si>
  <si>
    <t>Winter Wettest Day (mm)</t>
  </si>
  <si>
    <t>Wildfire (Days)</t>
  </si>
  <si>
    <t>River Runoff (%)</t>
  </si>
  <si>
    <t>Peak River Flows</t>
  </si>
  <si>
    <t>Low river flows</t>
  </si>
  <si>
    <t>Sea Level Rise</t>
  </si>
  <si>
    <t>Subsidience</t>
  </si>
  <si>
    <t>Long term flood risk</t>
  </si>
  <si>
    <t>Tropical Storms</t>
  </si>
  <si>
    <t>flood points, risk areas/ features, etc</t>
  </si>
  <si>
    <t>Site Id</t>
  </si>
  <si>
    <t>Site Name</t>
  </si>
  <si>
    <t>Postal Code</t>
  </si>
  <si>
    <t>Latitude</t>
  </si>
  <si>
    <t>Longitude</t>
  </si>
  <si>
    <t>Object Id</t>
  </si>
  <si>
    <t>CESD Now</t>
  </si>
  <si>
    <t>CESD 2 °C</t>
  </si>
  <si>
    <t>CESD 4 °C</t>
  </si>
  <si>
    <t>CESD Change 2 °C</t>
  </si>
  <si>
    <t>CESD Change 4 °C</t>
  </si>
  <si>
    <t>SMTC Now</t>
  </si>
  <si>
    <t>SMTC 2 °C</t>
  </si>
  <si>
    <t>SMTC 4 °C</t>
  </si>
  <si>
    <t>SAT Now</t>
  </si>
  <si>
    <t>SAT 2 °C</t>
  </si>
  <si>
    <t>SAT 4 °C</t>
  </si>
  <si>
    <t>SAT Change 2 °C</t>
  </si>
  <si>
    <t>SAT Change 4 °C</t>
  </si>
  <si>
    <t>ACSD Now</t>
  </si>
  <si>
    <t>ACSD 2 °C</t>
  </si>
  <si>
    <t>ACSD 4 °C</t>
  </si>
  <si>
    <t>ACSD Change 2 °C</t>
  </si>
  <si>
    <t>ACSD Change 4 °C</t>
  </si>
  <si>
    <t>ICD Now</t>
  </si>
  <si>
    <t>ICD 2 °C</t>
  </si>
  <si>
    <t>ICD 4 °C</t>
  </si>
  <si>
    <t>ICD Change 2 °C</t>
  </si>
  <si>
    <t>ICD Change 4 °C</t>
  </si>
  <si>
    <t>HS Now</t>
  </si>
  <si>
    <t>HS 2 °C</t>
  </si>
  <si>
    <t>HS 4 °C</t>
  </si>
  <si>
    <t>HS Change 2 °C</t>
  </si>
  <si>
    <t>HS Change 4 °C</t>
  </si>
  <si>
    <t>HW Now</t>
  </si>
  <si>
    <t>HW 2 °C</t>
  </si>
  <si>
    <t>HW 4 °C</t>
  </si>
  <si>
    <t>HW Change 2 °C</t>
  </si>
  <si>
    <t>HW Change 4 °C</t>
  </si>
  <si>
    <t>SRD Now</t>
  </si>
  <si>
    <t>SRD 2 °C</t>
  </si>
  <si>
    <t>SRD 4 °C</t>
  </si>
  <si>
    <t>SRD Change 2 °C</t>
  </si>
  <si>
    <t>SRD Change 4 °C</t>
  </si>
  <si>
    <t>WRD Now</t>
  </si>
  <si>
    <t>WRD 2 °C</t>
  </si>
  <si>
    <t>WRD 4 °C</t>
  </si>
  <si>
    <t>WRD Change 2 °C</t>
  </si>
  <si>
    <t>WRD Change 4 °C</t>
  </si>
  <si>
    <t>SWD Now</t>
  </si>
  <si>
    <t>SWD 2 °C</t>
  </si>
  <si>
    <t>SWD 4 °C</t>
  </si>
  <si>
    <t>SWD Change 2 °C</t>
  </si>
  <si>
    <t>SWD Change 4 °C</t>
  </si>
  <si>
    <t>WWD Now</t>
  </si>
  <si>
    <t>WWD 2 °C</t>
  </si>
  <si>
    <t>WWD 4 °C</t>
  </si>
  <si>
    <t>WWD Change 2 °C</t>
  </si>
  <si>
    <t>WWD Change 4 °C</t>
  </si>
  <si>
    <t>WF Now</t>
  </si>
  <si>
    <t>WF 2 °C</t>
  </si>
  <si>
    <t>WF 4 °C</t>
  </si>
  <si>
    <t>WF Change 2 °C</t>
  </si>
  <si>
    <t>WF Change 4 °C</t>
  </si>
  <si>
    <t>RCP8.5 - Now</t>
  </si>
  <si>
    <t>RCP8.5 - 2100</t>
  </si>
  <si>
    <t>RR Change 4 °C</t>
  </si>
  <si>
    <t>By 2050</t>
  </si>
  <si>
    <t>By 2100</t>
  </si>
  <si>
    <t>PRF Change 4 °C</t>
  </si>
  <si>
    <t>LRF Change 4 °C</t>
  </si>
  <si>
    <t>4 °C</t>
  </si>
  <si>
    <t>2 °C</t>
  </si>
  <si>
    <t>River and Marine flood Now</t>
  </si>
  <si>
    <t>Surface water 4 °C</t>
  </si>
  <si>
    <t>Riverine and marine 4 °C</t>
  </si>
  <si>
    <t>Others* 4 °C</t>
  </si>
  <si>
    <t>Elevation (lowest)</t>
  </si>
  <si>
    <t>Note: UK Geography</t>
  </si>
  <si>
    <t>Note: Site Specifics</t>
  </si>
  <si>
    <t>Flood Capacity??</t>
  </si>
  <si>
    <t>Alfreton GBR</t>
  </si>
  <si>
    <t>No Risk</t>
  </si>
  <si>
    <t>Improbable</t>
  </si>
  <si>
    <t>Low</t>
  </si>
  <si>
    <t>Medium</t>
  </si>
  <si>
    <t>Very low</t>
  </si>
  <si>
    <t>Unlikely</t>
  </si>
  <si>
    <t>Moderate to Low</t>
  </si>
  <si>
    <t>Hedges/ Trees may act as a fire hazard</t>
  </si>
  <si>
    <t>Dumfries SLS GBR</t>
  </si>
  <si>
    <t>Avonmouth GBR</t>
  </si>
  <si>
    <t>High Risk</t>
  </si>
  <si>
    <t>High</t>
  </si>
  <si>
    <t>SW England, proximity to warm Bristol Chanel and surrounded by hills means very rarely snows here</t>
  </si>
  <si>
    <t>Low points near office and main WB are at most risk of flood as drains often blocked or overwhelmed</t>
  </si>
  <si>
    <t>Hartlepool GBR</t>
  </si>
  <si>
    <t>Avonmouth Rec GBR</t>
  </si>
  <si>
    <t>Stockton GBR</t>
  </si>
  <si>
    <t>Bodmin GBR</t>
  </si>
  <si>
    <t>Hull GBR Reservoir Road</t>
  </si>
  <si>
    <t>Bristol GBR</t>
  </si>
  <si>
    <t>Hunslet GBR</t>
  </si>
  <si>
    <t>Cardiff GBR Tremorfa</t>
  </si>
  <si>
    <t>Hull GBR</t>
  </si>
  <si>
    <t>Castleford GBR</t>
  </si>
  <si>
    <t>WF10 2JU</t>
  </si>
  <si>
    <t>Barnsley GBR</t>
  </si>
  <si>
    <t>S71 3HJ</t>
  </si>
  <si>
    <t>Huddersfield GBR</t>
  </si>
  <si>
    <t>Derby GBR</t>
  </si>
  <si>
    <t>DE21 4AW</t>
  </si>
  <si>
    <t>Unlikely**</t>
  </si>
  <si>
    <t>DG2 0NR</t>
  </si>
  <si>
    <t>Stalybridge SLS GBR</t>
  </si>
  <si>
    <t>Exeter GBR</t>
  </si>
  <si>
    <t>EX2 8QT</t>
  </si>
  <si>
    <t>Low Risk</t>
  </si>
  <si>
    <t>Manchester GBR</t>
  </si>
  <si>
    <t>Halesowen GBR</t>
  </si>
  <si>
    <t>B63 2QT</t>
  </si>
  <si>
    <t>Nottingham GBR</t>
  </si>
  <si>
    <t>HU6 7QH</t>
  </si>
  <si>
    <t>Peterborough GBR</t>
  </si>
  <si>
    <t>Smethwick GBR Rabone Lane</t>
  </si>
  <si>
    <t>Smethwick Rail Head</t>
  </si>
  <si>
    <t>Smethwick Wash Plant</t>
  </si>
  <si>
    <t>Newport GBR Fridge Plant</t>
  </si>
  <si>
    <t>NP20 2WE</t>
  </si>
  <si>
    <t>Newport GBR Yard</t>
  </si>
  <si>
    <t>Long Marston ASR GBR</t>
  </si>
  <si>
    <t>NG7 2SD</t>
  </si>
  <si>
    <t>Shrubbery at bottom end could be fire risk</t>
  </si>
  <si>
    <t>Skewen GBR</t>
  </si>
  <si>
    <t>Possible</t>
  </si>
  <si>
    <t>Probable</t>
  </si>
  <si>
    <t>Plymouth GBR</t>
  </si>
  <si>
    <t>PL4 0HN</t>
  </si>
  <si>
    <t>Sheerness GBR</t>
  </si>
  <si>
    <t>Low risk</t>
  </si>
  <si>
    <t>SA10 6BL</t>
  </si>
  <si>
    <t>Multi-level so likely to run off into river?</t>
  </si>
  <si>
    <t>B66 2NZ</t>
  </si>
  <si>
    <t>Risk of subsidence on clay land</t>
  </si>
  <si>
    <t>SK15 3BY</t>
  </si>
  <si>
    <t>CV37 8AQ</t>
  </si>
  <si>
    <t>Yateley GBR</t>
  </si>
  <si>
    <t>Sittingbourne GBR</t>
  </si>
  <si>
    <t>TS18 2PF</t>
  </si>
  <si>
    <t>ME10 3SY</t>
  </si>
  <si>
    <t>Aldershot GBR</t>
  </si>
  <si>
    <t>B21 0RW</t>
  </si>
  <si>
    <t>B66 2LF</t>
  </si>
  <si>
    <t>National Indicators</t>
  </si>
  <si>
    <t>Site Climate Indicators Overview</t>
  </si>
  <si>
    <t xml:space="preserve">*When available, National average taken from same sources as site indicators </t>
  </si>
  <si>
    <t>The precautionary principle was applied when assessing Climate variables by selecting a RCP 8.5 Projection scenario</t>
  </si>
  <si>
    <t>Available Indicator*</t>
  </si>
  <si>
    <t>Metric</t>
  </si>
  <si>
    <t>Change by 2100 (4°C scenario)</t>
  </si>
  <si>
    <t>Count of Extreme Summer Days (T&gt;35 °C)</t>
  </si>
  <si>
    <t>days p.a</t>
  </si>
  <si>
    <t>Summer daily Average Temperature</t>
  </si>
  <si>
    <t>°C</t>
  </si>
  <si>
    <t>Summer mean daily Maximum Temperature</t>
  </si>
  <si>
    <t>Heat-stress</t>
  </si>
  <si>
    <t>Heatwave</t>
  </si>
  <si>
    <t>events p.a</t>
  </si>
  <si>
    <t>Wildfire (Met Office Fire Severity Index)</t>
  </si>
  <si>
    <t>Detailed Indicators</t>
  </si>
  <si>
    <t>How does it compare?</t>
  </si>
  <si>
    <t>Notes</t>
  </si>
  <si>
    <t>Changes in temp., incl. extremes</t>
  </si>
  <si>
    <t>Baseline</t>
  </si>
  <si>
    <t>4°C scenario</t>
  </si>
  <si>
    <t>Change</t>
  </si>
  <si>
    <t>Sims avg</t>
  </si>
  <si>
    <t>The climate can have a major effect on the timing of high, low or no flow events in a river channel. Maximum flows normally occur in the winter while minimum flows normally occur in the summer or autumn. Urban catchments may not conform to this pattern due to changes in land cover and runoff</t>
  </si>
  <si>
    <t>#Extreme Summer Days (T&gt;35 °C)</t>
  </si>
  <si>
    <t>#Summer Days (T&gt;25 °C)</t>
  </si>
  <si>
    <t>Summer Mean Daily Max. Temp.</t>
  </si>
  <si>
    <t>Summer Avg. Temp.</t>
  </si>
  <si>
    <t>#Icing Days</t>
  </si>
  <si>
    <t>#Heat-stress</t>
  </si>
  <si>
    <t>#Heatwave</t>
  </si>
  <si>
    <t>Change in precipitation patterns</t>
  </si>
  <si>
    <t>Summer Rainy days</t>
  </si>
  <si>
    <t>days/month</t>
  </si>
  <si>
    <t>Winter Rainy days</t>
  </si>
  <si>
    <t>Summer Wettest day rainfall</t>
  </si>
  <si>
    <t>mm</t>
  </si>
  <si>
    <t>Winter Wettest day rainfall</t>
  </si>
  <si>
    <t>Hydrological variability</t>
  </si>
  <si>
    <t>River Runoff</t>
  </si>
  <si>
    <t>% Change</t>
  </si>
  <si>
    <t>Peak river flow</t>
  </si>
  <si>
    <t>Low river flow</t>
  </si>
  <si>
    <t>Flooding</t>
  </si>
  <si>
    <t>Surface water</t>
  </si>
  <si>
    <t>-</t>
  </si>
  <si>
    <t>Riverine and marine</t>
  </si>
  <si>
    <t>Others (reservoir / groundwater)</t>
  </si>
  <si>
    <t>Coastal Flooding</t>
  </si>
  <si>
    <t>Storms</t>
  </si>
  <si>
    <t>Tropical storms</t>
  </si>
  <si>
    <t>Subsidence</t>
  </si>
  <si>
    <t>Wildfire</t>
  </si>
  <si>
    <t>Sims avg 4°C</t>
  </si>
  <si>
    <t>Post Code</t>
  </si>
  <si>
    <t>Temperature</t>
  </si>
  <si>
    <t>Precipitation</t>
  </si>
  <si>
    <t>River Flow</t>
  </si>
  <si>
    <t>This data is pulled from the "indicators" tab. This information was provided by Sims Group UK in April 2024.</t>
  </si>
  <si>
    <t>n/a</t>
  </si>
  <si>
    <t>Regular cleaning with water and sweeping. Incinerator scrap misting system</t>
  </si>
  <si>
    <t>Waste reaction &amp; Fire</t>
  </si>
  <si>
    <t>Dry Vegetation &amp; Fire</t>
  </si>
  <si>
    <t>Heat Stress on Pipes</t>
  </si>
  <si>
    <t>More dust</t>
  </si>
  <si>
    <t>More pests and odours</t>
  </si>
  <si>
    <t>UV &amp; Plastic</t>
  </si>
  <si>
    <t>Snow Loading</t>
  </si>
  <si>
    <t>Overwhelmed interceptors &amp; drainage</t>
  </si>
  <si>
    <t>Site floods</t>
  </si>
  <si>
    <t>Coastal flood</t>
  </si>
  <si>
    <t>Water for operations</t>
  </si>
  <si>
    <t>Water for fire</t>
  </si>
  <si>
    <t>Low flow &amp; discharge impacts</t>
  </si>
  <si>
    <t>High flow &amp; drainage impacts</t>
  </si>
  <si>
    <t>Lightning</t>
  </si>
  <si>
    <t>Cant operate in storm</t>
  </si>
  <si>
    <t>Building damaged in storm</t>
  </si>
  <si>
    <t>Process scrap promptly to avoid prolonged heat exposure. Seal food containers and regular cleaning of canteen. Pest control</t>
  </si>
  <si>
    <t>Employees at risk of heat related health issues: banks person, outdoor operatives, burners</t>
  </si>
  <si>
    <t xml:space="preserve">Take regular breaks and hydrate well </t>
  </si>
  <si>
    <t>Workshop, IBC, fire hoses, other hoses</t>
  </si>
  <si>
    <t>Trace heating, insulated to avoid extreme temps, antifreeze</t>
  </si>
  <si>
    <t>Flood Equipment damage</t>
  </si>
  <si>
    <t>Flood Stockpile movement</t>
  </si>
  <si>
    <t>Consider additional drainage or water diversion near mobile plant parking</t>
  </si>
  <si>
    <t>Land projected to be below tideline in 2100.</t>
  </si>
  <si>
    <t>(Climate Central, 2021)</t>
  </si>
  <si>
    <t>Understand and quantify potential flood volumes and existing vs. required capabilities.</t>
  </si>
  <si>
    <t>Interceptors in place</t>
  </si>
  <si>
    <t>Current risk low so no measures</t>
  </si>
  <si>
    <t>Limit use of crane in high winds. Reminders to properly close doors and restrict access to areas near material which may lift in wind.</t>
  </si>
  <si>
    <t>Professionally constructed buildings. Reminders to properly close doors and restrict access to areas near material which may lift in wind.</t>
  </si>
  <si>
    <t>Climate change impacts health/ availability/ access/ Resulting in time lost, loss of experience/ information, increased training of new hires.</t>
  </si>
  <si>
    <t xml:space="preserve">E.g., access roads flood. bridges closed in high winds. Cannot accept, process, or output material. Cannot accept deliveries. Cannot dispatch by road or ship. Employees unable to access site. </t>
  </si>
  <si>
    <t>Loss of Power and Communications</t>
  </si>
  <si>
    <t>1.2 Potential for fire due to dry vegetation near hot cutting areas</t>
  </si>
  <si>
    <t>1.3 Heat &amp; Cold stress on plant, pipework, and fittings</t>
  </si>
  <si>
    <t>1.6 Hot Temperatures potentially impact wellbeing</t>
  </si>
  <si>
    <t>2.1 Increased risk of freezing pipes</t>
  </si>
  <si>
    <t>2.2 Increased risk of potholes</t>
  </si>
  <si>
    <t>3.1 Potentially overwhelmed drainage systems and interceptors</t>
  </si>
  <si>
    <t>3.2 Loss of power due to flooding</t>
  </si>
  <si>
    <t>4.1 Potential for increased site surface water and flooding</t>
  </si>
  <si>
    <t>4.2 Potential for drainage and interceptors to be overwhelmed</t>
  </si>
  <si>
    <t>5.1 Potential increased risk of coastal flooding</t>
  </si>
  <si>
    <t>5.2 Potential risk of coastal surge</t>
  </si>
  <si>
    <t>6.1 Potential increased use and reliance on mains water for dust suppression, cleaning.</t>
  </si>
  <si>
    <t>6.2 Potential increased use and reliance on mains water for fire fighting.</t>
  </si>
  <si>
    <t>6.3 Potential increase in dust emissions from a site</t>
  </si>
  <si>
    <t>7.1 Low river flow potentially increases impact of discharge to watercourse.</t>
  </si>
  <si>
    <t>7.2 High river flow potentially allow discharge and drainage backing up on site.</t>
  </si>
  <si>
    <t>8.1 Potential increase in Hail</t>
  </si>
  <si>
    <t>8.2 Potential increase in Lightning</t>
  </si>
  <si>
    <t>9.4 Lack of Personnel</t>
  </si>
  <si>
    <t>9.5 No Immediate Site Access</t>
  </si>
  <si>
    <t>9.7 Loss of Power &amp; Communications</t>
  </si>
  <si>
    <t>Risk Reduction</t>
  </si>
  <si>
    <t>Prepared for RCP 8.5</t>
  </si>
  <si>
    <t>Current Measures</t>
  </si>
  <si>
    <t>3=High</t>
  </si>
  <si>
    <t>2=Medium</t>
  </si>
  <si>
    <t>1=Low</t>
  </si>
  <si>
    <t>0=N/A</t>
  </si>
  <si>
    <t>Score</t>
  </si>
  <si>
    <t>Likelihood After</t>
  </si>
  <si>
    <t>Severity After</t>
  </si>
  <si>
    <t>Score After</t>
  </si>
  <si>
    <t>see 3.1</t>
  </si>
  <si>
    <t>see 1.4</t>
  </si>
  <si>
    <t>Short</t>
  </si>
  <si>
    <t>1.1 Potential for increased waste reactions and fires (oils, rags, wastes)</t>
  </si>
  <si>
    <t>1.4 Potential for increased dust emissions</t>
  </si>
  <si>
    <t>1.5 Potential to attract pests and odours (cans, fridges)</t>
  </si>
  <si>
    <t>1.7 More UV and potential for plastic degredation</t>
  </si>
  <si>
    <t>2.3 Snow &amp; Infrastructure Loading on Buildings</t>
  </si>
  <si>
    <t>2.4 Precipitation &amp; Visibility (Heavy Rain, Snow, Fog)</t>
  </si>
  <si>
    <t>3.4 Stockpile movement due to heavy flood</t>
  </si>
  <si>
    <t>3.3 Equipment damage due to flood (machines, tools, buildings)</t>
  </si>
  <si>
    <t>9.2 Erosion of land on/near site</t>
  </si>
  <si>
    <t>9.3 Rock Fall on site</t>
  </si>
  <si>
    <t>9.1 Land subsidence/ sinking</t>
  </si>
  <si>
    <t>8.3 Storm has potential to disrupt operations</t>
  </si>
  <si>
    <t>8.4 Storm has potential to damage buildings by rain/ heavy wind</t>
  </si>
  <si>
    <t>9.6 Disruption of Transport &amp; Supply Chain</t>
  </si>
  <si>
    <t>Climate Change | Risks &amp; Adaptations</t>
  </si>
  <si>
    <t>A summary of likely changes and how they may affect business as usual.</t>
  </si>
  <si>
    <t>Contents</t>
  </si>
  <si>
    <t>Summer daily maximum temperature</t>
  </si>
  <si>
    <t>Winter daily temperatures</t>
  </si>
  <si>
    <t>Daily extreme rainfall</t>
  </si>
  <si>
    <t>Average winter rainfall</t>
  </si>
  <si>
    <t>Drier Summers</t>
  </si>
  <si>
    <t>Other</t>
  </si>
  <si>
    <t>10   References</t>
  </si>
  <si>
    <t>Site Classifications</t>
  </si>
  <si>
    <t>Types</t>
  </si>
  <si>
    <r>
      <t>·</t>
    </r>
    <r>
      <rPr>
        <sz val="7"/>
        <color rgb="FF0B0C0C"/>
        <rFont val="Times New Roman"/>
        <family val="1"/>
      </rPr>
      <t xml:space="preserve">       </t>
    </r>
    <r>
      <rPr>
        <sz val="12"/>
        <color rgb="FF0B0C0C"/>
        <rFont val="Arial"/>
        <family val="2"/>
      </rPr>
      <t>Shredder</t>
    </r>
  </si>
  <si>
    <r>
      <t>·</t>
    </r>
    <r>
      <rPr>
        <sz val="7"/>
        <color rgb="FF0B0C0C"/>
        <rFont val="Times New Roman"/>
        <family val="1"/>
      </rPr>
      <t xml:space="preserve">       </t>
    </r>
    <r>
      <rPr>
        <sz val="12"/>
        <color rgb="FF0B0C0C"/>
        <rFont val="Arial"/>
        <family val="2"/>
      </rPr>
      <t>Cable Granulation</t>
    </r>
  </si>
  <si>
    <r>
      <t>·</t>
    </r>
    <r>
      <rPr>
        <sz val="7"/>
        <color rgb="FF0B0C0C"/>
        <rFont val="Times New Roman"/>
        <family val="1"/>
      </rPr>
      <t xml:space="preserve">       </t>
    </r>
    <r>
      <rPr>
        <sz val="12"/>
        <color rgb="FF0B0C0C"/>
        <rFont val="Arial"/>
        <family val="2"/>
      </rPr>
      <t>Corporate</t>
    </r>
  </si>
  <si>
    <r>
      <t>·</t>
    </r>
    <r>
      <rPr>
        <sz val="7"/>
        <color rgb="FF0B0C0C"/>
        <rFont val="Times New Roman"/>
        <family val="1"/>
      </rPr>
      <t xml:space="preserve">       </t>
    </r>
    <r>
      <rPr>
        <sz val="12"/>
        <color rgb="FF0B0C0C"/>
        <rFont val="Arial"/>
        <family val="2"/>
      </rPr>
      <t>Dock</t>
    </r>
  </si>
  <si>
    <r>
      <t>·</t>
    </r>
    <r>
      <rPr>
        <sz val="7"/>
        <color rgb="FF0B0C0C"/>
        <rFont val="Times New Roman"/>
        <family val="1"/>
      </rPr>
      <t xml:space="preserve">       </t>
    </r>
    <r>
      <rPr>
        <sz val="12"/>
        <color rgb="FF0B0C0C"/>
        <rFont val="Arial"/>
        <family val="2"/>
      </rPr>
      <t>Feeder</t>
    </r>
  </si>
  <si>
    <r>
      <t>·</t>
    </r>
    <r>
      <rPr>
        <sz val="7"/>
        <color rgb="FF0B0C0C"/>
        <rFont val="Times New Roman"/>
        <family val="1"/>
      </rPr>
      <t xml:space="preserve">       </t>
    </r>
    <r>
      <rPr>
        <sz val="12"/>
        <color rgb="FF0B0C0C"/>
        <rFont val="Arial"/>
        <family val="2"/>
      </rPr>
      <t>Fridges/ ELV/ WEEE</t>
    </r>
  </si>
  <si>
    <r>
      <t>·</t>
    </r>
    <r>
      <rPr>
        <sz val="7"/>
        <color rgb="FF0B0C0C"/>
        <rFont val="Times New Roman"/>
        <family val="1"/>
      </rPr>
      <t xml:space="preserve">       </t>
    </r>
    <r>
      <rPr>
        <sz val="12"/>
        <color rgb="FF0B0C0C"/>
        <rFont val="Arial"/>
        <family val="2"/>
      </rPr>
      <t>Shearing/ Ferrous (FE) Cut</t>
    </r>
  </si>
  <si>
    <r>
      <t>·</t>
    </r>
    <r>
      <rPr>
        <sz val="7"/>
        <color rgb="FF0B0C0C"/>
        <rFont val="Times New Roman"/>
        <family val="1"/>
      </rPr>
      <t xml:space="preserve">       </t>
    </r>
    <r>
      <rPr>
        <sz val="12"/>
        <color rgb="FF0B0C0C"/>
        <rFont val="Arial"/>
        <family val="2"/>
      </rPr>
      <t>Non-Ferrous (NF) Hub/ Processing</t>
    </r>
  </si>
  <si>
    <r>
      <t>·</t>
    </r>
    <r>
      <rPr>
        <sz val="7"/>
        <color rgb="FF0B0C0C"/>
        <rFont val="Times New Roman"/>
        <family val="1"/>
      </rPr>
      <t xml:space="preserve">       </t>
    </r>
    <r>
      <rPr>
        <sz val="12"/>
        <color rgb="FF0B0C0C"/>
        <rFont val="Arial"/>
        <family val="2"/>
      </rPr>
      <t>Offline Recovery Plant (OLRP) including but not restricted to</t>
    </r>
  </si>
  <si>
    <r>
      <t>o</t>
    </r>
    <r>
      <rPr>
        <sz val="7"/>
        <color rgb="FF0B0C0C"/>
        <rFont val="Times New Roman"/>
        <family val="1"/>
      </rPr>
      <t xml:space="preserve">   </t>
    </r>
    <r>
      <rPr>
        <sz val="12"/>
        <color rgb="FF0B0C0C"/>
        <rFont val="Arial"/>
        <family val="2"/>
      </rPr>
      <t>ASR (automotive shredder residue)</t>
    </r>
  </si>
  <si>
    <r>
      <t>o</t>
    </r>
    <r>
      <rPr>
        <sz val="7"/>
        <color rgb="FF0B0C0C"/>
        <rFont val="Times New Roman"/>
        <family val="1"/>
      </rPr>
      <t xml:space="preserve">   </t>
    </r>
    <r>
      <rPr>
        <sz val="12"/>
        <color rgb="FF0B0C0C"/>
        <rFont val="Arial"/>
        <family val="2"/>
      </rPr>
      <t>NFR (non-ferrous residue)</t>
    </r>
  </si>
  <si>
    <r>
      <t>o</t>
    </r>
    <r>
      <rPr>
        <sz val="7"/>
        <color rgb="FF0B0C0C"/>
        <rFont val="Times New Roman"/>
        <family val="1"/>
      </rPr>
      <t xml:space="preserve">   </t>
    </r>
    <r>
      <rPr>
        <sz val="12"/>
        <color rgb="FF0B0C0C"/>
        <rFont val="Arial"/>
        <family val="2"/>
      </rPr>
      <t>Incinerator scrap</t>
    </r>
  </si>
  <si>
    <t>Location Notes</t>
  </si>
  <si>
    <r>
      <t>·</t>
    </r>
    <r>
      <rPr>
        <sz val="7"/>
        <color rgb="FF0B0C0C"/>
        <rFont val="Times New Roman"/>
        <family val="1"/>
      </rPr>
      <t xml:space="preserve">       </t>
    </r>
    <r>
      <rPr>
        <sz val="12"/>
        <color rgb="FF0B0C0C"/>
        <rFont val="Arial"/>
        <family val="2"/>
      </rPr>
      <t>Coastal</t>
    </r>
  </si>
  <si>
    <r>
      <t>·</t>
    </r>
    <r>
      <rPr>
        <sz val="7"/>
        <color rgb="FF0B0C0C"/>
        <rFont val="Times New Roman"/>
        <family val="1"/>
      </rPr>
      <t xml:space="preserve">       </t>
    </r>
    <r>
      <rPr>
        <sz val="12"/>
        <color rgb="FF0B0C0C"/>
        <rFont val="Arial"/>
        <family val="2"/>
      </rPr>
      <t>Tidal</t>
    </r>
  </si>
  <si>
    <r>
      <t>·</t>
    </r>
    <r>
      <rPr>
        <sz val="7"/>
        <color rgb="FF0B0C0C"/>
        <rFont val="Times New Roman"/>
        <family val="1"/>
      </rPr>
      <t xml:space="preserve">       </t>
    </r>
    <r>
      <rPr>
        <sz val="12"/>
        <color rgb="FF0B0C0C"/>
        <rFont val="Arial"/>
        <family val="2"/>
      </rPr>
      <t>Industrial</t>
    </r>
  </si>
  <si>
    <r>
      <t>·</t>
    </r>
    <r>
      <rPr>
        <sz val="7"/>
        <color rgb="FF0B0C0C"/>
        <rFont val="Times New Roman"/>
        <family val="1"/>
      </rPr>
      <t xml:space="preserve">       </t>
    </r>
    <r>
      <rPr>
        <sz val="12"/>
        <color rgb="FF0B0C0C"/>
        <rFont val="Arial"/>
        <family val="2"/>
      </rPr>
      <t>Flood Plain</t>
    </r>
  </si>
  <si>
    <r>
      <t>·</t>
    </r>
    <r>
      <rPr>
        <sz val="7"/>
        <color rgb="FF0B0C0C"/>
        <rFont val="Times New Roman"/>
        <family val="1"/>
      </rPr>
      <t xml:space="preserve">       </t>
    </r>
    <r>
      <rPr>
        <sz val="12"/>
        <color rgb="FF0B0C0C"/>
        <rFont val="Arial"/>
        <family val="2"/>
      </rPr>
      <t>Nature interests nearby</t>
    </r>
  </si>
  <si>
    <t>·       https://check-long-term-flood-risk.service.gov.uk/risk#</t>
  </si>
  <si>
    <t>·       https://urban-water.co.uk/flood-zones/#:~:text=Zone%201%20has%20the%20lowest,underpinned%20by%20historical%20flood%20records.</t>
  </si>
  <si>
    <t>Purpose of document</t>
  </si>
  <si>
    <t>This document outlines climate changes and associated risks considered to affect Sims Group in the UK and supports individual site-specific risk assessments and adaptation plans.</t>
  </si>
  <si>
    <t>Site-based impacts</t>
  </si>
  <si>
    <t>Consider how vulnerable your site is to current and future climates.</t>
  </si>
  <si>
    <t>Consider risks based on a four °C rise by 2100.</t>
  </si>
  <si>
    <t>Consider adaptation plans for a two °C rise by 2050.</t>
  </si>
  <si>
    <t>Find any site-specific issues. For example:</t>
  </si>
  <si>
    <r>
      <t>·</t>
    </r>
    <r>
      <rPr>
        <sz val="7"/>
        <color rgb="FF0B0C0C"/>
        <rFont val="Times New Roman"/>
        <family val="1"/>
      </rPr>
      <t xml:space="preserve">       </t>
    </r>
    <r>
      <rPr>
        <sz val="12"/>
        <color rgb="FF0B0C0C"/>
        <rFont val="Arial"/>
        <family val="2"/>
      </rPr>
      <t>access issues due to flooding or sea-level rise</t>
    </r>
  </si>
  <si>
    <r>
      <t>·</t>
    </r>
    <r>
      <rPr>
        <sz val="7"/>
        <color rgb="FF0B0C0C"/>
        <rFont val="Times New Roman"/>
        <family val="1"/>
      </rPr>
      <t xml:space="preserve">       </t>
    </r>
    <r>
      <rPr>
        <sz val="12"/>
        <color rgb="FF0B0C0C"/>
        <rFont val="Arial"/>
        <family val="2"/>
      </rPr>
      <t>distance from areas where wildfires could break out.</t>
    </r>
  </si>
  <si>
    <r>
      <t>·</t>
    </r>
    <r>
      <rPr>
        <sz val="7"/>
        <color rgb="FF0B0C0C"/>
        <rFont val="Times New Roman"/>
        <family val="1"/>
      </rPr>
      <t xml:space="preserve">       </t>
    </r>
    <r>
      <rPr>
        <sz val="12"/>
        <color rgb="FF0B0C0C"/>
        <rFont val="Arial"/>
        <family val="2"/>
      </rPr>
      <t>risks from failure of essential site services (water, electrical supply, drainage systems)</t>
    </r>
  </si>
  <si>
    <t>Find out if there are significant receptors (people, animals, property) nearby. Examples are:</t>
  </si>
  <si>
    <r>
      <t>·</t>
    </r>
    <r>
      <rPr>
        <sz val="7"/>
        <color rgb="FF0B0C0C"/>
        <rFont val="Times New Roman"/>
        <family val="1"/>
      </rPr>
      <t xml:space="preserve">       </t>
    </r>
    <r>
      <rPr>
        <sz val="12"/>
        <color rgb="FF0B0C0C"/>
        <rFont val="Arial"/>
        <family val="2"/>
      </rPr>
      <t>Sites of Special Scientific Interest</t>
    </r>
  </si>
  <si>
    <r>
      <t>·</t>
    </r>
    <r>
      <rPr>
        <sz val="7"/>
        <color rgb="FF0B0C0C"/>
        <rFont val="Times New Roman"/>
        <family val="1"/>
      </rPr>
      <t xml:space="preserve">       </t>
    </r>
    <r>
      <rPr>
        <sz val="12"/>
        <color rgb="FF0B0C0C"/>
        <rFont val="Arial"/>
        <family val="2"/>
      </rPr>
      <t>watercourses</t>
    </r>
  </si>
  <si>
    <r>
      <t>·</t>
    </r>
    <r>
      <rPr>
        <sz val="7"/>
        <color rgb="FF0B0C0C"/>
        <rFont val="Times New Roman"/>
        <family val="1"/>
      </rPr>
      <t xml:space="preserve">       </t>
    </r>
    <r>
      <rPr>
        <sz val="12"/>
        <color rgb="FF0B0C0C"/>
        <rFont val="Arial"/>
        <family val="2"/>
      </rPr>
      <t>local nature reserves</t>
    </r>
  </si>
  <si>
    <r>
      <t>·</t>
    </r>
    <r>
      <rPr>
        <sz val="7"/>
        <color rgb="FF0B0C0C"/>
        <rFont val="Times New Roman"/>
        <family val="1"/>
      </rPr>
      <t xml:space="preserve">       </t>
    </r>
    <r>
      <rPr>
        <sz val="12"/>
        <color rgb="FF0B0C0C"/>
        <rFont val="Arial"/>
        <family val="2"/>
      </rPr>
      <t>endangered species</t>
    </r>
  </si>
  <si>
    <t>Consider if their vulnerability to emissions or incidents increases with changing weather patterns. Consider if this creates a risk for your permit compliance.</t>
  </si>
  <si>
    <t>You can get basic climate change impact data from the Environment Agency’s climate impacts tool. You can get more detailed analysis of the risks from the Environment Agency’s third climate change adaptation report.</t>
  </si>
  <si>
    <t>Consider relevant impacts on any other sites your company owns or runs.</t>
  </si>
  <si>
    <t>Share lessons learned from international operations, which may face different or more extreme weather.</t>
  </si>
  <si>
    <t>Consider how long are you planning for your site to be operational. The severity of climate change impacts could increase with time.</t>
  </si>
  <si>
    <t>To develop a more detailed assessment you can follow:</t>
  </si>
  <si>
    <r>
      <t>·</t>
    </r>
    <r>
      <rPr>
        <sz val="7"/>
        <color rgb="FF0B0C0C"/>
        <rFont val="Times New Roman"/>
        <family val="1"/>
      </rPr>
      <t xml:space="preserve">       </t>
    </r>
    <r>
      <rPr>
        <sz val="12"/>
        <color rgb="FF0B0C0C"/>
        <rFont val="Arial"/>
        <family val="2"/>
      </rPr>
      <t>ISO 14090:2019 on adaptation</t>
    </r>
  </si>
  <si>
    <r>
      <t>·</t>
    </r>
    <r>
      <rPr>
        <sz val="7"/>
        <color rgb="FF0B0C0C"/>
        <rFont val="Times New Roman"/>
        <family val="1"/>
      </rPr>
      <t xml:space="preserve">       </t>
    </r>
    <r>
      <rPr>
        <sz val="12"/>
        <color rgb="FF0B0C0C"/>
        <rFont val="Arial"/>
        <family val="2"/>
      </rPr>
      <t>ISO 14091:2021 on vulnerability, impacts and risk assessment.</t>
    </r>
  </si>
  <si>
    <t>https://www.gov.uk/guidance/climate-change-risk-assessment-and-adaptation-planning-in-your-management-system#why-you-need-to-plan-for-climate-change-impacts</t>
  </si>
  <si>
    <r>
      <t>1</t>
    </r>
    <r>
      <rPr>
        <b/>
        <sz val="7"/>
        <color rgb="FF0B0C0C"/>
        <rFont val="Times New Roman"/>
        <family val="1"/>
      </rPr>
      <t xml:space="preserve">      </t>
    </r>
    <r>
      <rPr>
        <b/>
        <sz val="18"/>
        <color rgb="FF0B0C0C"/>
        <rFont val="Arial"/>
        <family val="2"/>
      </rPr>
      <t>Summer daily maximum temperature</t>
    </r>
  </si>
  <si>
    <t>Average summer temperature could reach 7 °C higher compared to average summer temperatures now, with the potential to reach extreme temperatures of over 40 °C with increasing frequency based on today’s values. (Environment Agency, 2023). https://uk-cri.org/ informs site specific temperature projections.</t>
  </si>
  <si>
    <r>
      <t>1.1</t>
    </r>
    <r>
      <rPr>
        <b/>
        <sz val="7"/>
        <rFont val="Times New Roman"/>
        <family val="1"/>
      </rPr>
      <t xml:space="preserve">     </t>
    </r>
    <r>
      <rPr>
        <b/>
        <sz val="13.5"/>
        <color rgb="FF0B0C0C"/>
        <rFont val="Arial"/>
        <family val="2"/>
      </rPr>
      <t>Potential for increased waste reactions and fires</t>
    </r>
  </si>
  <si>
    <t>Potential for increased waste reactions and fires involving certain combustible or reactive waste types.</t>
  </si>
  <si>
    <t>The potential for risk may occur if wastes are exposed to extreme temperatures. Materials considered for potential waste reactions and/or fires include, but are not limited to, the following.</t>
  </si>
  <si>
    <r>
      <t>·</t>
    </r>
    <r>
      <rPr>
        <sz val="7"/>
        <color rgb="FF0B0C0C"/>
        <rFont val="Times New Roman"/>
        <family val="1"/>
      </rPr>
      <t xml:space="preserve">       </t>
    </r>
    <r>
      <rPr>
        <sz val="12"/>
        <color rgb="FF0B0C0C"/>
        <rFont val="Arial"/>
        <family val="2"/>
      </rPr>
      <t>heat sensitive or combustible waste oil, contaminated swarf, or oily rags.</t>
    </r>
  </si>
  <si>
    <r>
      <t>·</t>
    </r>
    <r>
      <rPr>
        <sz val="7"/>
        <color rgb="FF0B0C0C"/>
        <rFont val="Times New Roman"/>
        <family val="1"/>
      </rPr>
      <t xml:space="preserve">       </t>
    </r>
    <r>
      <rPr>
        <sz val="12"/>
        <color rgb="FF0B0C0C"/>
        <rFont val="Arial"/>
        <family val="2"/>
      </rPr>
      <t>frag light fractions.</t>
    </r>
  </si>
  <si>
    <r>
      <t>·</t>
    </r>
    <r>
      <rPr>
        <sz val="7"/>
        <color rgb="FF0B0C0C"/>
        <rFont val="Times New Roman"/>
        <family val="1"/>
      </rPr>
      <t xml:space="preserve">       </t>
    </r>
    <r>
      <rPr>
        <sz val="12"/>
        <color rgb="FF0B0C0C"/>
        <rFont val="Arial"/>
        <family val="2"/>
      </rPr>
      <t>other combustible wastes</t>
    </r>
  </si>
  <si>
    <t>The mitigation for this could include:</t>
  </si>
  <si>
    <r>
      <t>·</t>
    </r>
    <r>
      <rPr>
        <sz val="7"/>
        <color rgb="FF0B0C0C"/>
        <rFont val="Times New Roman"/>
        <family val="1"/>
      </rPr>
      <t xml:space="preserve">       </t>
    </r>
    <r>
      <rPr>
        <sz val="12"/>
        <color rgb="FF0B0C0C"/>
        <rFont val="Arial"/>
        <family val="2"/>
      </rPr>
      <t>making sure heat sensitive combustible wastes (oily rags and batteries) are stored away from direct sunlight (for example, in buildings or under cover)</t>
    </r>
  </si>
  <si>
    <r>
      <t>·</t>
    </r>
    <r>
      <rPr>
        <sz val="7"/>
        <color rgb="FF0B0C0C"/>
        <rFont val="Times New Roman"/>
        <family val="1"/>
      </rPr>
      <t xml:space="preserve">       </t>
    </r>
    <r>
      <rPr>
        <sz val="12"/>
        <color rgb="FF0B0C0C"/>
        <rFont val="Arial"/>
        <family val="2"/>
      </rPr>
      <t>making sure combustible waste oils are stored in appropriate designated tanks or containers.</t>
    </r>
  </si>
  <si>
    <r>
      <t>·</t>
    </r>
    <r>
      <rPr>
        <sz val="7"/>
        <color rgb="FF0B0C0C"/>
        <rFont val="Times New Roman"/>
        <family val="1"/>
      </rPr>
      <t xml:space="preserve">       </t>
    </r>
    <r>
      <rPr>
        <sz val="12"/>
        <color rgb="FF0B0C0C"/>
        <rFont val="Arial"/>
        <family val="2"/>
      </rPr>
      <t>waste acceptance and inspection procedures to identify &amp; segregate non-conforming combustible wastes.</t>
    </r>
  </si>
  <si>
    <r>
      <t>·</t>
    </r>
    <r>
      <rPr>
        <sz val="7"/>
        <color rgb="FF0B0C0C"/>
        <rFont val="Times New Roman"/>
        <family val="1"/>
      </rPr>
      <t xml:space="preserve">       </t>
    </r>
    <r>
      <rPr>
        <sz val="12"/>
        <color rgb="FF0B0C0C"/>
        <rFont val="Arial"/>
        <family val="2"/>
      </rPr>
      <t>making sure there is suitable segregation and separation of wastes.</t>
    </r>
  </si>
  <si>
    <r>
      <t>·</t>
    </r>
    <r>
      <rPr>
        <sz val="7"/>
        <color rgb="FF0B0C0C"/>
        <rFont val="Times New Roman"/>
        <family val="1"/>
      </rPr>
      <t xml:space="preserve">       </t>
    </r>
    <r>
      <rPr>
        <sz val="12"/>
        <color rgb="FF0B0C0C"/>
        <rFont val="Arial"/>
        <family val="2"/>
      </rPr>
      <t>regular monitoring of waste stockpiles to ensure they are not self-heating.</t>
    </r>
  </si>
  <si>
    <r>
      <t>·</t>
    </r>
    <r>
      <rPr>
        <sz val="7"/>
        <color rgb="FF0B0C0C"/>
        <rFont val="Times New Roman"/>
        <family val="1"/>
      </rPr>
      <t xml:space="preserve">       </t>
    </r>
    <r>
      <rPr>
        <sz val="12"/>
        <color rgb="FF0B0C0C"/>
        <rFont val="Arial"/>
        <family val="2"/>
      </rPr>
      <t>the fire prevention plan considers increased risk over time with focus on increased risk from self-heating and combustion due to extreme heat.</t>
    </r>
  </si>
  <si>
    <r>
      <t>·</t>
    </r>
    <r>
      <rPr>
        <sz val="7"/>
        <color rgb="FF0B0C0C"/>
        <rFont val="Times New Roman"/>
        <family val="1"/>
      </rPr>
      <t xml:space="preserve">       </t>
    </r>
    <r>
      <rPr>
        <sz val="12"/>
        <color rgb="FF0B0C0C"/>
        <rFont val="Arial"/>
        <family val="2"/>
      </rPr>
      <t xml:space="preserve">having a fire prevention plan that details the above, and any wastes that are incompatible or unstable.  </t>
    </r>
  </si>
  <si>
    <t>Interdependency: reduced water availability, prolonged heat, intense heat, prolonged dry conditions, rainfall impact on batteries, increased sunlight hours, UV</t>
  </si>
  <si>
    <t>Daily summer temperature predicted around 7 °C higher, with the potential to reach extreme temperatures of over 40 °C with increasing frequency, combined with interdependency of increased sunlight hours and UV intensity could lead to drier conditions and mean more potential for heatwave and drought. Withered and dried vegetation is at risk of starting wildfire, especially if found in hot cutting areas, stockpile areas, or other sources of heat.</t>
  </si>
  <si>
    <t>Locations that may be more at risk include, but are not restricted to:</t>
  </si>
  <si>
    <r>
      <t>·</t>
    </r>
    <r>
      <rPr>
        <sz val="7"/>
        <color rgb="FF0B0C0C"/>
        <rFont val="Times New Roman"/>
        <family val="1"/>
      </rPr>
      <t xml:space="preserve">       </t>
    </r>
    <r>
      <rPr>
        <sz val="12"/>
        <color rgb="FF0B0C0C"/>
        <rFont val="Arial"/>
        <family val="2"/>
      </rPr>
      <t>Sites who do ‘Hot works’ e.g., with Oxy propane cutting (aka hot cutting or burning) areas</t>
    </r>
  </si>
  <si>
    <r>
      <t>·</t>
    </r>
    <r>
      <rPr>
        <sz val="7"/>
        <color rgb="FF0B0C0C"/>
        <rFont val="Times New Roman"/>
        <family val="1"/>
      </rPr>
      <t xml:space="preserve">       </t>
    </r>
    <r>
      <rPr>
        <sz val="12"/>
        <color rgb="FF0B0C0C"/>
        <rFont val="Arial"/>
        <family val="2"/>
      </rPr>
      <t>Sites with vegetation within the site boundaries</t>
    </r>
  </si>
  <si>
    <t>Mitigation could include clearing vegetation where possible, reviewing hot work locations, maintenance and testing of fire watch / fire detection, prevention and response measures.</t>
  </si>
  <si>
    <t>Interdependency: reduced water availability, prolonged heat, dry conditions, wildfire, increased sunlight hours.</t>
  </si>
  <si>
    <r>
      <t>1.3</t>
    </r>
    <r>
      <rPr>
        <b/>
        <sz val="7"/>
        <color rgb="FF0B0C0C"/>
        <rFont val="Times New Roman"/>
        <family val="1"/>
      </rPr>
      <t xml:space="preserve">     </t>
    </r>
    <r>
      <rPr>
        <b/>
        <sz val="13.5"/>
        <color rgb="FF0B0C0C"/>
        <rFont val="Arial"/>
        <family val="2"/>
      </rPr>
      <t>Heat stress on plant, pipe work and fittings.</t>
    </r>
  </si>
  <si>
    <t>Daily summer temperature of around 7 °C higher, with the potential to reach extreme temperatures of over 40 °C with increasing frequency could mean there is the potential for pipework and fittings to become damaged / fail due to stress impact from extreme weather. This could be due to:</t>
  </si>
  <si>
    <r>
      <t>·</t>
    </r>
    <r>
      <rPr>
        <sz val="7"/>
        <color rgb="FF0B0C0C"/>
        <rFont val="Times New Roman"/>
        <family val="1"/>
      </rPr>
      <t xml:space="preserve">       </t>
    </r>
    <r>
      <rPr>
        <sz val="12"/>
        <color rgb="FF0B0C0C"/>
        <rFont val="Arial"/>
        <family val="2"/>
      </rPr>
      <t>Hot weather increases internal pressure, causing pipes to burst.</t>
    </r>
  </si>
  <si>
    <r>
      <t>·</t>
    </r>
    <r>
      <rPr>
        <sz val="7"/>
        <color rgb="FF0B0C0C"/>
        <rFont val="Times New Roman"/>
        <family val="1"/>
      </rPr>
      <t xml:space="preserve">       </t>
    </r>
    <r>
      <rPr>
        <sz val="12"/>
        <color rgb="FF0B0C0C"/>
        <rFont val="Arial"/>
        <family val="2"/>
      </rPr>
      <t>Extreme fluctuation in weather makes pipes expand and contract. Eventually, this can lead to pipes breaking from material fatigue/ cracking/ splitting.</t>
    </r>
  </si>
  <si>
    <t>Pipes are found in kitchens, toilets, firefighting, dust suppression, and hydraulics.</t>
  </si>
  <si>
    <r>
      <t>·</t>
    </r>
    <r>
      <rPr>
        <sz val="7"/>
        <color rgb="FF0B0C0C"/>
        <rFont val="Times New Roman"/>
        <family val="1"/>
      </rPr>
      <t xml:space="preserve">       </t>
    </r>
    <r>
      <rPr>
        <sz val="12"/>
        <color rgb="FF0B0C0C"/>
        <rFont val="Arial"/>
        <family val="2"/>
      </rPr>
      <t>Regular inspection and preventative maintenance of the site, plant, or equipment, pipework and fittings.</t>
    </r>
  </si>
  <si>
    <r>
      <t>·</t>
    </r>
    <r>
      <rPr>
        <sz val="7"/>
        <color rgb="FF0B0C0C"/>
        <rFont val="Times New Roman"/>
        <family val="1"/>
      </rPr>
      <t xml:space="preserve">       </t>
    </r>
    <r>
      <rPr>
        <sz val="12"/>
        <color rgb="FF0B0C0C"/>
        <rFont val="Arial"/>
        <family val="2"/>
      </rPr>
      <t>Protecting pipes with a heat shield or thermal insulation to regulate temperature and keep out of direct sunlight.</t>
    </r>
  </si>
  <si>
    <t>Interdependency: intense heat, fluctuating extreme temperatures, water availability, fire response, fire suppression, dust suppression, site operations, housekeeping, see also 3.1 below.</t>
  </si>
  <si>
    <r>
      <t>1.4</t>
    </r>
    <r>
      <rPr>
        <b/>
        <sz val="7"/>
        <color rgb="FF0B0C0C"/>
        <rFont val="Times New Roman"/>
        <family val="1"/>
      </rPr>
      <t xml:space="preserve">     </t>
    </r>
    <r>
      <rPr>
        <b/>
        <sz val="13.5"/>
        <color rgb="FF0B0C0C"/>
        <rFont val="Arial"/>
        <family val="2"/>
      </rPr>
      <t>Potential increased dust emissions</t>
    </r>
  </si>
  <si>
    <t>Increased temperatures at an increasing frequency may dry out materials / ground, increasing the potential for dust to generate in places like treatment areas, stockpiles, unmade ground, and site roads.</t>
  </si>
  <si>
    <r>
      <t>·</t>
    </r>
    <r>
      <rPr>
        <sz val="7"/>
        <color rgb="FF0B0C0C"/>
        <rFont val="Times New Roman"/>
        <family val="1"/>
      </rPr>
      <t xml:space="preserve">       </t>
    </r>
    <r>
      <rPr>
        <sz val="12"/>
        <color rgb="FF0B0C0C"/>
        <rFont val="Arial"/>
        <family val="2"/>
      </rPr>
      <t>Shredder or Cable granulation sites</t>
    </r>
  </si>
  <si>
    <r>
      <t>·</t>
    </r>
    <r>
      <rPr>
        <sz val="7"/>
        <color rgb="FF0B0C0C"/>
        <rFont val="Times New Roman"/>
        <family val="1"/>
      </rPr>
      <t xml:space="preserve">       </t>
    </r>
    <r>
      <rPr>
        <sz val="12"/>
        <color rgb="FF0B0C0C"/>
        <rFont val="Arial"/>
        <family val="2"/>
      </rPr>
      <t>OLRP (off-line recovery process) including but not restricted to</t>
    </r>
  </si>
  <si>
    <r>
      <t>·</t>
    </r>
    <r>
      <rPr>
        <sz val="7"/>
        <color rgb="FF0B0C0C"/>
        <rFont val="Times New Roman"/>
        <family val="1"/>
      </rPr>
      <t xml:space="preserve">       </t>
    </r>
    <r>
      <rPr>
        <sz val="12"/>
        <color rgb="FF0B0C0C"/>
        <rFont val="Arial"/>
        <family val="2"/>
      </rPr>
      <t>Fridge processing</t>
    </r>
  </si>
  <si>
    <t>Mitigation could include replacing any hardstanding roads with concrete or tarmac, regular /increased site cleaning/housekeeping, use of dust suppression systems, covering non-metallic waste or fine fraction bays, enclosing treatment or equipment and conveyors to shield from wind.</t>
  </si>
  <si>
    <t>Interdependency: reduced water availability, prolonged heat, intense heat, dry conditions, drought, increased sunlight hours</t>
  </si>
  <si>
    <t>Increased temperature or prolonged heat could cause stockpiled metal food and drink containers, any residues in End-of-Life Fridges, any domestic waste present as non-conforming waste in the scrap, domestic waste arisings from welfare facilities to foul, attracting pests and causing odours. Flies, mosquitos, and ticks thrive in a warmer and wetter climate. This may allow insects to accelerate reproduction rates and extend lifespan, resulting in more insect. Locations that may be more at risk include, but are not restricted to:</t>
  </si>
  <si>
    <r>
      <t>·</t>
    </r>
    <r>
      <rPr>
        <sz val="7"/>
        <color rgb="FF0B0C0C"/>
        <rFont val="Times New Roman"/>
        <family val="1"/>
      </rPr>
      <t xml:space="preserve">       </t>
    </r>
    <r>
      <rPr>
        <sz val="12"/>
        <color rgb="FF0B0C0C"/>
        <rFont val="Arial"/>
        <family val="2"/>
      </rPr>
      <t>Sites that receive loose or baled Used Beverage Cans (UBC)</t>
    </r>
  </si>
  <si>
    <r>
      <t>·</t>
    </r>
    <r>
      <rPr>
        <sz val="7"/>
        <color rgb="FF0B0C0C"/>
        <rFont val="Times New Roman"/>
        <family val="1"/>
      </rPr>
      <t xml:space="preserve">       </t>
    </r>
    <r>
      <rPr>
        <sz val="12"/>
        <color rgb="FF0B0C0C"/>
        <rFont val="Arial"/>
        <family val="2"/>
      </rPr>
      <t>Sites that receive End of Life Fridges</t>
    </r>
  </si>
  <si>
    <t>The mitigation could include:</t>
  </si>
  <si>
    <r>
      <t>·</t>
    </r>
    <r>
      <rPr>
        <sz val="7"/>
        <color rgb="FF0B0C0C"/>
        <rFont val="Times New Roman"/>
        <family val="1"/>
      </rPr>
      <t xml:space="preserve">       </t>
    </r>
    <r>
      <rPr>
        <sz val="12"/>
        <color rgb="FF0B0C0C"/>
        <rFont val="Arial"/>
        <family val="2"/>
      </rPr>
      <t>Regularly empty and refill large water containers. Keep covered if possible.</t>
    </r>
  </si>
  <si>
    <r>
      <t>·</t>
    </r>
    <r>
      <rPr>
        <sz val="7"/>
        <color rgb="FF0B0C0C"/>
        <rFont val="Times New Roman"/>
        <family val="1"/>
      </rPr>
      <t xml:space="preserve">       </t>
    </r>
    <r>
      <rPr>
        <sz val="12"/>
        <color rgb="FF0B0C0C"/>
        <rFont val="Arial"/>
        <family val="2"/>
      </rPr>
      <t>Robust waste acceptance procedures to prevent excessively odorous or insect infested loads being deposited at the site.</t>
    </r>
  </si>
  <si>
    <r>
      <t>·</t>
    </r>
    <r>
      <rPr>
        <sz val="7"/>
        <color rgb="FF0B0C0C"/>
        <rFont val="Times New Roman"/>
        <family val="1"/>
      </rPr>
      <t xml:space="preserve">       </t>
    </r>
    <r>
      <rPr>
        <sz val="12"/>
        <color rgb="FF0B0C0C"/>
        <rFont val="Arial"/>
        <family val="2"/>
      </rPr>
      <t>Waste inspection and quarantine procedures to remove any odorous waste.</t>
    </r>
  </si>
  <si>
    <r>
      <t>·</t>
    </r>
    <r>
      <rPr>
        <sz val="7"/>
        <color rgb="FF0B0C0C"/>
        <rFont val="Times New Roman"/>
        <family val="1"/>
      </rPr>
      <t xml:space="preserve">       </t>
    </r>
    <r>
      <rPr>
        <sz val="12"/>
        <color rgb="FF0B0C0C"/>
        <rFont val="Arial"/>
        <family val="2"/>
      </rPr>
      <t>Waste storage duration limits for wastes likely to attract pests, cause odour.</t>
    </r>
  </si>
  <si>
    <r>
      <t>·</t>
    </r>
    <r>
      <rPr>
        <sz val="7"/>
        <color rgb="FF0B0C0C"/>
        <rFont val="Times New Roman"/>
        <family val="1"/>
      </rPr>
      <t xml:space="preserve">       </t>
    </r>
    <r>
      <rPr>
        <sz val="12"/>
        <color rgb="FF0B0C0C"/>
        <rFont val="Arial"/>
        <family val="2"/>
      </rPr>
      <t>Storage areas and bays are cleaned and washed down regularly.</t>
    </r>
  </si>
  <si>
    <r>
      <t>·</t>
    </r>
    <r>
      <rPr>
        <sz val="7"/>
        <color rgb="FF0B0C0C"/>
        <rFont val="Times New Roman"/>
        <family val="1"/>
      </rPr>
      <t xml:space="preserve">       </t>
    </r>
    <r>
      <rPr>
        <sz val="12"/>
        <color rgb="FF0B0C0C"/>
        <rFont val="Arial"/>
        <family val="2"/>
      </rPr>
      <t>Treat wastes with odour control systems (where appropriate)</t>
    </r>
  </si>
  <si>
    <r>
      <t>·</t>
    </r>
    <r>
      <rPr>
        <sz val="7"/>
        <color rgb="FF0B0C0C"/>
        <rFont val="Times New Roman"/>
        <family val="1"/>
      </rPr>
      <t xml:space="preserve">       </t>
    </r>
    <r>
      <rPr>
        <sz val="12"/>
        <color rgb="FF0B0C0C"/>
        <rFont val="Arial"/>
        <family val="2"/>
      </rPr>
      <t>Treat waste with insecticides to reduce risk of flies/ pests (where appropriate).</t>
    </r>
  </si>
  <si>
    <t>Interdependency: prolonged heat, intense heat, pests, community complaints, increased sunlight hours, personnel availability, health, and wellbeing</t>
  </si>
  <si>
    <t xml:space="preserve">Prolonged hot temperatures can cause difficulty sleeping and working. This heat stress could lead to fatigue, aggression, and general wellbeing issues both physically and mentally. It is also likely that those who struggle with health in extreme temperatures may be unable to work for extended periods of time. Particularly impactful to those whose work is outdoors or is particularly strenuous.  </t>
  </si>
  <si>
    <t>Mitigation for this could be to educate workers on how to stay cool, provide air-conditioned areas, reasonable opportunity to take breaks, hydration stations. Consider moving work areas into shade, find tools to make the work less manual.</t>
  </si>
  <si>
    <t>Interdependency: personnel availability, wellbeing, temperature, operations</t>
  </si>
  <si>
    <r>
      <t xml:space="preserve">Increase in sunlight hours and UV intensity has the potential to speed up material degradation in </t>
    </r>
    <r>
      <rPr>
        <b/>
        <sz val="12"/>
        <color rgb="FF0B0C0C"/>
        <rFont val="Arial"/>
        <family val="2"/>
      </rPr>
      <t>rubbers and plastics</t>
    </r>
    <r>
      <rPr>
        <sz val="12"/>
        <color rgb="FF0B0C0C"/>
        <rFont val="Arial"/>
        <family val="2"/>
      </rPr>
      <t>. This may shorten the lifespan of items:</t>
    </r>
  </si>
  <si>
    <r>
      <t>·</t>
    </r>
    <r>
      <rPr>
        <sz val="7"/>
        <color rgb="FF0B0C0C"/>
        <rFont val="Times New Roman"/>
        <family val="1"/>
      </rPr>
      <t xml:space="preserve">       </t>
    </r>
    <r>
      <rPr>
        <sz val="12"/>
        <color rgb="FF0B0C0C"/>
        <rFont val="Arial"/>
        <family val="2"/>
      </rPr>
      <t>IBCs</t>
    </r>
  </si>
  <si>
    <r>
      <t>·</t>
    </r>
    <r>
      <rPr>
        <sz val="7"/>
        <color rgb="FF0B0C0C"/>
        <rFont val="Times New Roman"/>
        <family val="1"/>
      </rPr>
      <t xml:space="preserve">       </t>
    </r>
    <r>
      <rPr>
        <sz val="12"/>
        <color rgb="FF0B0C0C"/>
        <rFont val="Arial"/>
        <family val="2"/>
      </rPr>
      <t>Hose pipes</t>
    </r>
  </si>
  <si>
    <r>
      <t>·</t>
    </r>
    <r>
      <rPr>
        <sz val="7"/>
        <color rgb="FF0B0C0C"/>
        <rFont val="Times New Roman"/>
        <family val="1"/>
      </rPr>
      <t xml:space="preserve">       </t>
    </r>
    <r>
      <rPr>
        <sz val="12"/>
        <color rgb="FF0B0C0C"/>
        <rFont val="Arial"/>
        <family val="2"/>
      </rPr>
      <t>Conveyors</t>
    </r>
  </si>
  <si>
    <t>Mitigation could include storing UV sensitive materials away from direct sunlight, condition monitoring of containers and hoses, replace yellowed plastic as needed.</t>
  </si>
  <si>
    <t>Interdependency: Heat, Increased daylight hours, UV, Chemical, Water availability, site operations, housekeeping, firefighting</t>
  </si>
  <si>
    <r>
      <t>2</t>
    </r>
    <r>
      <rPr>
        <b/>
        <sz val="7"/>
        <color rgb="FF0B0C0C"/>
        <rFont val="Times New Roman"/>
        <family val="1"/>
      </rPr>
      <t xml:space="preserve">      </t>
    </r>
    <r>
      <rPr>
        <b/>
        <sz val="18"/>
        <color rgb="FF0B0C0C"/>
        <rFont val="Arial"/>
        <family val="2"/>
      </rPr>
      <t>Winter daily temperatures</t>
    </r>
  </si>
  <si>
    <t>This could be 4 °C more than the current average with the potential for more extreme temperatures, both warmer and colder than present. (Environment Agency, 2023)</t>
  </si>
  <si>
    <r>
      <t>2.1</t>
    </r>
    <r>
      <rPr>
        <b/>
        <sz val="7"/>
        <color rgb="FF0B0C0C"/>
        <rFont val="Times New Roman"/>
        <family val="1"/>
      </rPr>
      <t xml:space="preserve">     </t>
    </r>
    <r>
      <rPr>
        <b/>
        <sz val="13.5"/>
        <color rgb="FF0B0C0C"/>
        <rFont val="Arial"/>
        <family val="2"/>
      </rPr>
      <t>Increased risk of Freezing Pipes</t>
    </r>
  </si>
  <si>
    <t>With more potential for extremes of temperature including colder than present, there is a risk that pipes may become blocked due to freezing temperatures, or split due to expanding contents as it freezes. This could impact availability of water for firefighting and dust suppression, or for site operations like housekeeping or welfare.</t>
  </si>
  <si>
    <t>The mitigation could include insulating and trace heating exposed pipework.  Regular inspections to check for leaks / the condition of pipework.</t>
  </si>
  <si>
    <t>Interdependency: heat stress on pipes, fluctuating extreme temperatures, water availability, fire response, fire and dust suppression, site operations, housekeeping</t>
  </si>
  <si>
    <r>
      <t>2.2</t>
    </r>
    <r>
      <rPr>
        <b/>
        <sz val="7"/>
        <color rgb="FF0B0C0C"/>
        <rFont val="Times New Roman"/>
        <family val="1"/>
      </rPr>
      <t xml:space="preserve">     </t>
    </r>
    <r>
      <rPr>
        <b/>
        <sz val="13.5"/>
        <color rgb="FF0B0C0C"/>
        <rFont val="Arial"/>
        <family val="2"/>
      </rPr>
      <t>Increased risk of Potholes</t>
    </r>
  </si>
  <si>
    <t>The potential for extremes of temperatures, both warmer and colder / fluctuating cold and icy temperatures creates freeze/ thaw cycles. This has potential to deteriorate concrete and tarmac faster. Combined with increased rain and surface water could lead to deterioration of site surface.</t>
  </si>
  <si>
    <t>The mitigation could include increased monitoring to assess when surfaces need replacing. Other measures to reduce surface water, such as drainage and camber.</t>
  </si>
  <si>
    <t>Interdependency: fluctuating temperatures, access, site operations, safety, flooding</t>
  </si>
  <si>
    <r>
      <t>2.3</t>
    </r>
    <r>
      <rPr>
        <b/>
        <sz val="7"/>
        <color rgb="FF0B0C0C"/>
        <rFont val="Times New Roman"/>
        <family val="1"/>
      </rPr>
      <t xml:space="preserve">     </t>
    </r>
    <r>
      <rPr>
        <b/>
        <sz val="13.5"/>
        <color rgb="FF0B0C0C"/>
        <rFont val="Arial"/>
        <family val="2"/>
      </rPr>
      <t>Snow loading &amp; infrastructure damage</t>
    </r>
  </si>
  <si>
    <t>While there are fewer freezing days predicted, winter is forecast to become more extreme with the changes in climate. This could mean heavy snowfall which may land on roofs or structures and cause them to collapse under the weight.</t>
  </si>
  <si>
    <t>Mitigation could include slanting roofs and regular cleaning of roof to ensure snow can slide easily, review of structures to ensure they can withstand heavy snowfall.</t>
  </si>
  <si>
    <t>Interdependency: fluctuating temperatures, road conditions, site operations, safety</t>
  </si>
  <si>
    <r>
      <t>2.4</t>
    </r>
    <r>
      <rPr>
        <b/>
        <sz val="7"/>
        <color rgb="FF0B0C0C"/>
        <rFont val="Times New Roman"/>
        <family val="1"/>
      </rPr>
      <t xml:space="preserve">     </t>
    </r>
    <r>
      <rPr>
        <b/>
        <sz val="13.5"/>
        <color rgb="FF0B0C0C"/>
        <rFont val="Arial"/>
        <family val="2"/>
      </rPr>
      <t>Precipitation &amp; Visibility</t>
    </r>
  </si>
  <si>
    <t>Precipitation (rain, hail, snow) is predicted to become more intense, obstructing visibility of signage and hazards, particularly in heavy snow fall.</t>
  </si>
  <si>
    <t>Mitigation could include adding lights to signage and barriers to make it stand out in dark/ poor visibility. Also, protective shield over sign to protect from obstruction.</t>
  </si>
  <si>
    <t>Interdependency: cold temperatures, precipitation, site operations, safety, visibility</t>
  </si>
  <si>
    <r>
      <t>3</t>
    </r>
    <r>
      <rPr>
        <b/>
        <sz val="7"/>
        <color rgb="FF0B0C0C"/>
        <rFont val="Times New Roman"/>
        <family val="1"/>
      </rPr>
      <t xml:space="preserve">      </t>
    </r>
    <r>
      <rPr>
        <b/>
        <sz val="18"/>
        <color rgb="FF0B0C0C"/>
        <rFont val="Arial"/>
        <family val="2"/>
      </rPr>
      <t>Daily extreme rainfall</t>
    </r>
  </si>
  <si>
    <t xml:space="preserve">Average winter rainfall may increase by over 40% on today’s averages. Daily rainfall intensity could increase by up to 20% on today’s values.  </t>
  </si>
  <si>
    <r>
      <t>3.1</t>
    </r>
    <r>
      <rPr>
        <b/>
        <sz val="7"/>
        <color rgb="FF0B0C0C"/>
        <rFont val="Times New Roman"/>
        <family val="1"/>
      </rPr>
      <t xml:space="preserve">     </t>
    </r>
    <r>
      <rPr>
        <b/>
        <sz val="13.5"/>
        <color rgb="FF0B0C0C"/>
        <rFont val="Arial"/>
        <family val="2"/>
      </rPr>
      <t>Overwhelmed drainage systems and interceptors.</t>
    </r>
  </si>
  <si>
    <t>There is potential for drainage systems and interceptors to be overwhelmed, either due to considerable increase in flow into system, or because of a reduced output flow rate due to blockage or high river flows.</t>
  </si>
  <si>
    <t>The mitigation for this could be making sure:</t>
  </si>
  <si>
    <r>
      <t>·</t>
    </r>
    <r>
      <rPr>
        <sz val="7"/>
        <color rgb="FF0B0C0C"/>
        <rFont val="Times New Roman"/>
        <family val="1"/>
      </rPr>
      <t xml:space="preserve">       </t>
    </r>
    <r>
      <rPr>
        <sz val="12"/>
        <color rgb="FF0B0C0C"/>
        <rFont val="Arial"/>
        <family val="2"/>
      </rPr>
      <t>suitable measures for the management of flood waters, where relevant</t>
    </r>
  </si>
  <si>
    <r>
      <t>·</t>
    </r>
    <r>
      <rPr>
        <sz val="7"/>
        <color rgb="FF0B0C0C"/>
        <rFont val="Times New Roman"/>
        <family val="1"/>
      </rPr>
      <t xml:space="preserve">       </t>
    </r>
    <r>
      <rPr>
        <sz val="12"/>
        <color rgb="FF0B0C0C"/>
        <rFont val="Arial"/>
        <family val="2"/>
      </rPr>
      <t>drainage systems are inspected and kept.</t>
    </r>
  </si>
  <si>
    <r>
      <t>·</t>
    </r>
    <r>
      <rPr>
        <sz val="7"/>
        <color rgb="FF0B0C0C"/>
        <rFont val="Times New Roman"/>
        <family val="1"/>
      </rPr>
      <t xml:space="preserve">       </t>
    </r>
    <r>
      <rPr>
        <sz val="12"/>
        <color rgb="FF0B0C0C"/>
        <rFont val="Arial"/>
        <family val="2"/>
      </rPr>
      <t>external areas where wastes are managed/stored have held drainage.</t>
    </r>
  </si>
  <si>
    <r>
      <t>·</t>
    </r>
    <r>
      <rPr>
        <sz val="7"/>
        <color rgb="FF0B0C0C"/>
        <rFont val="Times New Roman"/>
        <family val="1"/>
      </rPr>
      <t xml:space="preserve">       </t>
    </r>
    <r>
      <rPr>
        <sz val="12"/>
        <color rgb="FF0B0C0C"/>
        <rFont val="Arial"/>
        <family val="2"/>
      </rPr>
      <t>drainage &amp; effluent treatment has sufficient storage/ treatment capacity.</t>
    </r>
  </si>
  <si>
    <t>Interdependency: intense rain, prolonged rain, flooding, drainage, reduced receptor resilience, Flood – Surface / Rainfall (Pluvial), containment</t>
  </si>
  <si>
    <r>
      <t>3.2</t>
    </r>
    <r>
      <rPr>
        <b/>
        <sz val="7"/>
        <color rgb="FF0B0C0C"/>
        <rFont val="Times New Roman"/>
        <family val="1"/>
      </rPr>
      <t xml:space="preserve">     </t>
    </r>
    <r>
      <rPr>
        <b/>
        <sz val="13.5"/>
        <color rgb="FF0B0C0C"/>
        <rFont val="Arial"/>
        <family val="2"/>
      </rPr>
      <t>Loss of power due to flooding</t>
    </r>
  </si>
  <si>
    <t>Flooding may overwhelm electrical circuits, especially if any substations or key electrical infrastructure is low or below ground.</t>
  </si>
  <si>
    <t>Mitigation plans include review location of electrical equipment on site, review location of plug sockets and other outlets and consider if they need to be raised or pumps installed. Cable management and desk spaces are well organised to prevent cables at ground level.</t>
  </si>
  <si>
    <t xml:space="preserve">Interdependency: infrastructure, power, intense rain, flood, drainage, operations, </t>
  </si>
  <si>
    <r>
      <t>3.3</t>
    </r>
    <r>
      <rPr>
        <b/>
        <sz val="7"/>
        <color rgb="FF0B0C0C"/>
        <rFont val="Times New Roman"/>
        <family val="1"/>
      </rPr>
      <t xml:space="preserve">     </t>
    </r>
    <r>
      <rPr>
        <b/>
        <sz val="13.5"/>
        <color rgb="FF0B0C0C"/>
        <rFont val="Arial"/>
        <family val="2"/>
      </rPr>
      <t>Equipment damage</t>
    </r>
  </si>
  <si>
    <t>Flooding may damage mobile and static equipment on site. For example, water ingress to engines or electrified plant may make them inoperable after.  Water may also ingress offices and damage ICT equipment and paper records.</t>
  </si>
  <si>
    <t>Mitigation could include move mobile plant to a higher area / another site in preparation for flooding.  Locating ICT equipment off the ground and ensuring paper records are kept off the ground.</t>
  </si>
  <si>
    <t>Interdependency: operations, power, intense rain, flood</t>
  </si>
  <si>
    <r>
      <t>3.4</t>
    </r>
    <r>
      <rPr>
        <b/>
        <sz val="7"/>
        <color rgb="FF0B0C0C"/>
        <rFont val="Times New Roman"/>
        <family val="1"/>
      </rPr>
      <t xml:space="preserve">     </t>
    </r>
    <r>
      <rPr>
        <b/>
        <sz val="13.5"/>
        <color rgb="FF0B0C0C"/>
        <rFont val="Arial"/>
        <family val="2"/>
      </rPr>
      <t>Stockpile movement</t>
    </r>
  </si>
  <si>
    <t>Flooding has potential to lift material from stockpile and carry it to another location. This could be another area on site, or potentially outside of site boundaries. All material is at risk, but particularly large flat sheets, flat bottomed containers and lighter fractions.</t>
  </si>
  <si>
    <t>Mitigation could include erecting barriers prior to heavy rain warnings.</t>
  </si>
  <si>
    <t>Interdependency: Storms, safety, flood, intense rain, prolonged rain</t>
  </si>
  <si>
    <r>
      <t>4</t>
    </r>
    <r>
      <rPr>
        <b/>
        <sz val="7"/>
        <color rgb="FF0B0C0C"/>
        <rFont val="Times New Roman"/>
        <family val="1"/>
      </rPr>
      <t xml:space="preserve">      </t>
    </r>
    <r>
      <rPr>
        <b/>
        <sz val="18"/>
        <color rgb="FF0B0C0C"/>
        <rFont val="Arial"/>
        <family val="2"/>
      </rPr>
      <t>Average winter rainfall</t>
    </r>
  </si>
  <si>
    <t>Following EPR and COMAH guidance</t>
  </si>
  <si>
    <r>
      <t>4.1</t>
    </r>
    <r>
      <rPr>
        <b/>
        <sz val="7"/>
        <color rgb="FF0B0C0C"/>
        <rFont val="Times New Roman"/>
        <family val="1"/>
      </rPr>
      <t xml:space="preserve">     </t>
    </r>
    <r>
      <rPr>
        <b/>
        <sz val="13.5"/>
        <color rgb="FF0B0C0C"/>
        <rFont val="Arial"/>
        <family val="2"/>
      </rPr>
      <t>Potential for increased site surface water and flooding</t>
    </r>
  </si>
  <si>
    <t>Predictions indicate up to 20% increase in the intensity of rainfall and average winter rainfall may increase by over 40%, this may cause flooding (Flood – Surface/Pluvial). This could be amplified if it comes after a period of drought where the ground becomes less absorbent (Flood – Groundwater).</t>
  </si>
  <si>
    <t>Mitigation for this would be to prepare flood plan with reference to the guidance Preparing for flooding: A guide for sites regulated under EPR and COMAH. This should include:</t>
  </si>
  <si>
    <r>
      <t>·</t>
    </r>
    <r>
      <rPr>
        <sz val="7"/>
        <color rgb="FF0B0C0C"/>
        <rFont val="Times New Roman"/>
        <family val="1"/>
      </rPr>
      <t xml:space="preserve">       </t>
    </r>
    <r>
      <rPr>
        <sz val="12"/>
        <color rgb="FF0B0C0C"/>
        <rFont val="Arial"/>
        <family val="2"/>
      </rPr>
      <t>identification and risk assessment of process equipment and services at greatest risk from flooding</t>
    </r>
  </si>
  <si>
    <r>
      <t>·</t>
    </r>
    <r>
      <rPr>
        <sz val="7"/>
        <color rgb="FF0B0C0C"/>
        <rFont val="Times New Roman"/>
        <family val="1"/>
      </rPr>
      <t xml:space="preserve">       </t>
    </r>
    <r>
      <rPr>
        <sz val="12"/>
        <color rgb="FF0B0C0C"/>
        <rFont val="Arial"/>
        <family val="2"/>
      </rPr>
      <t>provision of emergency pumps to remove floodwater and identification of lowest risk location for discharge of floodwaters.</t>
    </r>
  </si>
  <si>
    <r>
      <t>·</t>
    </r>
    <r>
      <rPr>
        <sz val="7"/>
        <color rgb="FF0B0C0C"/>
        <rFont val="Times New Roman"/>
        <family val="1"/>
      </rPr>
      <t xml:space="preserve">       </t>
    </r>
    <r>
      <rPr>
        <sz val="12"/>
        <color rgb="FF0B0C0C"/>
        <rFont val="Arial"/>
        <family val="2"/>
      </rPr>
      <t>protection of control and electrical systems</t>
    </r>
  </si>
  <si>
    <r>
      <t>·</t>
    </r>
    <r>
      <rPr>
        <sz val="7"/>
        <color rgb="FF0B0C0C"/>
        <rFont val="Times New Roman"/>
        <family val="1"/>
      </rPr>
      <t xml:space="preserve">       </t>
    </r>
    <r>
      <rPr>
        <sz val="12"/>
        <color rgb="FF0B0C0C"/>
        <rFont val="Arial"/>
        <family val="2"/>
      </rPr>
      <t>identification and protection of flat bottom tanks at risk of floating in floodwater</t>
    </r>
  </si>
  <si>
    <r>
      <t>·</t>
    </r>
    <r>
      <rPr>
        <sz val="7"/>
        <color rgb="FF0B0C0C"/>
        <rFont val="Times New Roman"/>
        <family val="1"/>
      </rPr>
      <t xml:space="preserve">       </t>
    </r>
    <r>
      <rPr>
        <sz val="12"/>
        <color rgb="FF0B0C0C"/>
        <rFont val="Arial"/>
        <family val="2"/>
      </rPr>
      <t>identification and risk assessment of hazardous liquid storage areas that could become overwhelmed by floodwaters and cause contamination of floodwaters.</t>
    </r>
  </si>
  <si>
    <t>Interdependency: rainfall, drought, groundwater, operations</t>
  </si>
  <si>
    <r>
      <t>4.2</t>
    </r>
    <r>
      <rPr>
        <b/>
        <sz val="7"/>
        <color rgb="FF0B0C0C"/>
        <rFont val="Times New Roman"/>
        <family val="1"/>
      </rPr>
      <t xml:space="preserve">     </t>
    </r>
    <r>
      <rPr>
        <b/>
        <sz val="13.5"/>
        <color rgb="FF0B0C0C"/>
        <rFont val="Arial"/>
        <family val="2"/>
      </rPr>
      <t>Potential for drainage and interceptors overwhelmed</t>
    </r>
  </si>
  <si>
    <t>Potential for drainage systems and interceptors to be overwhelmed.</t>
  </si>
  <si>
    <r>
      <t>·</t>
    </r>
    <r>
      <rPr>
        <sz val="7"/>
        <color rgb="FF0B0C0C"/>
        <rFont val="Times New Roman"/>
        <family val="1"/>
      </rPr>
      <t xml:space="preserve">       </t>
    </r>
    <r>
      <rPr>
        <sz val="12"/>
        <color rgb="FF0B0C0C"/>
        <rFont val="Arial"/>
        <family val="2"/>
      </rPr>
      <t>suitable measures are in place for the management of flood waters, where relevant</t>
    </r>
  </si>
  <si>
    <r>
      <t>·</t>
    </r>
    <r>
      <rPr>
        <sz val="7"/>
        <color rgb="FF0B0C0C"/>
        <rFont val="Times New Roman"/>
        <family val="1"/>
      </rPr>
      <t xml:space="preserve">       </t>
    </r>
    <r>
      <rPr>
        <sz val="12"/>
        <color rgb="FF0B0C0C"/>
        <rFont val="Arial"/>
        <family val="2"/>
      </rPr>
      <t>drainage systems are inspected and maintained.</t>
    </r>
  </si>
  <si>
    <r>
      <t>·</t>
    </r>
    <r>
      <rPr>
        <sz val="7"/>
        <color rgb="FF0B0C0C"/>
        <rFont val="Times New Roman"/>
        <family val="1"/>
      </rPr>
      <t xml:space="preserve">       </t>
    </r>
    <r>
      <rPr>
        <sz val="12"/>
        <color rgb="FF0B0C0C"/>
        <rFont val="Arial"/>
        <family val="2"/>
      </rPr>
      <t>external areas where wastes are handled or stored are provided with contained drainage.</t>
    </r>
  </si>
  <si>
    <r>
      <t>·</t>
    </r>
    <r>
      <rPr>
        <sz val="7"/>
        <color rgb="FF0B0C0C"/>
        <rFont val="Times New Roman"/>
        <family val="1"/>
      </rPr>
      <t xml:space="preserve">       </t>
    </r>
    <r>
      <rPr>
        <sz val="12"/>
        <color rgb="FF0B0C0C"/>
        <rFont val="Arial"/>
        <family val="2"/>
      </rPr>
      <t>the site drainage system and effluent treatment plant has sufficient storage or treatment capacity.</t>
    </r>
  </si>
  <si>
    <r>
      <t>5</t>
    </r>
    <r>
      <rPr>
        <b/>
        <sz val="7"/>
        <color rgb="FF0B0C0C"/>
        <rFont val="Times New Roman"/>
        <family val="1"/>
      </rPr>
      <t xml:space="preserve">      </t>
    </r>
    <r>
      <rPr>
        <b/>
        <sz val="18"/>
        <color rgb="FF0B0C0C"/>
        <rFont val="Arial"/>
        <family val="2"/>
      </rPr>
      <t>Sea Level Rise</t>
    </r>
  </si>
  <si>
    <t>Sea level rise could be as much as 0.6m higher compared to today’s level. (Environment Agency, 2023)  This is because of global ice melt and sea warming due to climate change.</t>
  </si>
  <si>
    <t>Figure 1: UK Sea Level Rise (Met Office, 2023)</t>
  </si>
  <si>
    <r>
      <t>5.1</t>
    </r>
    <r>
      <rPr>
        <b/>
        <sz val="7"/>
        <color rgb="FF0B0C0C"/>
        <rFont val="Times New Roman"/>
        <family val="1"/>
      </rPr>
      <t xml:space="preserve">     </t>
    </r>
    <r>
      <rPr>
        <b/>
        <sz val="13.5"/>
        <color rgb="FF0B0C0C"/>
        <rFont val="Arial"/>
        <family val="2"/>
      </rPr>
      <t>Potential increased risk of coastal flooding</t>
    </r>
  </si>
  <si>
    <t xml:space="preserve">If a site is low lying and located near the coast there is potential increased risk of flooding.  </t>
  </si>
  <si>
    <t>Locations that may be more at risk include:</t>
  </si>
  <si>
    <t>Sites located near the coast e.g. Dock sites or sites located on tidal estuaries</t>
  </si>
  <si>
    <t>The mitigation for this would be to produce a flood plan with reference to the guidance Preparing for flooding: A guide for sites regulated under EPR and COMAH</t>
  </si>
  <si>
    <t>See section 4.1 above re flooding.</t>
  </si>
  <si>
    <t>Discuss with the Port Authority / Regulators regarding their plans for flood defences.</t>
  </si>
  <si>
    <t>Depending on the severity / frequency of the flooding, or if there is the potential for the sea level rise to result in chronic flooding, the mitigation could be significant e.g. engineering solutions to elevate plant / equipment / infrastructure to a higher elevation to prevent flooding, worst case may be necessary to plan to move operations from these locations.</t>
  </si>
  <si>
    <t>Interdependency: flooding, lightning, access, personnel availability</t>
  </si>
  <si>
    <r>
      <t>5.2</t>
    </r>
    <r>
      <rPr>
        <b/>
        <sz val="7"/>
        <color rgb="FF0B0C0C"/>
        <rFont val="Times New Roman"/>
        <family val="1"/>
      </rPr>
      <t xml:space="preserve">     </t>
    </r>
    <r>
      <rPr>
        <b/>
        <sz val="13.5"/>
        <color rgb="FF0B0C0C"/>
        <rFont val="Arial"/>
        <family val="2"/>
      </rPr>
      <t>Potential increased risk of Coastal surge</t>
    </r>
  </si>
  <si>
    <t>Coastal surge is caused by high winds and changes in pressure which cause local sea level to rise significantly. Coastal surge poses a unique risk as they can only be predicted up to 36 hours in advance. Increased salinity may cause worse damage in flooded areas and makes it a better conductor - therefore higher impact of potential lightning strike.</t>
  </si>
  <si>
    <t>Mitigation plans could include tuning into storm warning alerts, incorporating storm surge potential into flood plans, discussion with Port Authorities / Regulators regarding their plans for building of defences e.g. sea walls, storing electric equipment away from sea surge risk areas.</t>
  </si>
  <si>
    <t>Interdependency: Storms, wind, flooding, lightning</t>
  </si>
  <si>
    <r>
      <t>6</t>
    </r>
    <r>
      <rPr>
        <b/>
        <sz val="7"/>
        <color rgb="FF0B0C0C"/>
        <rFont val="Times New Roman"/>
        <family val="1"/>
      </rPr>
      <t xml:space="preserve">      </t>
    </r>
    <r>
      <rPr>
        <b/>
        <sz val="18"/>
        <color rgb="FF0B0C0C"/>
        <rFont val="Arial"/>
        <family val="2"/>
      </rPr>
      <t>Drier Summers</t>
    </r>
  </si>
  <si>
    <t>Summers could see potentially up to 40% less rain than now (Environment Agency, 2023) which could mean that sites are drier and there is also the potential for there to be a reduction in quantity of clean water available.</t>
  </si>
  <si>
    <r>
      <t>6.1</t>
    </r>
    <r>
      <rPr>
        <b/>
        <sz val="7"/>
        <color rgb="FF0B0C0C"/>
        <rFont val="Times New Roman"/>
        <family val="1"/>
      </rPr>
      <t xml:space="preserve">     </t>
    </r>
    <r>
      <rPr>
        <b/>
        <sz val="13.5"/>
        <color rgb="FF0B0C0C"/>
        <rFont val="Arial"/>
        <family val="2"/>
      </rPr>
      <t>Potential increased use and reliance on mains water for dust suppression, cleaning.</t>
    </r>
  </si>
  <si>
    <t>Extended periods of hot and dry weather may mean that water is scarce on site, regionally or nationally (e.g. drought/ hose pipe bans etc.) reducing the availability of water for dust suppression, firefighting and general operations e.g. cooling systems, welfare etc.</t>
  </si>
  <si>
    <t>This has the potential to impact all sites, but sites that store or treat wastes with the potential to generate dust are at increased potential risk,</t>
  </si>
  <si>
    <r>
      <t>·</t>
    </r>
    <r>
      <rPr>
        <sz val="7"/>
        <color rgb="FF0B0C0C"/>
        <rFont val="Times New Roman"/>
        <family val="1"/>
      </rPr>
      <t xml:space="preserve">       </t>
    </r>
    <r>
      <rPr>
        <sz val="12"/>
        <color rgb="FF0B0C0C"/>
        <rFont val="Arial"/>
        <family val="2"/>
      </rPr>
      <t>Shredder sites</t>
    </r>
  </si>
  <si>
    <r>
      <t>·</t>
    </r>
    <r>
      <rPr>
        <sz val="7"/>
        <color rgb="FF0B0C0C"/>
        <rFont val="Times New Roman"/>
        <family val="1"/>
      </rPr>
      <t xml:space="preserve">       </t>
    </r>
    <r>
      <rPr>
        <sz val="12"/>
        <color rgb="FF0B0C0C"/>
        <rFont val="Arial"/>
        <family val="2"/>
      </rPr>
      <t>OLRP</t>
    </r>
  </si>
  <si>
    <r>
      <t>·</t>
    </r>
    <r>
      <rPr>
        <sz val="7"/>
        <color rgb="FF0B0C0C"/>
        <rFont val="Times New Roman"/>
        <family val="1"/>
      </rPr>
      <t xml:space="preserve">       </t>
    </r>
    <r>
      <rPr>
        <sz val="12"/>
        <color rgb="FF0B0C0C"/>
        <rFont val="Arial"/>
        <family val="2"/>
      </rPr>
      <t>Incinerator</t>
    </r>
  </si>
  <si>
    <r>
      <t>·</t>
    </r>
    <r>
      <rPr>
        <sz val="7"/>
        <color rgb="FF0B0C0C"/>
        <rFont val="Times New Roman"/>
        <family val="1"/>
      </rPr>
      <t xml:space="preserve">       </t>
    </r>
    <r>
      <rPr>
        <sz val="12"/>
        <color rgb="FF0B0C0C"/>
        <rFont val="Arial"/>
        <family val="2"/>
      </rPr>
      <t>Granulator</t>
    </r>
  </si>
  <si>
    <t>or sites who store combustible wastes whose combustion risk may increase if the wastes are very dry:</t>
  </si>
  <si>
    <r>
      <t>·</t>
    </r>
    <r>
      <rPr>
        <sz val="7"/>
        <color rgb="FF0B0C0C"/>
        <rFont val="Times New Roman"/>
        <family val="1"/>
      </rPr>
      <t xml:space="preserve">       </t>
    </r>
    <r>
      <rPr>
        <sz val="12"/>
        <color rgb="FF0B0C0C"/>
        <rFont val="Arial"/>
        <family val="2"/>
      </rPr>
      <t>reviewing the current level of water usage.</t>
    </r>
  </si>
  <si>
    <r>
      <t>·</t>
    </r>
    <r>
      <rPr>
        <sz val="7"/>
        <color rgb="FF0B0C0C"/>
        <rFont val="Times New Roman"/>
        <family val="1"/>
      </rPr>
      <t xml:space="preserve">       </t>
    </r>
    <r>
      <rPr>
        <sz val="12"/>
        <color rgb="FF0B0C0C"/>
        <rFont val="Arial"/>
        <family val="2"/>
      </rPr>
      <t>plan to reduce water usage, for example re-circulation.</t>
    </r>
  </si>
  <si>
    <r>
      <t>·</t>
    </r>
    <r>
      <rPr>
        <sz val="7"/>
        <color rgb="FF0B0C0C"/>
        <rFont val="Times New Roman"/>
        <family val="1"/>
      </rPr>
      <t xml:space="preserve">       </t>
    </r>
    <r>
      <rPr>
        <sz val="12"/>
        <color rgb="FF0B0C0C"/>
        <rFont val="Arial"/>
        <family val="2"/>
      </rPr>
      <t>exploring options for water harvesting and storage on site</t>
    </r>
  </si>
  <si>
    <r>
      <t>·</t>
    </r>
    <r>
      <rPr>
        <sz val="7"/>
        <color rgb="FF0B0C0C"/>
        <rFont val="Times New Roman"/>
        <family val="1"/>
      </rPr>
      <t xml:space="preserve">       </t>
    </r>
    <r>
      <rPr>
        <sz val="12"/>
        <color rgb="FF0B0C0C"/>
        <rFont val="Arial"/>
        <family val="2"/>
      </rPr>
      <t>reviewing which systems and processes have a critical need for water and what the baseline requirements are.</t>
    </r>
  </si>
  <si>
    <r>
      <t>·</t>
    </r>
    <r>
      <rPr>
        <sz val="7"/>
        <color rgb="FF0B0C0C"/>
        <rFont val="Times New Roman"/>
        <family val="1"/>
      </rPr>
      <t xml:space="preserve">       </t>
    </r>
    <r>
      <rPr>
        <sz val="12"/>
        <color rgb="FF0B0C0C"/>
        <rFont val="Arial"/>
        <family val="2"/>
      </rPr>
      <t>discuss with utilities about supply of water and any drought restrictions.</t>
    </r>
  </si>
  <si>
    <r>
      <t>·</t>
    </r>
    <r>
      <rPr>
        <sz val="7"/>
        <color rgb="FF0B0C0C"/>
        <rFont val="Times New Roman"/>
        <family val="1"/>
      </rPr>
      <t xml:space="preserve">       </t>
    </r>
    <r>
      <rPr>
        <sz val="12"/>
        <color rgb="FF0B0C0C"/>
        <rFont val="Arial"/>
        <family val="2"/>
      </rPr>
      <t>reviewing fire suppression plans including water, and considering what alternative means of firefighting are when water is scarce.</t>
    </r>
  </si>
  <si>
    <r>
      <t>·</t>
    </r>
    <r>
      <rPr>
        <sz val="7"/>
        <color rgb="FF0B0C0C"/>
        <rFont val="Times New Roman"/>
        <family val="1"/>
      </rPr>
      <t xml:space="preserve">       </t>
    </r>
    <r>
      <rPr>
        <sz val="12"/>
        <color rgb="FF0B0C0C"/>
        <rFont val="Arial"/>
        <family val="2"/>
      </rPr>
      <t>Consider this in your dust management plan and fire prevention plan.</t>
    </r>
  </si>
  <si>
    <t>Water is required for firefighting as detailed in fire prevention plans.  If there is a general lack of water available for suppression, the ability to supress a fire decreases and exposure to fire damage increases.</t>
  </si>
  <si>
    <t>The mitigation for this could include reviewing the fire prevention plan and assessing stockpile sizes along with firefighting capabilities.  Looking at alternative suppression methods - drawing from alternative water sources in emergency (dock, river, etc), considering foam blanket cannons or CO2 dousing, increase quantity of prefilled IBCs on site and consider filling with rainwater during wet periods.</t>
  </si>
  <si>
    <t>Interdependency: drought, extreme hot temperature, prolonged hot temperature, stockpile</t>
  </si>
  <si>
    <t>40% less rainfall in summer/ 7 °C increase in summer temperatures can lead to increased evaporation which may cause excess dust (as outlined in 2.1). It can also lead to water scarcity which may reduce water available for suppression.</t>
  </si>
  <si>
    <t xml:space="preserve">When sites are drier the risk of potential for dust generation increases and the ability to supress it / complete effective housekeeping decreases.  </t>
  </si>
  <si>
    <t>The mitigation for this would be to look at the dust management plan to see whether current mitigation measures are optimal.  Then to source water from a reliable source, such as mains water with adequate availability. To harvest grey water in periods of wet weather for use when dry.  It could also mean sourcing low water cleaning solutions, such as vacuums and extractor fans to collect any dust.</t>
  </si>
  <si>
    <t>Interdependency: drought, extreme hot temperature, prolonged hot temperature, stockpile, emissions, housekeeping, cleaning</t>
  </si>
  <si>
    <r>
      <t>7</t>
    </r>
    <r>
      <rPr>
        <b/>
        <sz val="7"/>
        <color rgb="FF0B0C0C"/>
        <rFont val="Times New Roman"/>
        <family val="1"/>
      </rPr>
      <t xml:space="preserve">      </t>
    </r>
    <r>
      <rPr>
        <b/>
        <sz val="18"/>
        <color rgb="FF0B0C0C"/>
        <rFont val="Arial"/>
        <family val="2"/>
      </rPr>
      <t>River Flow</t>
    </r>
  </si>
  <si>
    <t>The flow in the watercourses could be 50% more than now at its peak, and 80% less than now at its lowest. (Environment Agency, 2023)</t>
  </si>
  <si>
    <r>
      <t>7.1</t>
    </r>
    <r>
      <rPr>
        <b/>
        <sz val="7"/>
        <color rgb="FF0B0C0C"/>
        <rFont val="Times New Roman"/>
        <family val="1"/>
      </rPr>
      <t xml:space="preserve">     </t>
    </r>
    <r>
      <rPr>
        <b/>
        <sz val="13.5"/>
        <color rgb="FF0B0C0C"/>
        <rFont val="Arial"/>
        <family val="2"/>
      </rPr>
      <t>Low river flow potentially increases impact of discharge to watercourse.</t>
    </r>
  </si>
  <si>
    <t>There is potential increased impact of discharge to watercourse from on-site drainage systems where connected to water courses.</t>
  </si>
  <si>
    <t>Increased rainfall intensity and higher risk of flooding on site may increase risk of contamination in site surface run off and hence potential increased impact of the site discharge on a receiving watercourse.  Though it is noted watercourses will also have greater volume of water “up to 50% more than now at its peak, and 80% less at its lowest” (Environment Agency, 2023) and as site discharges are rainfall dependant the impact may be mitigated to some extent.</t>
  </si>
  <si>
    <t>The mitigation would include:</t>
  </si>
  <si>
    <r>
      <t>·</t>
    </r>
    <r>
      <rPr>
        <sz val="7"/>
        <color rgb="FF0B0C0C"/>
        <rFont val="Times New Roman"/>
        <family val="1"/>
      </rPr>
      <t xml:space="preserve">       </t>
    </r>
    <r>
      <rPr>
        <sz val="12"/>
        <color rgb="FF0B0C0C"/>
        <rFont val="Arial"/>
        <family val="2"/>
      </rPr>
      <t>review environment risk assessment: discharge to water from on-site drainage</t>
    </r>
  </si>
  <si>
    <r>
      <t>·</t>
    </r>
    <r>
      <rPr>
        <sz val="7"/>
        <color rgb="FF0B0C0C"/>
        <rFont val="Times New Roman"/>
        <family val="1"/>
      </rPr>
      <t xml:space="preserve">       </t>
    </r>
    <r>
      <rPr>
        <sz val="12"/>
        <color rgb="FF0B0C0C"/>
        <rFont val="Arial"/>
        <family val="2"/>
      </rPr>
      <t>checking the existing environmental risk assessment to make sure low river flow used in assessment still is valid – if not, discuss with the Environment Agency (local site inspector and water quality team) and do an updated environmental risk assessment</t>
    </r>
  </si>
  <si>
    <r>
      <t>·</t>
    </r>
    <r>
      <rPr>
        <sz val="7"/>
        <color rgb="FF0B0C0C"/>
        <rFont val="Times New Roman"/>
        <family val="1"/>
      </rPr>
      <t xml:space="preserve">       </t>
    </r>
    <r>
      <rPr>
        <sz val="12"/>
        <color rgb="FF0B0C0C"/>
        <rFont val="Arial"/>
        <family val="2"/>
      </rPr>
      <t>reviewing and improving the effluent treatment process if added impact is predicted for the receiving watercourse.</t>
    </r>
  </si>
  <si>
    <r>
      <t>·</t>
    </r>
    <r>
      <rPr>
        <sz val="7"/>
        <color rgb="FF0B0C0C"/>
        <rFont val="Times New Roman"/>
        <family val="1"/>
      </rPr>
      <t xml:space="preserve">       </t>
    </r>
    <r>
      <rPr>
        <sz val="12"/>
        <color rgb="FF0B0C0C"/>
        <rFont val="Arial"/>
        <family val="2"/>
      </rPr>
      <t>See above re measures for hazardous liquid storage in event of flood.</t>
    </r>
  </si>
  <si>
    <r>
      <t>·</t>
    </r>
    <r>
      <rPr>
        <sz val="7"/>
        <color rgb="FF0B0C0C"/>
        <rFont val="Times New Roman"/>
        <family val="1"/>
      </rPr>
      <t xml:space="preserve">       </t>
    </r>
    <r>
      <rPr>
        <sz val="12"/>
        <color rgb="FF0B0C0C"/>
        <rFont val="Arial"/>
        <family val="2"/>
      </rPr>
      <t>Cover non-metallic fraction and shredded POPs waste storage bays.</t>
    </r>
  </si>
  <si>
    <r>
      <t>·</t>
    </r>
    <r>
      <rPr>
        <sz val="7"/>
        <color rgb="FF0B0C0C"/>
        <rFont val="Times New Roman"/>
        <family val="1"/>
      </rPr>
      <t xml:space="preserve">       </t>
    </r>
    <r>
      <rPr>
        <sz val="12"/>
        <color rgb="FF0B0C0C"/>
        <rFont val="Arial"/>
        <family val="2"/>
      </rPr>
      <t>Cover swarf and bays for the containment of oily wastes</t>
    </r>
  </si>
  <si>
    <t>Interdependency: Flooding (Fluvial), drainage, wildlife</t>
  </si>
  <si>
    <r>
      <t>7.2</t>
    </r>
    <r>
      <rPr>
        <b/>
        <sz val="7"/>
        <color rgb="FF0B0C0C"/>
        <rFont val="Times New Roman"/>
        <family val="1"/>
      </rPr>
      <t xml:space="preserve">     </t>
    </r>
    <r>
      <rPr>
        <b/>
        <sz val="13.5"/>
        <color rgb="FF0B0C0C"/>
        <rFont val="Arial"/>
        <family val="2"/>
      </rPr>
      <t>High river flow, or sewers at capacity, potentially allow discharge and drainage backing up on site.</t>
    </r>
  </si>
  <si>
    <t>There is a risk that watercourse flows are too high, or sewers are at capacity, resulting in the site flooding as unable to discharge water via drainage system, leading to water backing up on site.</t>
  </si>
  <si>
    <t>The mitigation for this could include checking the potential for high flows in the receiving watercourse to cause surface water backing up and flooding the site.</t>
  </si>
  <si>
    <t>Consideration of buffer storage capacity at site, alternative means of water disposal, but there is no mitigation for this if the rivers / national sewage infrastructure is unable to cope.  Ultimately the site may have to cease operations if becomes unsafe, for the duration of the flooding.</t>
  </si>
  <si>
    <r>
      <t>8</t>
    </r>
    <r>
      <rPr>
        <b/>
        <sz val="7"/>
        <color rgb="FF0B0C0C"/>
        <rFont val="Times New Roman"/>
        <family val="1"/>
      </rPr>
      <t xml:space="preserve">      </t>
    </r>
    <r>
      <rPr>
        <b/>
        <sz val="18"/>
        <color rgb="FF0B0C0C"/>
        <rFont val="Arial"/>
        <family val="2"/>
      </rPr>
      <t>Storms</t>
    </r>
  </si>
  <si>
    <t>Storms could see a change in frequency and intensity. The unique combination of increased wind speeds, increased rainfall, and lightning during these events increases the potential for more extreme storm impacts (Environment Agency, 2023)</t>
  </si>
  <si>
    <r>
      <t>8.1</t>
    </r>
    <r>
      <rPr>
        <b/>
        <sz val="7"/>
        <color rgb="FF0B0C0C"/>
        <rFont val="Times New Roman"/>
        <family val="1"/>
      </rPr>
      <t xml:space="preserve">     </t>
    </r>
    <r>
      <rPr>
        <b/>
        <sz val="13.5"/>
        <color rgb="FF0B0C0C"/>
        <rFont val="Arial"/>
        <family val="2"/>
      </rPr>
      <t>Potential increase in Hail</t>
    </r>
  </si>
  <si>
    <t>Winter - Hail more likely in West England and South Wales.</t>
  </si>
  <si>
    <t>Spring - Hail more likely in East England and SE Scotland.</t>
  </si>
  <si>
    <t>Summer – Hail less likely, but more intense/ damaging when it does occur, mostly in NE England.</t>
  </si>
  <si>
    <t>Potential risk for hail in UK to increase overall.</t>
  </si>
  <si>
    <t>Mitigation plans could be to monitor weather forecasts, reinforce importance of hard hats, supply shelters to those whose designated working areas are outside.</t>
  </si>
  <si>
    <t>Interdependency: storms, hail, operations, damage</t>
  </si>
  <si>
    <r>
      <t>8.2</t>
    </r>
    <r>
      <rPr>
        <b/>
        <sz val="7"/>
        <color rgb="FF0B0C0C"/>
        <rFont val="Times New Roman"/>
        <family val="1"/>
      </rPr>
      <t xml:space="preserve">     </t>
    </r>
    <r>
      <rPr>
        <b/>
        <sz val="13.5"/>
        <color rgb="FF0B0C0C"/>
        <rFont val="Arial"/>
        <family val="2"/>
      </rPr>
      <t>Potential increase in Lightning</t>
    </r>
  </si>
  <si>
    <t>Potential increase of lightning which could potentially have affects such as shutting off power or starting a fire.</t>
  </si>
  <si>
    <t>Mitigation plans could include installing lightning conductors to control flow and reduce likelihood of strike on a building / static plant or other fire risk area.</t>
  </si>
  <si>
    <t>Interdependency: storms, temperature, sea level rise/ salinity/ conductivity, fire, Unplanned shutdown / startup issues</t>
  </si>
  <si>
    <r>
      <t>8.3</t>
    </r>
    <r>
      <rPr>
        <b/>
        <sz val="7"/>
        <color rgb="FF0B0C0C"/>
        <rFont val="Times New Roman"/>
        <family val="1"/>
      </rPr>
      <t xml:space="preserve">     </t>
    </r>
    <r>
      <rPr>
        <b/>
        <sz val="13.5"/>
        <color rgb="FF0B0C0C"/>
        <rFont val="Arial"/>
        <family val="2"/>
      </rPr>
      <t>Storm has potential to disrupt operations</t>
    </r>
  </si>
  <si>
    <t xml:space="preserve">Potential for higher winds due to weather fronts combining. Effects of this could be exceeding operating conditions for cranes, increased risk for transport, </t>
  </si>
  <si>
    <t>The mitigation for this could include reviewing storm risk at each site (e.g., UK tornado alley) and prevalent wind patterns. Reviewing operating conditions.</t>
  </si>
  <si>
    <t>Interdependency: storm, wind, operations, Unplanned shutdown / startup issues</t>
  </si>
  <si>
    <r>
      <t>8.4</t>
    </r>
    <r>
      <rPr>
        <b/>
        <sz val="7"/>
        <color rgb="FF0B0C0C"/>
        <rFont val="Times New Roman"/>
        <family val="1"/>
      </rPr>
      <t xml:space="preserve">     </t>
    </r>
    <r>
      <rPr>
        <b/>
        <sz val="13.5"/>
        <color rgb="FF0B0C0C"/>
        <rFont val="Arial"/>
        <family val="2"/>
      </rPr>
      <t>Storm has potential to damage buildings and infrastructure</t>
    </r>
  </si>
  <si>
    <t>Potential for higher winds due to weather fronts combining. Effects of this could be material displaced by wind, damage to buildings and property, roofing coming up. Storms and high winds could damage building structures with increased potential for fugitive emissions.</t>
  </si>
  <si>
    <r>
      <t>·</t>
    </r>
    <r>
      <rPr>
        <sz val="7"/>
        <color rgb="FF0B0C0C"/>
        <rFont val="Times New Roman"/>
        <family val="1"/>
      </rPr>
      <t xml:space="preserve">       </t>
    </r>
    <r>
      <rPr>
        <sz val="12"/>
        <color rgb="FF0B0C0C"/>
        <rFont val="Arial"/>
        <family val="2"/>
      </rPr>
      <t>Reviewing site storm risks (e.g., UK tornado alley), prevalent wind patterns</t>
    </r>
  </si>
  <si>
    <r>
      <t>·</t>
    </r>
    <r>
      <rPr>
        <sz val="7"/>
        <color rgb="FF0B0C0C"/>
        <rFont val="Times New Roman"/>
        <family val="1"/>
      </rPr>
      <t xml:space="preserve">       </t>
    </r>
    <r>
      <rPr>
        <sz val="12"/>
        <color rgb="FF0B0C0C"/>
        <rFont val="Arial"/>
        <family val="2"/>
      </rPr>
      <t>reviewing the design of vulnerable structures and buildings</t>
    </r>
  </si>
  <si>
    <r>
      <t>·</t>
    </r>
    <r>
      <rPr>
        <sz val="7"/>
        <color rgb="FF0B0C0C"/>
        <rFont val="Times New Roman"/>
        <family val="1"/>
      </rPr>
      <t xml:space="preserve">       </t>
    </r>
    <r>
      <rPr>
        <sz val="12"/>
        <color rgb="FF0B0C0C"/>
        <rFont val="Arial"/>
        <family val="2"/>
      </rPr>
      <t>reviewing wind loading calculations, supplying reinforcement if necessary</t>
    </r>
  </si>
  <si>
    <r>
      <t>·</t>
    </r>
    <r>
      <rPr>
        <sz val="7"/>
        <color rgb="FF0B0C0C"/>
        <rFont val="Times New Roman"/>
        <family val="1"/>
      </rPr>
      <t xml:space="preserve">       </t>
    </r>
    <r>
      <rPr>
        <sz val="12"/>
        <color rgb="FF0B0C0C"/>
        <rFont val="Arial"/>
        <family val="2"/>
      </rPr>
      <t>maintaining building integrity</t>
    </r>
  </si>
  <si>
    <t>Interdependency: storm, wind, damage, drainage</t>
  </si>
  <si>
    <r>
      <t>9</t>
    </r>
    <r>
      <rPr>
        <b/>
        <sz val="7"/>
        <color rgb="FF0B0C0C"/>
        <rFont val="Times New Roman"/>
        <family val="1"/>
      </rPr>
      <t xml:space="preserve">      </t>
    </r>
    <r>
      <rPr>
        <b/>
        <sz val="18"/>
        <color rgb="FF0B0C0C"/>
        <rFont val="Arial"/>
        <family val="2"/>
      </rPr>
      <t>Other</t>
    </r>
  </si>
  <si>
    <t>Risks related to potential ground movements.</t>
  </si>
  <si>
    <r>
      <t>9.1</t>
    </r>
    <r>
      <rPr>
        <b/>
        <sz val="7"/>
        <color rgb="FF0B0C0C"/>
        <rFont val="Times New Roman"/>
        <family val="1"/>
      </rPr>
      <t xml:space="preserve">     </t>
    </r>
    <r>
      <rPr>
        <b/>
        <sz val="13.5"/>
        <color rgb="FF0B0C0C"/>
        <rFont val="Arial"/>
        <family val="2"/>
      </rPr>
      <t>Land subsidence/ sinking</t>
    </r>
  </si>
  <si>
    <t>Unstable groundwater levels create risk of subsidence. Risk of subsidence is higher in periods of prolonged dry weather followed by heavy rainfall, and near to clay soils or over pumped aquifers. Risk includes road/site inaccessible, machinery unstable.</t>
  </si>
  <si>
    <t>Mitigation of subsidence would be to research soil patterns in region and highlight any sites which lay inside. Consider the types of processes going on, if they are business critical, if they could move to a lower risk site.</t>
  </si>
  <si>
    <t>Interdependency: intense rainfall, freeze thaw, prolonged dry weather, groundwater</t>
  </si>
  <si>
    <t>Figure 2: Subsidence Risk Areas (UKRI, 2022)</t>
  </si>
  <si>
    <r>
      <t>9.2</t>
    </r>
    <r>
      <rPr>
        <b/>
        <sz val="7"/>
        <color rgb="FF0B0C0C"/>
        <rFont val="Times New Roman"/>
        <family val="1"/>
      </rPr>
      <t xml:space="preserve">     </t>
    </r>
    <r>
      <rPr>
        <b/>
        <sz val="13.5"/>
        <color rgb="FF0B0C0C"/>
        <rFont val="Arial"/>
        <family val="2"/>
      </rPr>
      <t>Erosion of land on/ near site.</t>
    </r>
  </si>
  <si>
    <t>Prolonged and repetitive impact of sea or rivers on land causes erosion. Erosion could worsen with more frequent or intense rainfall and storms. In coastal areas, this could lead to cliff faces eroded and undercut, eventually leading to the coast receding inland. In rivers, this could lead to redirection of flow or widening to engulf surrounding habitats.</t>
  </si>
  <si>
    <t>Mitigation plans could include putting in erosion measures like barriers or reinforcing plants and rocks which may reduce direct impact of water.</t>
  </si>
  <si>
    <t>Interdependency: storm, flooding, sea level rise</t>
  </si>
  <si>
    <r>
      <t>9.3</t>
    </r>
    <r>
      <rPr>
        <b/>
        <sz val="7"/>
        <color rgb="FF0B0C0C"/>
        <rFont val="Times New Roman"/>
        <family val="1"/>
      </rPr>
      <t xml:space="preserve">     </t>
    </r>
    <r>
      <rPr>
        <b/>
        <sz val="13.5"/>
        <color rgb="FF0B0C0C"/>
        <rFont val="Arial"/>
        <family val="2"/>
      </rPr>
      <t>Rock fall on site</t>
    </r>
  </si>
  <si>
    <t>Extreme weather and increased freeze thaw cycles can affect cliff stability.</t>
  </si>
  <si>
    <t>Mitigation would be to put up protective measures to hold rocks and to reduce operations in these areas.</t>
  </si>
  <si>
    <t>Interdependency: temperature fluctuation, storm, intense rainfall, subsidence.</t>
  </si>
  <si>
    <t>This section considers operational risk occurring because of direct climate impacts.</t>
  </si>
  <si>
    <r>
      <t>9.4</t>
    </r>
    <r>
      <rPr>
        <b/>
        <sz val="7"/>
        <color rgb="FF0B0C0C"/>
        <rFont val="Times New Roman"/>
        <family val="1"/>
      </rPr>
      <t xml:space="preserve">     </t>
    </r>
    <r>
      <rPr>
        <b/>
        <sz val="13.5"/>
        <color rgb="FF0B0C0C"/>
        <rFont val="Arial"/>
        <family val="2"/>
      </rPr>
      <t>Lack of Personnel</t>
    </r>
  </si>
  <si>
    <t>For whatever reason, climate change may affect people’s ability to work. This could result in time lost, loss of experience/ information, increased training of new hires.</t>
  </si>
  <si>
    <t>Mitigations include occupational health monitoring, promote good health practices and business health insurance, write work instructions, train people in multiple areas.</t>
  </si>
  <si>
    <t>Interdependency: heat &amp; health, transport, flood, heatwave.</t>
  </si>
  <si>
    <r>
      <t>9.5</t>
    </r>
    <r>
      <rPr>
        <b/>
        <sz val="7"/>
        <color rgb="FF0B0C0C"/>
        <rFont val="Times New Roman"/>
        <family val="1"/>
      </rPr>
      <t xml:space="preserve">     </t>
    </r>
    <r>
      <rPr>
        <b/>
        <sz val="13.5"/>
        <color rgb="FF0B0C0C"/>
        <rFont val="Arial"/>
        <family val="2"/>
      </rPr>
      <t>No Immediate Site Access</t>
    </r>
  </si>
  <si>
    <r>
      <t>·</t>
    </r>
    <r>
      <rPr>
        <sz val="7"/>
        <color rgb="FF0B0C0C"/>
        <rFont val="Times New Roman"/>
        <family val="1"/>
      </rPr>
      <t xml:space="preserve">       </t>
    </r>
    <r>
      <rPr>
        <sz val="12"/>
        <color rgb="FF0B0C0C"/>
        <rFont val="Arial"/>
        <family val="2"/>
      </rPr>
      <t>Some or all personnel cannot access site. Could be due to events in proximity to site, or potentially between personnel home location and site.</t>
    </r>
  </si>
  <si>
    <r>
      <t>·</t>
    </r>
    <r>
      <rPr>
        <sz val="7"/>
        <color rgb="FF0B0C0C"/>
        <rFont val="Times New Roman"/>
        <family val="1"/>
      </rPr>
      <t xml:space="preserve">       </t>
    </r>
    <r>
      <rPr>
        <sz val="12"/>
        <color rgb="FF0B0C0C"/>
        <rFont val="Arial"/>
        <family val="2"/>
      </rPr>
      <t>There is no one competent on site able to run.</t>
    </r>
  </si>
  <si>
    <r>
      <t>·</t>
    </r>
    <r>
      <rPr>
        <sz val="7"/>
        <color rgb="FF0B0C0C"/>
        <rFont val="Times New Roman"/>
        <family val="1"/>
      </rPr>
      <t xml:space="preserve">       </t>
    </r>
    <r>
      <rPr>
        <sz val="12"/>
        <color rgb="FF0B0C0C"/>
        <rFont val="Arial"/>
        <family val="2"/>
      </rPr>
      <t>Customers are not able to reach site.</t>
    </r>
  </si>
  <si>
    <t>For example, consistent and prolonged rainfall, or intense rainfall may cause flooding to the extent where there is no way to access site.</t>
  </si>
  <si>
    <t>Mitigation plans could include to set up security system cameras, work from home set ups for key personnel, assign emergency personnel/ managers who live nearby and may be able to make it to site and be a first port of call-in emergency.</t>
  </si>
  <si>
    <t>Interdependency: drought, absorbency, intense rain, transport, personnel availability.</t>
  </si>
  <si>
    <r>
      <t>9.6</t>
    </r>
    <r>
      <rPr>
        <b/>
        <sz val="7"/>
        <color rgb="FF0B0C0C"/>
        <rFont val="Times New Roman"/>
        <family val="1"/>
      </rPr>
      <t xml:space="preserve">     </t>
    </r>
    <r>
      <rPr>
        <b/>
        <sz val="13.5"/>
        <color rgb="FF0B0C0C"/>
        <rFont val="Arial"/>
        <family val="2"/>
      </rPr>
      <t>Disruption of Transport &amp; Supply Chain</t>
    </r>
  </si>
  <si>
    <r>
      <t>·</t>
    </r>
    <r>
      <rPr>
        <sz val="7"/>
        <color rgb="FF0B0C0C"/>
        <rFont val="Times New Roman"/>
        <family val="1"/>
      </rPr>
      <t xml:space="preserve">       </t>
    </r>
    <r>
      <rPr>
        <sz val="12"/>
        <color rgb="FF0B0C0C"/>
        <rFont val="Arial"/>
        <family val="2"/>
      </rPr>
      <t>No transport to collect waste product from site.</t>
    </r>
  </si>
  <si>
    <r>
      <t>·</t>
    </r>
    <r>
      <rPr>
        <sz val="7"/>
        <color rgb="FF0B0C0C"/>
        <rFont val="Times New Roman"/>
        <family val="1"/>
      </rPr>
      <t xml:space="preserve">       </t>
    </r>
    <r>
      <rPr>
        <sz val="12"/>
        <color rgb="FF0B0C0C"/>
        <rFont val="Arial"/>
        <family val="2"/>
      </rPr>
      <t>Cannot get spare parts or personnel to fix any equipment.</t>
    </r>
  </si>
  <si>
    <r>
      <t>·</t>
    </r>
    <r>
      <rPr>
        <sz val="7"/>
        <color rgb="FF0B0C0C"/>
        <rFont val="Times New Roman"/>
        <family val="1"/>
      </rPr>
      <t xml:space="preserve">       </t>
    </r>
    <r>
      <rPr>
        <sz val="12"/>
        <color rgb="FF0B0C0C"/>
        <rFont val="Arial"/>
        <family val="2"/>
      </rPr>
      <t>Lack of PPE/ Resources (e.g., N95 masks)</t>
    </r>
  </si>
  <si>
    <t>Mitigation plans could include:</t>
  </si>
  <si>
    <r>
      <t>·</t>
    </r>
    <r>
      <rPr>
        <sz val="7"/>
        <color rgb="FF0B0C0C"/>
        <rFont val="Times New Roman"/>
        <family val="1"/>
      </rPr>
      <t xml:space="preserve">       </t>
    </r>
    <r>
      <rPr>
        <sz val="12"/>
        <color rgb="FF0B0C0C"/>
        <rFont val="Arial"/>
        <family val="2"/>
      </rPr>
      <t>Informing customers of alternative sites which are open for business.</t>
    </r>
  </si>
  <si>
    <r>
      <t>·</t>
    </r>
    <r>
      <rPr>
        <sz val="7"/>
        <color rgb="FF0B0C0C"/>
        <rFont val="Times New Roman"/>
        <family val="1"/>
      </rPr>
      <t xml:space="preserve">       </t>
    </r>
    <r>
      <rPr>
        <sz val="12"/>
        <color rgb="FF0B0C0C"/>
        <rFont val="Arial"/>
        <family val="2"/>
      </rPr>
      <t>Keep well documented and well stocked set of spare parts.</t>
    </r>
  </si>
  <si>
    <r>
      <t>·</t>
    </r>
    <r>
      <rPr>
        <sz val="7"/>
        <color rgb="FF0B0C0C"/>
        <rFont val="Times New Roman"/>
        <family val="1"/>
      </rPr>
      <t xml:space="preserve">       </t>
    </r>
    <r>
      <rPr>
        <sz val="12"/>
        <color rgb="FF0B0C0C"/>
        <rFont val="Arial"/>
        <family val="2"/>
      </rPr>
      <t>Monitor stockpiles, stop processing if getting close to limits with no outlet.</t>
    </r>
  </si>
  <si>
    <t>Interdependency: flood, subsidence, snow, operations, access, personnel availability</t>
  </si>
  <si>
    <r>
      <t>9.7</t>
    </r>
    <r>
      <rPr>
        <b/>
        <sz val="7"/>
        <color rgb="FF0B0C0C"/>
        <rFont val="Times New Roman"/>
        <family val="1"/>
      </rPr>
      <t xml:space="preserve">     </t>
    </r>
    <r>
      <rPr>
        <b/>
        <sz val="13.5"/>
        <color rgb="FF0B0C0C"/>
        <rFont val="Arial"/>
        <family val="2"/>
      </rPr>
      <t>Loss of Power &amp; Communications</t>
    </r>
  </si>
  <si>
    <t>Risks could include no access to emergency services, not able to run major processes like loading ships or shredding, and no lighting.</t>
  </si>
  <si>
    <t>Mitigation plan could include:</t>
  </si>
  <si>
    <r>
      <t>·</t>
    </r>
    <r>
      <rPr>
        <sz val="7"/>
        <color rgb="FF0B0C0C"/>
        <rFont val="Times New Roman"/>
        <family val="1"/>
      </rPr>
      <t xml:space="preserve">       </t>
    </r>
    <r>
      <rPr>
        <sz val="12"/>
        <color rgb="FF0B0C0C"/>
        <rFont val="Arial"/>
        <family val="2"/>
      </rPr>
      <t>Do not continue to perform offline processes.</t>
    </r>
  </si>
  <si>
    <r>
      <t>·</t>
    </r>
    <r>
      <rPr>
        <sz val="7"/>
        <color rgb="FF0B0C0C"/>
        <rFont val="Times New Roman"/>
        <family val="1"/>
      </rPr>
      <t xml:space="preserve">       </t>
    </r>
    <r>
      <rPr>
        <sz val="12"/>
        <color rgb="FF0B0C0C"/>
        <rFont val="Arial"/>
        <family val="2"/>
      </rPr>
      <t>Short walk around to ensure stockpiles and housekeeping is in place.</t>
    </r>
  </si>
  <si>
    <r>
      <t>·</t>
    </r>
    <r>
      <rPr>
        <sz val="7"/>
        <color rgb="FF0B0C0C"/>
        <rFont val="Times New Roman"/>
        <family val="1"/>
      </rPr>
      <t xml:space="preserve">       </t>
    </r>
    <r>
      <rPr>
        <sz val="12"/>
        <color rgb="FF0B0C0C"/>
        <rFont val="Arial"/>
        <family val="2"/>
      </rPr>
      <t>Shut site and send everyone home if possible.</t>
    </r>
  </si>
  <si>
    <t>Interdependency: storm, lightning, flood, power loss, operations, personnel availability, unplanned shutdown / startup issues</t>
  </si>
  <si>
    <r>
      <t>10</t>
    </r>
    <r>
      <rPr>
        <b/>
        <sz val="7"/>
        <color rgb="FF0B0C0C"/>
        <rFont val="Times New Roman"/>
        <family val="1"/>
      </rPr>
      <t xml:space="preserve"> </t>
    </r>
    <r>
      <rPr>
        <b/>
        <sz val="18"/>
        <color rgb="FF0B0C0C"/>
        <rFont val="Arial"/>
        <family val="2"/>
      </rPr>
      <t xml:space="preserve"> References</t>
    </r>
  </si>
  <si>
    <r>
      <t xml:space="preserve">ArcGIS, 2023. </t>
    </r>
    <r>
      <rPr>
        <i/>
        <sz val="12"/>
        <color rgb="FF0B0C0C"/>
        <rFont val="Arial"/>
        <family val="2"/>
      </rPr>
      <t xml:space="preserve">Climate Exposure and Vulnerability Web Experience. </t>
    </r>
    <r>
      <rPr>
        <sz val="12"/>
        <color rgb="FF0B0C0C"/>
        <rFont val="Arial"/>
        <family val="2"/>
      </rPr>
      <t>[Online]</t>
    </r>
  </si>
  <si>
    <r>
      <t xml:space="preserve">Available at: </t>
    </r>
    <r>
      <rPr>
        <u/>
        <sz val="12"/>
        <color rgb="FF0B0C0C"/>
        <rFont val="Arial"/>
        <family val="2"/>
      </rPr>
      <t>https://www.arcgis.com/home/item.html?id=b82794cd7ce446a4ac7f4224a2f8a7c4</t>
    </r>
  </si>
  <si>
    <t>[Accessed 10 April 2024].</t>
  </si>
  <si>
    <r>
      <t xml:space="preserve">British Geological Survey, 2020. </t>
    </r>
    <r>
      <rPr>
        <i/>
        <sz val="12"/>
        <color rgb="FF0B0C0C"/>
        <rFont val="Arial"/>
        <family val="2"/>
      </rPr>
      <t xml:space="preserve">GeoClimate UKCP09 and UKCP18 Shrink-swell national datasets. </t>
    </r>
    <r>
      <rPr>
        <sz val="12"/>
        <color rgb="FF0B0C0C"/>
        <rFont val="Arial"/>
        <family val="2"/>
      </rPr>
      <t>[Online]</t>
    </r>
  </si>
  <si>
    <r>
      <t xml:space="preserve">Available at: </t>
    </r>
    <r>
      <rPr>
        <u/>
        <sz val="12"/>
        <color rgb="FF0B0C0C"/>
        <rFont val="Arial"/>
        <family val="2"/>
      </rPr>
      <t>https://www.bgs.ac.uk/datasets/geoclimate-ukcp09-and-ukcp18/</t>
    </r>
  </si>
  <si>
    <r>
      <t xml:space="preserve">British Geological Survey, 2021. </t>
    </r>
    <r>
      <rPr>
        <i/>
        <sz val="12"/>
        <color rgb="FF0B0C0C"/>
        <rFont val="Arial"/>
        <family val="2"/>
      </rPr>
      <t xml:space="preserve">Maps show the real threat of climate-related subsidence to British homes and properties. </t>
    </r>
    <r>
      <rPr>
        <sz val="12"/>
        <color rgb="FF0B0C0C"/>
        <rFont val="Arial"/>
        <family val="2"/>
      </rPr>
      <t>[Online]</t>
    </r>
  </si>
  <si>
    <r>
      <t xml:space="preserve">Available at: </t>
    </r>
    <r>
      <rPr>
        <u/>
        <sz val="12"/>
        <color rgb="FF0B0C0C"/>
        <rFont val="Arial"/>
        <family val="2"/>
      </rPr>
      <t>https://www.bgs.ac.uk/news/maps-show-the-real-threat-of-climate-related-subsidence-to-british-homes-and-properties/</t>
    </r>
  </si>
  <si>
    <r>
      <t xml:space="preserve">Centers for Disease Control and Prevention, 2020. </t>
    </r>
    <r>
      <rPr>
        <i/>
        <sz val="12"/>
        <color rgb="FF0B0C0C"/>
        <rFont val="Arial"/>
        <family val="2"/>
      </rPr>
      <t xml:space="preserve">Why is Mosquito Control Important. </t>
    </r>
    <r>
      <rPr>
        <sz val="12"/>
        <color rgb="FF0B0C0C"/>
        <rFont val="Arial"/>
        <family val="2"/>
      </rPr>
      <t>[Online]</t>
    </r>
  </si>
  <si>
    <r>
      <t xml:space="preserve">Available at: </t>
    </r>
    <r>
      <rPr>
        <u/>
        <sz val="12"/>
        <color rgb="FF0B0C0C"/>
        <rFont val="Arial"/>
        <family val="2"/>
      </rPr>
      <t>https://www.cdc.gov/mosquitoes/mosquito-control/why-is-mosquito-control-important.html#:~:text=Methods%20can%20include%20eliminating%20mosquito,being%20used%20in%20your%20area</t>
    </r>
  </si>
  <si>
    <r>
      <t xml:space="preserve">Climate Centre, 2022. </t>
    </r>
    <r>
      <rPr>
        <i/>
        <sz val="12"/>
        <color rgb="FF0B0C0C"/>
        <rFont val="Arial"/>
        <family val="2"/>
      </rPr>
      <t xml:space="preserve">Coastal Risk Screening Tool. </t>
    </r>
    <r>
      <rPr>
        <sz val="12"/>
        <color rgb="FF0B0C0C"/>
        <rFont val="Arial"/>
        <family val="2"/>
      </rPr>
      <t>[Online]</t>
    </r>
  </si>
  <si>
    <r>
      <t xml:space="preserve">Available at: </t>
    </r>
    <r>
      <rPr>
        <u/>
        <sz val="12"/>
        <color rgb="FF0B0C0C"/>
        <rFont val="Arial"/>
        <family val="2"/>
      </rPr>
      <t>https://coastal.climatecentral.org/</t>
    </r>
  </si>
  <si>
    <r>
      <t xml:space="preserve">Cork, T., 2020. </t>
    </r>
    <r>
      <rPr>
        <i/>
        <sz val="12"/>
        <color rgb="FF0B0C0C"/>
        <rFont val="Arial"/>
        <family val="2"/>
      </rPr>
      <t xml:space="preserve">This is why it hardly ever seems to snow in Bristol - even when the surrounding area is covered in the stuff. </t>
    </r>
    <r>
      <rPr>
        <sz val="12"/>
        <color rgb="FF0B0C0C"/>
        <rFont val="Arial"/>
        <family val="2"/>
      </rPr>
      <t>[Online]</t>
    </r>
  </si>
  <si>
    <r>
      <t xml:space="preserve">Available at: </t>
    </r>
    <r>
      <rPr>
        <u/>
        <sz val="12"/>
        <color rgb="FF0B0C0C"/>
        <rFont val="Arial"/>
        <family val="2"/>
      </rPr>
      <t>https://www.bristolpost.co.uk/news/bristol-news/hardly-ever-seems-snow-bristol-4839133</t>
    </r>
  </si>
  <si>
    <r>
      <t xml:space="preserve">Environment Agency, 2023. </t>
    </r>
    <r>
      <rPr>
        <i/>
        <sz val="12"/>
        <color rgb="FF0B0C0C"/>
        <rFont val="Arial"/>
        <family val="2"/>
      </rPr>
      <t xml:space="preserve">Metals recycling: examples for your adapting to climate change risk assessment. </t>
    </r>
    <r>
      <rPr>
        <sz val="12"/>
        <color rgb="FF0B0C0C"/>
        <rFont val="Arial"/>
        <family val="2"/>
      </rPr>
      <t>[Online]</t>
    </r>
  </si>
  <si>
    <r>
      <t xml:space="preserve">Available at: </t>
    </r>
    <r>
      <rPr>
        <u/>
        <sz val="12"/>
        <color rgb="FF0B0C0C"/>
        <rFont val="Arial"/>
        <family val="2"/>
      </rPr>
      <t>https://www.gov.uk/government/publications/adapting-to-climate-change-industry-sector-examples-for-your-risk-assessment/metals-recycling-examples-for-your-adapting-to-climate-change-risk-assessment</t>
    </r>
  </si>
  <si>
    <t>[Accessed 5 February 2024].</t>
  </si>
  <si>
    <r>
      <t xml:space="preserve">European Severe Storms Laboratory, 2024. </t>
    </r>
    <r>
      <rPr>
        <i/>
        <sz val="12"/>
        <color rgb="FF0B0C0C"/>
        <rFont val="Arial"/>
        <family val="2"/>
      </rPr>
      <t xml:space="preserve">Forecast probability of large hail and lightning. </t>
    </r>
    <r>
      <rPr>
        <sz val="12"/>
        <color rgb="FF0B0C0C"/>
        <rFont val="Arial"/>
        <family val="2"/>
      </rPr>
      <t>[Online]</t>
    </r>
  </si>
  <si>
    <r>
      <t xml:space="preserve">Available at: </t>
    </r>
    <r>
      <rPr>
        <u/>
        <sz val="12"/>
        <color rgb="FF0B0C0C"/>
        <rFont val="Arial"/>
        <family val="2"/>
      </rPr>
      <t>https://stormforecast.eu/</t>
    </r>
  </si>
  <si>
    <r>
      <t xml:space="preserve">Google, 2024. </t>
    </r>
    <r>
      <rPr>
        <i/>
        <sz val="12"/>
        <color rgb="FF0B0C0C"/>
        <rFont val="Arial"/>
        <family val="2"/>
      </rPr>
      <t xml:space="preserve">Google Earth. </t>
    </r>
    <r>
      <rPr>
        <sz val="12"/>
        <color rgb="FF0B0C0C"/>
        <rFont val="Arial"/>
        <family val="2"/>
      </rPr>
      <t>[Online]</t>
    </r>
  </si>
  <si>
    <r>
      <t xml:space="preserve">Available at: </t>
    </r>
    <r>
      <rPr>
        <u/>
        <sz val="12"/>
        <color rgb="FF0B0C0C"/>
        <rFont val="Arial"/>
        <family val="2"/>
      </rPr>
      <t>https://earth.google.com/web/@0,-2.09929981,0a,22251752.77375655d,35y,0h,0t,0r/data=OgMKATA</t>
    </r>
  </si>
  <si>
    <r>
      <t xml:space="preserve">Institute for Environmental Analytics, 2023. </t>
    </r>
    <r>
      <rPr>
        <i/>
        <sz val="12"/>
        <color rgb="FF0B0C0C"/>
        <rFont val="Arial"/>
        <family val="2"/>
      </rPr>
      <t xml:space="preserve">Climate Risk Indicators. </t>
    </r>
    <r>
      <rPr>
        <sz val="12"/>
        <color rgb="FF0B0C0C"/>
        <rFont val="Arial"/>
        <family val="2"/>
      </rPr>
      <t>[Online]</t>
    </r>
  </si>
  <si>
    <r>
      <t xml:space="preserve">Available at: </t>
    </r>
    <r>
      <rPr>
        <u/>
        <sz val="12"/>
        <color rgb="FF0B0C0C"/>
        <rFont val="Arial"/>
        <family val="2"/>
      </rPr>
      <t>https://uk-cri.org/</t>
    </r>
  </si>
  <si>
    <r>
      <t xml:space="preserve">McKee, K., 2006. </t>
    </r>
    <r>
      <rPr>
        <i/>
        <sz val="12"/>
        <color rgb="FF0B0C0C"/>
        <rFont val="Arial"/>
        <family val="2"/>
      </rPr>
      <t xml:space="preserve">Potential effects of elevated atmospheric carbon dioxide (CO2) on coastal wetlands, </t>
    </r>
    <r>
      <rPr>
        <sz val="12"/>
        <color rgb="FF0B0C0C"/>
        <rFont val="Arial"/>
        <family val="2"/>
      </rPr>
      <t>Reston, VA: U.S. Geological Survey.</t>
    </r>
  </si>
  <si>
    <r>
      <t xml:space="preserve">Met Office, 2021. </t>
    </r>
    <r>
      <rPr>
        <i/>
        <sz val="12"/>
        <color rgb="FF0B0C0C"/>
        <rFont val="Arial"/>
        <family val="2"/>
      </rPr>
      <t xml:space="preserve">Hail. </t>
    </r>
    <r>
      <rPr>
        <sz val="12"/>
        <color rgb="FF0B0C0C"/>
        <rFont val="Arial"/>
        <family val="2"/>
      </rPr>
      <t>[Online]</t>
    </r>
  </si>
  <si>
    <r>
      <t xml:space="preserve">Available at: </t>
    </r>
    <r>
      <rPr>
        <u/>
        <sz val="12"/>
        <color rgb="FF0B0C0C"/>
        <rFont val="Arial"/>
        <family val="2"/>
      </rPr>
      <t>https://www.metoffice.gov.uk/weather/learn-about/weather/types-of-weather/hail#:~:text=Hail%20is%20most%20common%20in,heat%20energy%20in%20the%20sea</t>
    </r>
  </si>
  <si>
    <r>
      <t xml:space="preserve">Met Office, 2023. </t>
    </r>
    <r>
      <rPr>
        <i/>
        <sz val="12"/>
        <color rgb="FF0B0C0C"/>
        <rFont val="Arial"/>
        <family val="2"/>
      </rPr>
      <t xml:space="preserve">Sea Level Rise in the 21st Century. </t>
    </r>
    <r>
      <rPr>
        <sz val="12"/>
        <color rgb="FF0B0C0C"/>
        <rFont val="Arial"/>
        <family val="2"/>
      </rPr>
      <t>[Online]</t>
    </r>
  </si>
  <si>
    <r>
      <t xml:space="preserve">Available at: </t>
    </r>
    <r>
      <rPr>
        <u/>
        <sz val="12"/>
        <color rgb="FF0B0C0C"/>
        <rFont val="Arial"/>
        <family val="2"/>
      </rPr>
      <t>https://www.metoffice.gov.uk/binaries/content/assets/metofficegovuk/pdf/research/climate-science/ukcp/profsea/sea-level-infographic-2.pdf</t>
    </r>
  </si>
  <si>
    <r>
      <t xml:space="preserve">UKRI, B. &amp;., 2022. </t>
    </r>
    <r>
      <rPr>
        <i/>
        <sz val="12"/>
        <color rgb="FF0B0C0C"/>
        <rFont val="Arial"/>
        <family val="2"/>
      </rPr>
      <t xml:space="preserve">GeoClimate UKCP18 projections, identifying areas expected to experience the largest increases in susceptibility to subsidence by 2030 and 2070. </t>
    </r>
    <r>
      <rPr>
        <sz val="12"/>
        <color rgb="FF0B0C0C"/>
        <rFont val="Arial"/>
        <family val="2"/>
      </rPr>
      <t>[Art] (British Geological Survey).</t>
    </r>
  </si>
  <si>
    <r>
      <t xml:space="preserve">World Wildlife Fund (WWF), 2023. </t>
    </r>
    <r>
      <rPr>
        <i/>
        <sz val="12"/>
        <color rgb="FF0B0C0C"/>
        <rFont val="Arial"/>
        <family val="2"/>
      </rPr>
      <t xml:space="preserve">Water Risk Filter. </t>
    </r>
    <r>
      <rPr>
        <sz val="12"/>
        <color rgb="FF0B0C0C"/>
        <rFont val="Arial"/>
        <family val="2"/>
      </rPr>
      <t>[Online]</t>
    </r>
  </si>
  <si>
    <r>
      <t xml:space="preserve">Available at: </t>
    </r>
    <r>
      <rPr>
        <u/>
        <sz val="12"/>
        <color rgb="FF0B0C0C"/>
        <rFont val="Arial"/>
        <family val="2"/>
      </rPr>
      <t>https://riskfilter.org/water/home</t>
    </r>
  </si>
  <si>
    <t>lagging, protective covers, protective buildings</t>
  </si>
  <si>
    <t>regularly pump or clean out interceptor</t>
  </si>
  <si>
    <t>max</t>
  </si>
  <si>
    <t>mean</t>
  </si>
  <si>
    <t>min</t>
  </si>
  <si>
    <r>
      <t>·</t>
    </r>
    <r>
      <rPr>
        <sz val="7"/>
        <color rgb="FF0B0C0C"/>
        <rFont val="Times New Roman"/>
        <family val="1"/>
      </rPr>
      <t xml:space="preserve">       </t>
    </r>
    <r>
      <rPr>
        <sz val="12"/>
        <color rgb="FF0B0C0C"/>
        <rFont val="Arial"/>
        <family val="2"/>
      </rPr>
      <t>Batteries/ Small mixed WEEE</t>
    </r>
  </si>
  <si>
    <r>
      <t>1.2</t>
    </r>
    <r>
      <rPr>
        <b/>
        <sz val="7"/>
        <color rgb="FF0B0C0C"/>
        <rFont val="Times New Roman"/>
        <family val="1"/>
      </rPr>
      <t xml:space="preserve">     </t>
    </r>
    <r>
      <rPr>
        <b/>
        <sz val="13.5"/>
        <color rgb="FF0B0C0C"/>
        <rFont val="Arial"/>
        <family val="2"/>
      </rPr>
      <t>Potential for fire due to dry v</t>
    </r>
    <r>
      <rPr>
        <sz val="8"/>
        <color rgb="FF0B0C0C"/>
        <rFont val="Arial"/>
        <family val="2"/>
      </rPr>
      <t>  </t>
    </r>
    <r>
      <rPr>
        <b/>
        <sz val="13.5"/>
        <color rgb="FF0B0C0C"/>
        <rFont val="Arial"/>
        <family val="2"/>
      </rPr>
      <t>egetation near hot cutting areas or other combustibles</t>
    </r>
  </si>
  <si>
    <r>
      <t>·</t>
    </r>
    <r>
      <rPr>
        <sz val="7"/>
        <color rgb="FF0B0C0C"/>
        <rFont val="Times New Roman"/>
        <family val="1"/>
      </rPr>
      <t xml:space="preserve">       </t>
    </r>
    <r>
      <rPr>
        <sz val="12"/>
        <color rgb="FF0B0C0C"/>
        <rFont val="Arial"/>
        <family val="2"/>
      </rPr>
      <t>Drain systems when not in use</t>
    </r>
  </si>
  <si>
    <r>
      <t>1.5</t>
    </r>
    <r>
      <rPr>
        <b/>
        <sz val="7"/>
        <color rgb="FF0B0C0C"/>
        <rFont val="Times New Roman"/>
        <family val="1"/>
      </rPr>
      <t xml:space="preserve">     </t>
    </r>
    <r>
      <rPr>
        <b/>
        <sz val="13.5"/>
        <color rgb="FF0B0C0C"/>
        <rFont val="Arial"/>
        <family val="2"/>
      </rPr>
      <t>Potential to attract pests and odours.</t>
    </r>
  </si>
  <si>
    <r>
      <t>1.6</t>
    </r>
    <r>
      <rPr>
        <b/>
        <sz val="7"/>
        <color rgb="FF0B0C0C"/>
        <rFont val="Times New Roman"/>
        <family val="1"/>
      </rPr>
      <t xml:space="preserve">     </t>
    </r>
    <r>
      <rPr>
        <b/>
        <sz val="13.5"/>
        <color rgb="FF0B0C0C"/>
        <rFont val="Arial"/>
        <family val="2"/>
      </rPr>
      <t>Hot Temperatures potentially impact wellbeing</t>
    </r>
  </si>
  <si>
    <t>CESD Change 2 °C2</t>
  </si>
  <si>
    <t>CESD Change 4 °C3</t>
  </si>
  <si>
    <t>8.5</t>
  </si>
  <si>
    <t>Now4</t>
  </si>
  <si>
    <t>Now5</t>
  </si>
  <si>
    <t>4 °C6</t>
  </si>
  <si>
    <t>4 °C7</t>
  </si>
  <si>
    <t>GU11 2PX</t>
  </si>
  <si>
    <t>DE55 4NH</t>
  </si>
  <si>
    <t>BS11 9BT</t>
  </si>
  <si>
    <t>BS11 9AF</t>
  </si>
  <si>
    <t>PL31 1EZ</t>
  </si>
  <si>
    <t>BS2 9SH</t>
  </si>
  <si>
    <t>CF24 5SD</t>
  </si>
  <si>
    <t>TS25 1NX</t>
  </si>
  <si>
    <t>HD5 9BG</t>
  </si>
  <si>
    <t>HU9 5PB</t>
  </si>
  <si>
    <t>LS10 2RU</t>
  </si>
  <si>
    <t>M12 6BF</t>
  </si>
  <si>
    <t>PE1 5UR</t>
  </si>
  <si>
    <t>ME12 1RS</t>
  </si>
  <si>
    <t>Smethwick GBR Rabone Ln</t>
  </si>
  <si>
    <t>GU46 6ED</t>
  </si>
  <si>
    <t>Smethwick Unit 60</t>
  </si>
  <si>
    <r>
      <t>6.2</t>
    </r>
    <r>
      <rPr>
        <b/>
        <sz val="7"/>
        <color rgb="FF0B0C0C"/>
        <rFont val="Times New Roman"/>
        <family val="1"/>
      </rPr>
      <t xml:space="preserve">     </t>
    </r>
    <r>
      <rPr>
        <b/>
        <sz val="13.5"/>
        <color rgb="FF0B0C0C"/>
        <rFont val="Arial"/>
        <family val="2"/>
      </rPr>
      <t>Potential increased use and reliance on mains water for fire fighting.</t>
    </r>
  </si>
  <si>
    <r>
      <t>6.3</t>
    </r>
    <r>
      <rPr>
        <b/>
        <sz val="7"/>
        <color rgb="FF0B0C0C"/>
        <rFont val="Times New Roman"/>
        <family val="1"/>
      </rPr>
      <t xml:space="preserve">     </t>
    </r>
    <r>
      <rPr>
        <b/>
        <sz val="13.5"/>
        <color rgb="FF0B0C0C"/>
        <rFont val="Arial"/>
        <family val="2"/>
      </rPr>
      <t>Potential increase in dust emissions from a site</t>
    </r>
  </si>
  <si>
    <r>
      <t>1.7</t>
    </r>
    <r>
      <rPr>
        <b/>
        <sz val="7"/>
        <color rgb="FF0B0C0C"/>
        <rFont val="Times New Roman"/>
        <family val="1"/>
      </rPr>
      <t xml:space="preserve">     </t>
    </r>
    <r>
      <rPr>
        <b/>
        <sz val="13.5"/>
        <color rgb="FF0B0C0C"/>
        <rFont val="Arial"/>
        <family val="2"/>
      </rPr>
      <t>More UV and potential for plastic degradation</t>
    </r>
  </si>
  <si>
    <t>Checklist :)</t>
  </si>
  <si>
    <t>Save as "CCRA [Site Name]"</t>
  </si>
  <si>
    <t>Open "Indicators" Tab</t>
  </si>
  <si>
    <t>Open "Front Page" Tab</t>
  </si>
  <si>
    <t>Type it in exactly the same in "Site Name" box</t>
  </si>
  <si>
    <t>Data should auto update</t>
  </si>
  <si>
    <t>Open "Appendices" Tab</t>
  </si>
  <si>
    <t>Copy in any additional evidence</t>
  </si>
  <si>
    <t>sensitive receptors (human and eco)</t>
  </si>
  <si>
    <t>sea level change map</t>
  </si>
  <si>
    <t>Open "Site Specific RA" Tab to edit the site specific Risk Assessment</t>
  </si>
  <si>
    <t>Update columns</t>
  </si>
  <si>
    <t>Risk Areas on Site</t>
  </si>
  <si>
    <t>It may also help to read the "Overall RA" Tab</t>
  </si>
  <si>
    <t>Each of the headings are numbered and labelled the same</t>
  </si>
  <si>
    <t>Offers suggestions on what to think about</t>
  </si>
  <si>
    <t>Find exactly how the site is named, e.g. Newport GBR Fridge Plant</t>
  </si>
  <si>
    <t>----</t>
  </si>
  <si>
    <t>Open This Template</t>
  </si>
  <si>
    <t>Sensitive Receptors</t>
  </si>
  <si>
    <t>Framework</t>
  </si>
  <si>
    <t>range</t>
  </si>
  <si>
    <t>%avg</t>
  </si>
  <si>
    <t>stdv</t>
  </si>
  <si>
    <t>Food in canteen areas</t>
  </si>
  <si>
    <t>Data is primarily sourced from Climate Risk Indicators (uk-cri.org)</t>
  </si>
  <si>
    <t>Precautionary principle was applied when assessing Climate variables. A RCP 8.5 projection scenario is used.</t>
  </si>
  <si>
    <t>SITE NAME</t>
  </si>
  <si>
    <t>POST CODE</t>
  </si>
  <si>
    <t>PERMIT NUMBER</t>
  </si>
  <si>
    <t>DATE SUBMITTED</t>
  </si>
  <si>
    <t>0 N/A</t>
  </si>
  <si>
    <t>1 LOW</t>
  </si>
  <si>
    <t>3 LOW</t>
  </si>
  <si>
    <t>2 MED</t>
  </si>
  <si>
    <t>6 MED</t>
  </si>
  <si>
    <t>3 HIGH</t>
  </si>
  <si>
    <t>9 HIGH</t>
  </si>
  <si>
    <t>PREPARED FOR RCP 8.5</t>
  </si>
  <si>
    <t>AFTER</t>
  </si>
  <si>
    <t>CATEGORY</t>
  </si>
  <si>
    <t>RISK TITLE</t>
  </si>
  <si>
    <t>RISK AREAS ON SITE</t>
  </si>
  <si>
    <t>CURRENT MEASURES</t>
  </si>
  <si>
    <t>LIKELIHOOD</t>
  </si>
  <si>
    <t>SEVERITY</t>
  </si>
  <si>
    <t>SCORE</t>
  </si>
  <si>
    <t>MITIGATION/ ADAPTATION PLAN</t>
  </si>
  <si>
    <t>LIKELIHOOD AFTER</t>
  </si>
  <si>
    <t>SEVERITY AFTER</t>
  </si>
  <si>
    <t>SCORE AFTER</t>
  </si>
  <si>
    <t>LIKELIHOOD REDUCTION</t>
  </si>
  <si>
    <t>SEVERITY REDUCTION</t>
  </si>
  <si>
    <t>PRIORITY LEVEL</t>
  </si>
  <si>
    <t>Occupational health monitoring, promote good health practices, train people in multiple areas, regular breaks</t>
  </si>
  <si>
    <t xml:space="preserve">Diverse group of supply &amp; customer options. </t>
  </si>
  <si>
    <t xml:space="preserve">Emergency lighting on backup power. Battery powered radios for short term onsite communication.  Office phones and internet down - Mobile phones available to contact emergency services if required. </t>
  </si>
  <si>
    <t>Motorways may be blocked. Main suppliers may be from areas at high risk of climate impacts- they can no longer supply. 
Waste streams cannot be collected</t>
  </si>
  <si>
    <t>No access to emergency services. No phones / internet/ no power for office / weighbridge - cannot weigh material</t>
  </si>
  <si>
    <t xml:space="preserve">Waste acceptance procedures, stockpile management plan (SMP), containment for oils / oil contaminated materials. Dedicated containment for gas cylinders, for batteries, and for swarf. </t>
  </si>
  <si>
    <t xml:space="preserve">  </t>
  </si>
  <si>
    <t>Air, water, nitrogen pipes, dust supression, diesel tank, mobile plant</t>
  </si>
  <si>
    <t>Pipes located in: Hydraulics, Fire, Dust Supression, Air</t>
  </si>
  <si>
    <t>Whole site &amp; road areas. Especially around material stockpiles</t>
  </si>
  <si>
    <t>Condition monitoring to assess when surfaces need repair.  Concrete repairs.</t>
  </si>
  <si>
    <t>Grit floor in advance.</t>
  </si>
  <si>
    <t xml:space="preserve">Stop operations if visibility gets too poor </t>
  </si>
  <si>
    <t>Flood Management Plan (FMP)</t>
  </si>
  <si>
    <t>Winter - Hail more likely in West England and South Wales.
Spring - Hail more likely in East England and SE Scotland.
Summer – Hail less likely, but more intense/ damaging when it does occur, mostly in NE England.</t>
  </si>
  <si>
    <t>Located inland, SW prevailing winds</t>
  </si>
  <si>
    <t>Not at risk - no coastline nearby</t>
  </si>
  <si>
    <t>Not at risk - no rocks at height nearby</t>
  </si>
  <si>
    <t>Areas of high dust: shredder, shakers, conveyor drops, waste products.</t>
  </si>
  <si>
    <t xml:space="preserve">Limited info on increased impact. </t>
  </si>
  <si>
    <t>Review with HR</t>
  </si>
  <si>
    <t>Continue using a diverse group of suppliers &amp; customers.</t>
  </si>
  <si>
    <t>Consider shelter if hail increases significantly</t>
  </si>
  <si>
    <t>Limited info on increased impact. Continue to review available guidance.  Consider lightning conductor points</t>
  </si>
  <si>
    <t>Review drainage system and interceptors capacity. Sea level not anticipated to rise enough to impact. Continue to risk assess and review likelihood in future.</t>
  </si>
  <si>
    <t>Understand and quantify required capacities</t>
  </si>
  <si>
    <t>Consider increase frequency of inspection in extreme weather</t>
  </si>
  <si>
    <t>Consider additional mitigation if required e.g. onsite water storage in case of drought.</t>
  </si>
  <si>
    <t>Increase frequency of breaks if required</t>
  </si>
  <si>
    <t>Consider budget for increased replacement of parts if required</t>
  </si>
  <si>
    <t>Consideration of trace heating if required, insulated to avoid extreme temps, consideration of use of antifreeze if appropriate</t>
  </si>
  <si>
    <t xml:space="preserve"> Drainage improvement measures to reduce standing surface water.</t>
  </si>
  <si>
    <t xml:space="preserve">Fire prevention plan. Continue with housekeeping to avoid any vegetation growth. </t>
  </si>
  <si>
    <t>Update stockpile management plan to fire prevention plan FPP (EA Guidance)</t>
  </si>
  <si>
    <t>Inland, very low risk of coastal flooding due to sea level rise</t>
  </si>
  <si>
    <t>NOTTINGHAM GBR</t>
  </si>
  <si>
    <t xml:space="preserve">Storage of light fractions, small mixed WEEE, tyres, batteries, swarf. 
Gas Cylinders. Oil Storage. Some waste oils / oil contaminated materials from mobile plant maintenance but minimal. </t>
  </si>
  <si>
    <t>Some trees along south west site boarder near WEEE processing, but all behind firewall</t>
  </si>
  <si>
    <t>Impermeable surfaces. Housekeeping to limit any further vegetation. Occasional welding for plant maintenance with Permit to Work System (PTW)</t>
  </si>
  <si>
    <t xml:space="preserve"> substation located above ground on platform</t>
  </si>
  <si>
    <t>Flood risk to the site is very low
Office is on high point of the site and paper work storage is on upper level</t>
  </si>
  <si>
    <t>Flood risk to the site is very low.
Substation located on raised ground.</t>
  </si>
  <si>
    <t>Flood risk to the site is very low. 
Cars/ washing machines/ sheet metals on site</t>
  </si>
  <si>
    <t>No current actions, unlikely to flood to the point where this is an issue</t>
  </si>
  <si>
    <t>If required, prioritise processing these materials first to minimise potential for floating material.</t>
  </si>
  <si>
    <t>Site not near coast. Very low risk of coastal flooding.</t>
  </si>
  <si>
    <t>Handling stockpiles.  
Occasional screening on site of incin or other material with potetnail to give rise to dust.</t>
  </si>
  <si>
    <t>Dust suppression around mill and processing area.</t>
  </si>
  <si>
    <t>If required, consider water collection/ storage, discuss with landlord about supply of water and any drought restrictions.</t>
  </si>
  <si>
    <t>Review Stockpile Management Plan (SMP) to Fire Prevention Plan (FPP), considering what alternative sources of fire fighting are when water is scarce</t>
  </si>
  <si>
    <t>Fire risk areas Small Mixed WEEE (SMW) storage, battery storage</t>
  </si>
  <si>
    <t>IBCs. Hydrants nearby. Large Tanks for automatic fire supression jet system</t>
  </si>
  <si>
    <t>Close site. Site team to communicate with customers, transport to advise that site is closed. Nominate supervisor living closest to site to inform of extreme weather conditions and local impacts.</t>
  </si>
  <si>
    <t>Discuss with Landlord. Consider flood protection measures e.g., barriers</t>
  </si>
  <si>
    <t>SW prevailing winds
Limited structures which could sustain damage - diesel tank, mostly single storey office and canteen, oil store, boundary fencing</t>
  </si>
  <si>
    <t>Drainage goes from site via interceptor into sewer.
The east side of the site drains through a proprietary separator to a surface water sewer. The west of the site drains to a separator of insitu construction before discharging to a foul sewer.</t>
  </si>
  <si>
    <t>Water levels managed</t>
  </si>
  <si>
    <t>Shredder crane, lighting towers. Office buildings are single storey so low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</si>
</sst>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 &quot;▲&quot;;\ \-#,##0.00* &quot;▼&quot;;"/>
    <numFmt numFmtId="167" formatCode="[$-F800]dddd\,\ mmmm\ dd\,\ yyyy"/>
  </numFmts>
  <fonts count="59">
    <font>
      <sz val="11"/>
      <color theme="1"/>
      <name val="Calibri"/>
      <family val="2"/>
      <scheme val="minor"/>
    </font>
    <font>
      <b/>
      <sz val="11"/>
      <color theme="1"/>
      <name val="Calibri"/>
      <family val="2"/>
      <scheme val="minor"/>
    </font>
    <font>
      <sz val="11"/>
      <color theme="1"/>
      <name val="Calibri"/>
      <family val="2"/>
      <scheme val="minor"/>
    </font>
    <font>
      <sz val="11"/>
      <color rgb="FF3F3F76"/>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u/>
      <sz val="11"/>
      <color theme="10"/>
      <name val="Calibri"/>
      <family val="2"/>
      <scheme val="minor"/>
    </font>
    <font>
      <sz val="11"/>
      <color rgb="FF000000"/>
      <name val="Calibri"/>
      <family val="2"/>
    </font>
    <font>
      <sz val="11"/>
      <color theme="0"/>
      <name val="Calibri"/>
      <family val="2"/>
    </font>
    <font>
      <b/>
      <sz val="11"/>
      <name val="Calibri"/>
      <family val="2"/>
      <scheme val="minor"/>
    </font>
    <font>
      <b/>
      <sz val="11"/>
      <name val="Calibri"/>
      <family val="2"/>
    </font>
    <font>
      <b/>
      <sz val="11"/>
      <color theme="0"/>
      <name val="Calibri"/>
      <family val="2"/>
    </font>
    <font>
      <sz val="11"/>
      <color rgb="FF000000"/>
      <name val="Calibri"/>
      <family val="2"/>
      <scheme val="minor"/>
    </font>
    <font>
      <b/>
      <sz val="12"/>
      <color theme="1"/>
      <name val="Calibri"/>
      <family val="2"/>
      <scheme val="minor"/>
    </font>
    <font>
      <b/>
      <sz val="14"/>
      <color theme="1"/>
      <name val="Calibri"/>
      <family val="2"/>
      <scheme val="minor"/>
    </font>
    <font>
      <sz val="9"/>
      <color theme="1"/>
      <name val="Calibri"/>
      <family val="2"/>
      <scheme val="minor"/>
    </font>
    <font>
      <b/>
      <sz val="11"/>
      <color theme="4"/>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8"/>
      <color rgb="FF3F3F76"/>
      <name val="Calibri"/>
      <family val="2"/>
      <scheme val="minor"/>
    </font>
    <font>
      <sz val="12"/>
      <color theme="1"/>
      <name val="Arial"/>
      <family val="2"/>
    </font>
    <font>
      <sz val="8"/>
      <color rgb="FF0B0C0C"/>
      <name val="Arial"/>
      <family val="2"/>
    </font>
    <font>
      <sz val="12"/>
      <name val="Arial"/>
      <family val="2"/>
    </font>
    <font>
      <sz val="12"/>
      <color rgb="FF0B0C0C"/>
      <name val="Arial"/>
      <family val="2"/>
    </font>
    <font>
      <b/>
      <sz val="18"/>
      <color rgb="FF0B0C0C"/>
      <name val="Arial"/>
      <family val="2"/>
    </font>
    <font>
      <sz val="12"/>
      <color rgb="FF0B0C0C"/>
      <name val="Symbol"/>
      <family val="1"/>
      <charset val="2"/>
    </font>
    <font>
      <sz val="7"/>
      <color rgb="FF0B0C0C"/>
      <name val="Times New Roman"/>
      <family val="1"/>
    </font>
    <font>
      <sz val="12"/>
      <color rgb="FF0B0C0C"/>
      <name val="Courier New"/>
      <family val="3"/>
    </font>
    <font>
      <b/>
      <sz val="12"/>
      <color rgb="FF0B0C0C"/>
      <name val="Arial"/>
      <family val="2"/>
    </font>
    <font>
      <sz val="12"/>
      <color rgb="FF0563C1"/>
      <name val="Arial"/>
      <family val="2"/>
    </font>
    <font>
      <b/>
      <sz val="7"/>
      <color rgb="FF0B0C0C"/>
      <name val="Times New Roman"/>
      <family val="1"/>
    </font>
    <font>
      <b/>
      <sz val="13.5"/>
      <name val="Arial"/>
      <family val="2"/>
    </font>
    <font>
      <b/>
      <sz val="7"/>
      <name val="Times New Roman"/>
      <family val="1"/>
    </font>
    <font>
      <b/>
      <sz val="13.5"/>
      <color rgb="FF0B0C0C"/>
      <name val="Arial"/>
      <family val="2"/>
    </font>
    <font>
      <sz val="10"/>
      <color rgb="FF0B0C0C"/>
      <name val="Symbol"/>
      <family val="1"/>
      <charset val="2"/>
    </font>
    <font>
      <sz val="12"/>
      <color rgb="FF000000"/>
      <name val="Arial"/>
      <family val="2"/>
    </font>
    <font>
      <i/>
      <sz val="9"/>
      <color rgb="FF44546A"/>
      <name val="Arial"/>
      <family val="2"/>
    </font>
    <font>
      <i/>
      <sz val="12"/>
      <color rgb="FF0B0C0C"/>
      <name val="Arial"/>
      <family val="2"/>
    </font>
    <font>
      <u/>
      <sz val="12"/>
      <color rgb="FF0B0C0C"/>
      <name val="Arial"/>
      <family val="2"/>
    </font>
    <font>
      <sz val="10"/>
      <color rgb="FF0B0C0C"/>
      <name val="Arial"/>
      <family val="2"/>
    </font>
    <font>
      <sz val="11"/>
      <name val="Calibri"/>
      <family val="2"/>
      <scheme val="minor"/>
    </font>
    <font>
      <sz val="11"/>
      <name val="Calibri"/>
      <family val="2"/>
    </font>
    <font>
      <b/>
      <sz val="28"/>
      <color rgb="FF0B0C0C"/>
      <name val="Calibri Light"/>
      <family val="2"/>
    </font>
    <font>
      <sz val="11"/>
      <color theme="8"/>
      <name val="Adobe Gothic Std B"/>
      <family val="2"/>
      <charset val="128"/>
    </font>
    <font>
      <sz val="11"/>
      <color theme="1"/>
      <name val="Open Sans"/>
      <family val="2"/>
    </font>
    <font>
      <sz val="24"/>
      <color rgb="FF21373D"/>
      <name val="Jost Light"/>
    </font>
    <font>
      <sz val="11"/>
      <color rgb="FF21373D"/>
      <name val="Open Sans"/>
      <family val="2"/>
    </font>
    <font>
      <sz val="12"/>
      <color rgb="FF21373D"/>
      <name val="Open Sans"/>
      <family val="2"/>
    </font>
    <font>
      <sz val="14"/>
      <color rgb="FF21373D"/>
      <name val="Jost Light"/>
    </font>
    <font>
      <sz val="11"/>
      <color rgb="FF21373D"/>
      <name val="Jost Light"/>
    </font>
    <font>
      <b/>
      <sz val="11"/>
      <color rgb="FF21373D"/>
      <name val="Open Sans"/>
      <family val="2"/>
    </font>
    <font>
      <b/>
      <sz val="11"/>
      <color theme="1"/>
      <name val="Open Sans"/>
      <family val="2"/>
    </font>
    <font>
      <sz val="11"/>
      <color theme="1"/>
      <name val="Jost Light"/>
    </font>
    <font>
      <sz val="8"/>
      <color theme="1"/>
      <name val="Jost Light"/>
    </font>
    <font>
      <sz val="11"/>
      <color rgb="FF21373D"/>
      <name val="Open Sans Light"/>
      <family val="2"/>
    </font>
    <font>
      <sz val="12"/>
      <color rgb="FF21373D"/>
      <name val="Open Sans Light"/>
      <family val="2"/>
    </font>
  </fonts>
  <fills count="406">
    <fill>
      <patternFill patternType="none"/>
    </fill>
    <fill>
      <patternFill patternType="gray125"/>
    </fill>
    <fill>
      <patternFill patternType="solid">
        <fgColor rgb="FFFFCC99"/>
      </patternFill>
    </fill>
    <fill>
      <patternFill patternType="solid">
        <fgColor rgb="FFCBA9E5"/>
        <bgColor indexed="64"/>
      </patternFill>
    </fill>
    <fill>
      <patternFill patternType="solid">
        <fgColor rgb="FFC00000"/>
        <bgColor indexed="64"/>
      </patternFill>
    </fill>
    <fill>
      <patternFill patternType="solid">
        <fgColor rgb="FFFFC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7" tint="0.59999389629810485"/>
        <bgColor indexed="64"/>
      </patternFill>
    </fill>
    <fill>
      <patternFill patternType="solid">
        <fgColor rgb="FF002060"/>
        <bgColor indexed="64"/>
      </patternFill>
    </fill>
    <fill>
      <patternFill patternType="solid">
        <fgColor theme="7" tint="-0.249977111117893"/>
        <bgColor indexed="64"/>
      </patternFill>
    </fill>
    <fill>
      <patternFill patternType="solid">
        <fgColor theme="0"/>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rgb="FFB3E49D"/>
        <bgColor rgb="FF000000"/>
      </patternFill>
    </fill>
    <fill>
      <patternFill patternType="solid">
        <fgColor rgb="FFFFFF00"/>
        <bgColor rgb="FF000000"/>
      </patternFill>
    </fill>
    <fill>
      <patternFill patternType="solid">
        <fgColor theme="4" tint="-0.249977111117893"/>
        <bgColor indexed="64"/>
      </patternFill>
    </fill>
    <fill>
      <patternFill patternType="solid">
        <fgColor theme="1"/>
        <bgColor indexed="64"/>
      </patternFill>
    </fill>
    <fill>
      <patternFill patternType="solid">
        <fgColor rgb="FFA4D07E"/>
        <bgColor rgb="FF000000"/>
      </patternFill>
    </fill>
    <fill>
      <patternFill patternType="solid">
        <fgColor rgb="FFFFEB84"/>
        <bgColor rgb="FF000000"/>
      </patternFill>
    </fill>
    <fill>
      <patternFill patternType="solid">
        <fgColor rgb="FFFCB279"/>
        <bgColor rgb="FF000000"/>
      </patternFill>
    </fill>
    <fill>
      <patternFill patternType="solid">
        <fgColor rgb="FFBDD880"/>
        <bgColor rgb="FF000000"/>
      </patternFill>
    </fill>
    <fill>
      <patternFill patternType="solid">
        <fgColor rgb="FFFDB67A"/>
        <bgColor rgb="FF000000"/>
      </patternFill>
    </fill>
    <fill>
      <patternFill patternType="solid">
        <fgColor rgb="FFAAD27F"/>
        <bgColor rgb="FF000000"/>
      </patternFill>
    </fill>
    <fill>
      <patternFill patternType="solid">
        <fgColor rgb="FFFCEA83"/>
        <bgColor rgb="FF000000"/>
      </patternFill>
    </fill>
    <fill>
      <patternFill patternType="solid">
        <fgColor rgb="FFFB9975"/>
        <bgColor rgb="FF000000"/>
      </patternFill>
    </fill>
    <fill>
      <patternFill patternType="solid">
        <fgColor rgb="FFE3E382"/>
        <bgColor rgb="FF000000"/>
      </patternFill>
    </fill>
    <fill>
      <patternFill patternType="solid">
        <fgColor rgb="FFFA7F70"/>
        <bgColor rgb="FF000000"/>
      </patternFill>
    </fill>
    <fill>
      <patternFill patternType="solid">
        <fgColor rgb="FF93CC7D"/>
        <bgColor rgb="FF000000"/>
      </patternFill>
    </fill>
    <fill>
      <patternFill patternType="solid">
        <fgColor rgb="FFE6E382"/>
        <bgColor rgb="FF000000"/>
      </patternFill>
    </fill>
    <fill>
      <patternFill patternType="solid">
        <fgColor rgb="FFFCAD78"/>
        <bgColor rgb="FF000000"/>
      </patternFill>
    </fill>
    <fill>
      <patternFill patternType="solid">
        <fgColor rgb="FF80C67C"/>
        <bgColor rgb="FF000000"/>
      </patternFill>
    </fill>
    <fill>
      <patternFill patternType="solid">
        <fgColor rgb="FFFA8571"/>
        <bgColor rgb="FF000000"/>
      </patternFill>
    </fill>
    <fill>
      <patternFill patternType="solid">
        <fgColor rgb="FFBCD780"/>
        <bgColor rgb="FF000000"/>
      </patternFill>
    </fill>
    <fill>
      <patternFill patternType="solid">
        <fgColor rgb="FFFEEA83"/>
        <bgColor rgb="FF000000"/>
      </patternFill>
    </fill>
    <fill>
      <patternFill patternType="solid">
        <fgColor rgb="FFFCB079"/>
        <bgColor rgb="FF000000"/>
      </patternFill>
    </fill>
    <fill>
      <patternFill patternType="solid">
        <fgColor rgb="FFB6D67F"/>
        <bgColor rgb="FF000000"/>
      </patternFill>
    </fill>
    <fill>
      <patternFill patternType="solid">
        <fgColor rgb="FFFCA176"/>
        <bgColor rgb="FF000000"/>
      </patternFill>
    </fill>
    <fill>
      <patternFill patternType="solid">
        <fgColor rgb="FFBAD881"/>
        <bgColor rgb="FF000000"/>
      </patternFill>
    </fill>
    <fill>
      <patternFill patternType="solid">
        <fgColor rgb="FFD7E082"/>
        <bgColor rgb="FF000000"/>
      </patternFill>
    </fill>
    <fill>
      <patternFill patternType="solid">
        <fgColor rgb="FFF98E72"/>
        <bgColor rgb="FF000000"/>
      </patternFill>
    </fill>
    <fill>
      <patternFill patternType="solid">
        <fgColor rgb="FFFB9F76"/>
        <bgColor rgb="FF000000"/>
      </patternFill>
    </fill>
    <fill>
      <patternFill patternType="solid">
        <fgColor rgb="FFC4DA80"/>
        <bgColor rgb="FF000000"/>
      </patternFill>
    </fill>
    <fill>
      <patternFill patternType="solid">
        <fgColor rgb="FF8FCA7D"/>
        <bgColor rgb="FF000000"/>
      </patternFill>
    </fill>
    <fill>
      <patternFill patternType="solid">
        <fgColor rgb="FFFFE984"/>
        <bgColor rgb="FF000000"/>
      </patternFill>
    </fill>
    <fill>
      <patternFill patternType="solid">
        <fgColor rgb="FFFBA176"/>
        <bgColor rgb="FF000000"/>
      </patternFill>
    </fill>
    <fill>
      <patternFill patternType="solid">
        <fgColor rgb="FFA7D17E"/>
        <bgColor rgb="FF000000"/>
      </patternFill>
    </fill>
    <fill>
      <patternFill patternType="solid">
        <fgColor rgb="FFFCA477"/>
        <bgColor rgb="FF000000"/>
      </patternFill>
    </fill>
    <fill>
      <patternFill patternType="solid">
        <fgColor rgb="FF82C77C"/>
        <bgColor rgb="FF000000"/>
      </patternFill>
    </fill>
    <fill>
      <patternFill patternType="solid">
        <fgColor rgb="FFCDDC81"/>
        <bgColor rgb="FF000000"/>
      </patternFill>
    </fill>
    <fill>
      <patternFill patternType="solid">
        <fgColor rgb="FFFB9E76"/>
        <bgColor rgb="FF000000"/>
      </patternFill>
    </fill>
    <fill>
      <patternFill patternType="solid">
        <fgColor rgb="FFAED37F"/>
        <bgColor rgb="FF000000"/>
      </patternFill>
    </fill>
    <fill>
      <patternFill patternType="solid">
        <fgColor rgb="FFFA8E73"/>
        <bgColor rgb="FF000000"/>
      </patternFill>
    </fill>
    <fill>
      <patternFill patternType="solid">
        <fgColor rgb="FFFBAA77"/>
        <bgColor rgb="FF000000"/>
      </patternFill>
    </fill>
    <fill>
      <patternFill patternType="solid">
        <fgColor rgb="FFF8696B"/>
        <bgColor rgb="FF000000"/>
      </patternFill>
    </fill>
    <fill>
      <patternFill patternType="solid">
        <fgColor rgb="FFB1D47F"/>
        <bgColor rgb="FF000000"/>
      </patternFill>
    </fill>
    <fill>
      <patternFill patternType="solid">
        <fgColor rgb="FFBED880"/>
        <bgColor rgb="FF000000"/>
      </patternFill>
    </fill>
    <fill>
      <patternFill patternType="solid">
        <fgColor rgb="FFFED781"/>
        <bgColor rgb="FF000000"/>
      </patternFill>
    </fill>
    <fill>
      <patternFill patternType="solid">
        <fgColor rgb="FFFEC77D"/>
        <bgColor rgb="FF000000"/>
      </patternFill>
    </fill>
    <fill>
      <patternFill patternType="solid">
        <fgColor rgb="FFFED07F"/>
        <bgColor rgb="FF000000"/>
      </patternFill>
    </fill>
    <fill>
      <patternFill patternType="solid">
        <fgColor rgb="FFFDBC7B"/>
        <bgColor rgb="FF000000"/>
      </patternFill>
    </fill>
    <fill>
      <patternFill patternType="solid">
        <fgColor rgb="FFC7DA80"/>
        <bgColor rgb="FF000000"/>
      </patternFill>
    </fill>
    <fill>
      <patternFill patternType="solid">
        <fgColor rgb="FFD2DE81"/>
        <bgColor rgb="FF000000"/>
      </patternFill>
    </fill>
    <fill>
      <patternFill patternType="solid">
        <fgColor rgb="FFFFE283"/>
        <bgColor rgb="FF000000"/>
      </patternFill>
    </fill>
    <fill>
      <patternFill patternType="solid">
        <fgColor rgb="FFA8D17E"/>
        <bgColor rgb="FF000000"/>
      </patternFill>
    </fill>
    <fill>
      <patternFill patternType="solid">
        <fgColor rgb="FFD7DF81"/>
        <bgColor rgb="FF000000"/>
      </patternFill>
    </fill>
    <fill>
      <patternFill patternType="solid">
        <fgColor rgb="FFFDC57D"/>
        <bgColor rgb="FF000000"/>
      </patternFill>
    </fill>
    <fill>
      <patternFill patternType="solid">
        <fgColor rgb="FF9ECF7E"/>
        <bgColor rgb="FF000000"/>
      </patternFill>
    </fill>
    <fill>
      <patternFill patternType="solid">
        <fgColor rgb="FFFDBF7C"/>
        <bgColor rgb="FF000000"/>
      </patternFill>
    </fill>
    <fill>
      <patternFill patternType="solid">
        <fgColor rgb="FFDCE182"/>
        <bgColor rgb="FF000000"/>
      </patternFill>
    </fill>
    <fill>
      <patternFill patternType="solid">
        <fgColor rgb="FF63BE7B"/>
        <bgColor rgb="FF000000"/>
      </patternFill>
    </fill>
    <fill>
      <patternFill patternType="solid">
        <fgColor rgb="FFD3DE81"/>
        <bgColor rgb="FF000000"/>
      </patternFill>
    </fill>
    <fill>
      <patternFill patternType="solid">
        <fgColor rgb="FFFEC97E"/>
        <bgColor rgb="FF000000"/>
      </patternFill>
    </fill>
    <fill>
      <patternFill patternType="solid">
        <fgColor rgb="FFC0D980"/>
        <bgColor rgb="FF000000"/>
      </patternFill>
    </fill>
    <fill>
      <patternFill patternType="solid">
        <fgColor rgb="FFFA8170"/>
        <bgColor rgb="FF000000"/>
      </patternFill>
    </fill>
    <fill>
      <patternFill patternType="solid">
        <fgColor rgb="FF74C37C"/>
        <bgColor rgb="FF000000"/>
      </patternFill>
    </fill>
    <fill>
      <patternFill patternType="solid">
        <fgColor rgb="FFA9D08E"/>
        <bgColor rgb="FF000000"/>
      </patternFill>
    </fill>
    <fill>
      <patternFill patternType="solid">
        <fgColor rgb="FF8ECA7D"/>
        <bgColor rgb="FF000000"/>
      </patternFill>
    </fill>
    <fill>
      <patternFill patternType="solid">
        <fgColor rgb="FFFDB97B"/>
        <bgColor rgb="FF000000"/>
      </patternFill>
    </fill>
    <fill>
      <patternFill patternType="solid">
        <fgColor rgb="FFFDBB7B"/>
        <bgColor rgb="FF000000"/>
      </patternFill>
    </fill>
    <fill>
      <patternFill patternType="solid">
        <fgColor rgb="FFA8D27F"/>
        <bgColor rgb="FF000000"/>
      </patternFill>
    </fill>
    <fill>
      <patternFill patternType="solid">
        <fgColor rgb="FFFFEA84"/>
        <bgColor rgb="FF000000"/>
      </patternFill>
    </fill>
    <fill>
      <patternFill patternType="solid">
        <fgColor rgb="FFFB9574"/>
        <bgColor rgb="FF000000"/>
      </patternFill>
    </fill>
    <fill>
      <patternFill patternType="solid">
        <fgColor rgb="FFF9E983"/>
        <bgColor rgb="FF000000"/>
      </patternFill>
    </fill>
    <fill>
      <patternFill patternType="solid">
        <fgColor rgb="FFF9766E"/>
        <bgColor rgb="FF000000"/>
      </patternFill>
    </fill>
    <fill>
      <patternFill patternType="solid">
        <fgColor rgb="FFC1D980"/>
        <bgColor rgb="FF000000"/>
      </patternFill>
    </fill>
    <fill>
      <patternFill patternType="solid">
        <fgColor rgb="FFFED680"/>
        <bgColor rgb="FF000000"/>
      </patternFill>
    </fill>
    <fill>
      <patternFill patternType="solid">
        <fgColor rgb="FFF9796F"/>
        <bgColor rgb="FF000000"/>
      </patternFill>
    </fill>
    <fill>
      <patternFill patternType="solid">
        <fgColor rgb="FFFA7D6F"/>
        <bgColor rgb="FF000000"/>
      </patternFill>
    </fill>
    <fill>
      <patternFill patternType="solid">
        <fgColor rgb="FFBFD880"/>
        <bgColor rgb="FF000000"/>
      </patternFill>
    </fill>
    <fill>
      <patternFill patternType="solid">
        <fgColor rgb="FFFA8972"/>
        <bgColor rgb="FF000000"/>
      </patternFill>
    </fill>
    <fill>
      <patternFill patternType="solid">
        <fgColor rgb="FFB8D780"/>
        <bgColor rgb="FF000000"/>
      </patternFill>
    </fill>
    <fill>
      <patternFill patternType="solid">
        <fgColor rgb="FFE2E383"/>
        <bgColor rgb="FF000000"/>
      </patternFill>
    </fill>
    <fill>
      <patternFill patternType="solid">
        <fgColor rgb="FFFDC07C"/>
        <bgColor rgb="FF000000"/>
      </patternFill>
    </fill>
    <fill>
      <patternFill patternType="solid">
        <fgColor rgb="FF9BCE7E"/>
        <bgColor rgb="FF000000"/>
      </patternFill>
    </fill>
    <fill>
      <patternFill patternType="solid">
        <fgColor rgb="FFFEC87E"/>
        <bgColor rgb="FF000000"/>
      </patternFill>
    </fill>
    <fill>
      <patternFill patternType="solid">
        <fgColor rgb="FF98CD7E"/>
        <bgColor rgb="FF000000"/>
      </patternFill>
    </fill>
    <fill>
      <patternFill patternType="solid">
        <fgColor rgb="FFFDBA7B"/>
        <bgColor rgb="FF000000"/>
      </patternFill>
    </fill>
    <fill>
      <patternFill patternType="solid">
        <fgColor rgb="FFFCA877"/>
        <bgColor rgb="FF000000"/>
      </patternFill>
    </fill>
    <fill>
      <patternFill patternType="solid">
        <fgColor rgb="FFD8E082"/>
        <bgColor rgb="FF000000"/>
      </patternFill>
    </fill>
    <fill>
      <patternFill patternType="solid">
        <fgColor rgb="FFE0E383"/>
        <bgColor rgb="FF000000"/>
      </patternFill>
    </fill>
    <fill>
      <patternFill patternType="solid">
        <fgColor rgb="FF6CC07B"/>
        <bgColor rgb="FF000000"/>
      </patternFill>
    </fill>
    <fill>
      <patternFill patternType="solid">
        <fgColor rgb="FFA3D07E"/>
        <bgColor rgb="FF000000"/>
      </patternFill>
    </fill>
    <fill>
      <patternFill patternType="solid">
        <fgColor rgb="FFF5E883"/>
        <bgColor rgb="FF000000"/>
      </patternFill>
    </fill>
    <fill>
      <patternFill patternType="solid">
        <fgColor rgb="FFFDB57A"/>
        <bgColor rgb="FF000000"/>
      </patternFill>
    </fill>
    <fill>
      <patternFill patternType="solid">
        <fgColor rgb="FFE8E482"/>
        <bgColor rgb="FF000000"/>
      </patternFill>
    </fill>
    <fill>
      <patternFill patternType="solid">
        <fgColor rgb="FFCBDC81"/>
        <bgColor rgb="FF000000"/>
      </patternFill>
    </fill>
    <fill>
      <patternFill patternType="solid">
        <fgColor rgb="FFEEE683"/>
        <bgColor rgb="FF000000"/>
      </patternFill>
    </fill>
    <fill>
      <patternFill patternType="solid">
        <fgColor rgb="FFFED981"/>
        <bgColor rgb="FF000000"/>
      </patternFill>
    </fill>
    <fill>
      <patternFill patternType="solid">
        <fgColor rgb="FFFB9A75"/>
        <bgColor rgb="FF000000"/>
      </patternFill>
    </fill>
    <fill>
      <patternFill patternType="solid">
        <fgColor rgb="FFB0D47F"/>
        <bgColor rgb="FF000000"/>
      </patternFill>
    </fill>
    <fill>
      <patternFill patternType="solid">
        <fgColor rgb="FFFCAE79"/>
        <bgColor rgb="FF000000"/>
      </patternFill>
    </fill>
    <fill>
      <patternFill patternType="solid">
        <fgColor rgb="FFEDE582"/>
        <bgColor rgb="FF000000"/>
      </patternFill>
    </fill>
    <fill>
      <patternFill patternType="solid">
        <fgColor rgb="FFE3E282"/>
        <bgColor rgb="FF000000"/>
      </patternFill>
    </fill>
    <fill>
      <patternFill patternType="solid">
        <fgColor rgb="FFFFE383"/>
        <bgColor rgb="FF000000"/>
      </patternFill>
    </fill>
    <fill>
      <patternFill patternType="solid">
        <fgColor rgb="FFF97B6F"/>
        <bgColor rgb="FF000000"/>
      </patternFill>
    </fill>
    <fill>
      <patternFill patternType="solid">
        <fgColor rgb="FF77C37C"/>
        <bgColor rgb="FF000000"/>
      </patternFill>
    </fill>
    <fill>
      <patternFill patternType="solid">
        <fgColor rgb="FFA9D27F"/>
        <bgColor rgb="FF000000"/>
      </patternFill>
    </fill>
    <fill>
      <patternFill patternType="solid">
        <fgColor rgb="FFDFE182"/>
        <bgColor rgb="FF000000"/>
      </patternFill>
    </fill>
    <fill>
      <patternFill patternType="solid">
        <fgColor rgb="FFB4D57F"/>
        <bgColor rgb="FF000000"/>
      </patternFill>
    </fill>
    <fill>
      <patternFill patternType="solid">
        <fgColor rgb="FFA1CF7E"/>
        <bgColor rgb="FF000000"/>
      </patternFill>
    </fill>
    <fill>
      <patternFill patternType="solid">
        <fgColor rgb="FFF6E883"/>
        <bgColor rgb="FF000000"/>
      </patternFill>
    </fill>
    <fill>
      <patternFill patternType="solid">
        <fgColor rgb="FFEFE683"/>
        <bgColor rgb="FF000000"/>
      </patternFill>
    </fill>
    <fill>
      <patternFill patternType="solid">
        <fgColor rgb="FFF97C6F"/>
        <bgColor rgb="FF000000"/>
      </patternFill>
    </fill>
    <fill>
      <patternFill patternType="solid">
        <fgColor rgb="FFC3D980"/>
        <bgColor rgb="FF000000"/>
      </patternFill>
    </fill>
    <fill>
      <patternFill patternType="solid">
        <fgColor rgb="FFF9786E"/>
        <bgColor rgb="FF000000"/>
      </patternFill>
    </fill>
    <fill>
      <patternFill patternType="solid">
        <fgColor rgb="FF7CC57C"/>
        <bgColor rgb="FF000000"/>
      </patternFill>
    </fill>
    <fill>
      <patternFill patternType="solid">
        <fgColor rgb="FFAFD47F"/>
        <bgColor rgb="FF000000"/>
      </patternFill>
    </fill>
    <fill>
      <patternFill patternType="solid">
        <fgColor rgb="FFFED880"/>
        <bgColor rgb="FF000000"/>
      </patternFill>
    </fill>
    <fill>
      <patternFill patternType="solid">
        <fgColor rgb="FFF98470"/>
        <bgColor rgb="FF000000"/>
      </patternFill>
    </fill>
    <fill>
      <patternFill patternType="solid">
        <fgColor rgb="FFF7E883"/>
        <bgColor rgb="FF000000"/>
      </patternFill>
    </fill>
    <fill>
      <patternFill patternType="solid">
        <fgColor rgb="FF6DC17B"/>
        <bgColor rgb="FF000000"/>
      </patternFill>
    </fill>
    <fill>
      <patternFill patternType="solid">
        <fgColor rgb="FFFFDB81"/>
        <bgColor rgb="FF000000"/>
      </patternFill>
    </fill>
    <fill>
      <patternFill patternType="solid">
        <fgColor rgb="FF66BE7B"/>
        <bgColor rgb="FF000000"/>
      </patternFill>
    </fill>
    <fill>
      <patternFill patternType="solid">
        <fgColor rgb="FFB8D67F"/>
        <bgColor rgb="FF000000"/>
      </patternFill>
    </fill>
    <fill>
      <patternFill patternType="solid">
        <fgColor rgb="FFFFDC82"/>
        <bgColor rgb="FF000000"/>
      </patternFill>
    </fill>
    <fill>
      <patternFill patternType="solid">
        <fgColor rgb="FFE7E482"/>
        <bgColor rgb="FF000000"/>
      </patternFill>
    </fill>
    <fill>
      <patternFill patternType="solid">
        <fgColor rgb="FFFA8771"/>
        <bgColor rgb="FF000000"/>
      </patternFill>
    </fill>
    <fill>
      <patternFill patternType="solid">
        <fgColor rgb="FF96CC7D"/>
        <bgColor rgb="FF000000"/>
      </patternFill>
    </fill>
    <fill>
      <patternFill patternType="solid">
        <fgColor rgb="FFE2E282"/>
        <bgColor rgb="FF000000"/>
      </patternFill>
    </fill>
    <fill>
      <patternFill patternType="solid">
        <fgColor rgb="FF6BC07B"/>
        <bgColor rgb="FF000000"/>
      </patternFill>
    </fill>
    <fill>
      <patternFill patternType="solid">
        <fgColor rgb="FFFB9D75"/>
        <bgColor rgb="FF000000"/>
      </patternFill>
    </fill>
    <fill>
      <patternFill patternType="solid">
        <fgColor rgb="FF79C47C"/>
        <bgColor rgb="FF000000"/>
      </patternFill>
    </fill>
    <fill>
      <patternFill patternType="solid">
        <fgColor rgb="FFFED280"/>
        <bgColor rgb="FF000000"/>
      </patternFill>
    </fill>
    <fill>
      <patternFill patternType="solid">
        <fgColor rgb="FFFCB37A"/>
        <bgColor rgb="FF000000"/>
      </patternFill>
    </fill>
    <fill>
      <patternFill patternType="solid">
        <fgColor rgb="FFFEE783"/>
        <bgColor rgb="FF000000"/>
      </patternFill>
    </fill>
    <fill>
      <patternFill patternType="solid">
        <fgColor rgb="FFFCBC7B"/>
        <bgColor rgb="FF000000"/>
      </patternFill>
    </fill>
    <fill>
      <patternFill patternType="solid">
        <fgColor rgb="FFF8726C"/>
        <bgColor rgb="FF000000"/>
      </patternFill>
    </fill>
    <fill>
      <patternFill patternType="solid">
        <fgColor rgb="FFF96A6C"/>
        <bgColor rgb="FF000000"/>
      </patternFill>
    </fill>
    <fill>
      <patternFill patternType="solid">
        <fgColor rgb="FFFCAD79"/>
        <bgColor rgb="FF000000"/>
      </patternFill>
    </fill>
    <fill>
      <patternFill patternType="solid">
        <fgColor rgb="FFFFE182"/>
        <bgColor rgb="FF000000"/>
      </patternFill>
    </fill>
    <fill>
      <patternFill patternType="solid">
        <fgColor rgb="FF6FC17B"/>
        <bgColor rgb="FF000000"/>
      </patternFill>
    </fill>
    <fill>
      <patternFill patternType="solid">
        <fgColor rgb="FF8BC97D"/>
        <bgColor rgb="FF000000"/>
      </patternFill>
    </fill>
    <fill>
      <patternFill patternType="solid">
        <fgColor rgb="FFFFDA81"/>
        <bgColor rgb="FF000000"/>
      </patternFill>
    </fill>
    <fill>
      <patternFill patternType="solid">
        <fgColor rgb="FF86C87D"/>
        <bgColor rgb="FF000000"/>
      </patternFill>
    </fill>
    <fill>
      <patternFill patternType="solid">
        <fgColor rgb="FF8ACA7E"/>
        <bgColor rgb="FF000000"/>
      </patternFill>
    </fill>
    <fill>
      <patternFill patternType="solid">
        <fgColor rgb="FFB1D580"/>
        <bgColor rgb="FF000000"/>
      </patternFill>
    </fill>
    <fill>
      <patternFill patternType="solid">
        <fgColor rgb="FFFDCA7D"/>
        <bgColor rgb="FF000000"/>
      </patternFill>
    </fill>
    <fill>
      <patternFill patternType="solid">
        <fgColor rgb="FFFFE683"/>
        <bgColor rgb="FF000000"/>
      </patternFill>
    </fill>
    <fill>
      <patternFill patternType="solid">
        <fgColor rgb="FFFDC27C"/>
        <bgColor rgb="FF000000"/>
      </patternFill>
    </fill>
    <fill>
      <patternFill patternType="solid">
        <fgColor rgb="FFFDC47D"/>
        <bgColor rgb="FF000000"/>
      </patternFill>
    </fill>
    <fill>
      <patternFill patternType="solid">
        <fgColor rgb="FFFCAF79"/>
        <bgColor rgb="FF000000"/>
      </patternFill>
    </fill>
    <fill>
      <patternFill patternType="solid">
        <fgColor rgb="FFE5E382"/>
        <bgColor rgb="FF000000"/>
      </patternFill>
    </fill>
    <fill>
      <patternFill patternType="solid">
        <fgColor rgb="FFFEC77E"/>
        <bgColor rgb="FF000000"/>
      </patternFill>
    </fill>
    <fill>
      <patternFill patternType="solid">
        <fgColor rgb="FF8AC97D"/>
        <bgColor rgb="FF000000"/>
      </patternFill>
    </fill>
    <fill>
      <patternFill patternType="solid">
        <fgColor rgb="FF83C77C"/>
        <bgColor rgb="FF000000"/>
      </patternFill>
    </fill>
    <fill>
      <patternFill patternType="solid">
        <fgColor rgb="FFABD27F"/>
        <bgColor rgb="FF000000"/>
      </patternFill>
    </fill>
    <fill>
      <patternFill patternType="solid">
        <fgColor rgb="FFFFE784"/>
        <bgColor rgb="FF000000"/>
      </patternFill>
    </fill>
    <fill>
      <patternFill patternType="solid">
        <fgColor rgb="FFDCE081"/>
        <bgColor rgb="FF000000"/>
      </patternFill>
    </fill>
    <fill>
      <patternFill patternType="solid">
        <fgColor rgb="FFB3D57F"/>
        <bgColor rgb="FF000000"/>
      </patternFill>
    </fill>
    <fill>
      <patternFill patternType="solid">
        <fgColor rgb="FFFFE082"/>
        <bgColor rgb="FF000000"/>
      </patternFill>
    </fill>
    <fill>
      <patternFill patternType="solid">
        <fgColor rgb="FFF9716D"/>
        <bgColor rgb="FF000000"/>
      </patternFill>
    </fill>
    <fill>
      <patternFill patternType="solid">
        <fgColor rgb="FFDAE081"/>
        <bgColor rgb="FF000000"/>
      </patternFill>
    </fill>
    <fill>
      <patternFill patternType="solid">
        <fgColor rgb="FFE9E482"/>
        <bgColor rgb="FF000000"/>
      </patternFill>
    </fill>
    <fill>
      <patternFill patternType="solid">
        <fgColor rgb="FFBDD881"/>
        <bgColor rgb="FF000000"/>
      </patternFill>
    </fill>
    <fill>
      <patternFill patternType="solid">
        <fgColor rgb="FFE7E583"/>
        <bgColor rgb="FF000000"/>
      </patternFill>
    </fill>
    <fill>
      <patternFill patternType="solid">
        <fgColor rgb="FFC8DB80"/>
        <bgColor rgb="FF000000"/>
      </patternFill>
    </fill>
    <fill>
      <patternFill patternType="solid">
        <fgColor rgb="FFFCAA78"/>
        <bgColor rgb="FF000000"/>
      </patternFill>
    </fill>
    <fill>
      <patternFill patternType="solid">
        <fgColor rgb="FFADD37F"/>
        <bgColor rgb="FF000000"/>
      </patternFill>
    </fill>
    <fill>
      <patternFill patternType="solid">
        <fgColor rgb="FFFCB179"/>
        <bgColor rgb="FF000000"/>
      </patternFill>
    </fill>
    <fill>
      <patternFill patternType="solid">
        <fgColor rgb="FF7DC57C"/>
        <bgColor rgb="FF000000"/>
      </patternFill>
    </fill>
    <fill>
      <patternFill patternType="solid">
        <fgColor rgb="FFC0D880"/>
        <bgColor rgb="FF000000"/>
      </patternFill>
    </fill>
    <fill>
      <patternFill patternType="solid">
        <fgColor rgb="FFFCA276"/>
        <bgColor rgb="FF000000"/>
      </patternFill>
    </fill>
    <fill>
      <patternFill patternType="solid">
        <fgColor rgb="FFFB9073"/>
        <bgColor rgb="FF000000"/>
      </patternFill>
    </fill>
    <fill>
      <patternFill patternType="solid">
        <fgColor rgb="FFACD37F"/>
        <bgColor rgb="FF000000"/>
      </patternFill>
    </fill>
    <fill>
      <patternFill patternType="solid">
        <fgColor rgb="FFB5D57F"/>
        <bgColor rgb="FF000000"/>
      </patternFill>
    </fill>
    <fill>
      <patternFill patternType="solid">
        <fgColor rgb="FFFFDC81"/>
        <bgColor rgb="FF000000"/>
      </patternFill>
    </fill>
    <fill>
      <patternFill patternType="solid">
        <fgColor rgb="FFDDE182"/>
        <bgColor rgb="FF000000"/>
      </patternFill>
    </fill>
    <fill>
      <patternFill patternType="solid">
        <fgColor rgb="FFFFDD82"/>
        <bgColor rgb="FF000000"/>
      </patternFill>
    </fill>
    <fill>
      <patternFill patternType="solid">
        <fgColor rgb="FFCFDD81"/>
        <bgColor rgb="FF000000"/>
      </patternFill>
    </fill>
    <fill>
      <patternFill patternType="solid">
        <fgColor rgb="FFFB9C75"/>
        <bgColor rgb="FF000000"/>
      </patternFill>
    </fill>
    <fill>
      <patternFill patternType="solid">
        <fgColor rgb="FFCADB80"/>
        <bgColor rgb="FF000000"/>
      </patternFill>
    </fill>
    <fill>
      <patternFill patternType="solid">
        <fgColor rgb="FFFDC17C"/>
        <bgColor rgb="FF000000"/>
      </patternFill>
    </fill>
    <fill>
      <patternFill patternType="solid">
        <fgColor rgb="FFFDC37D"/>
        <bgColor rgb="FF000000"/>
      </patternFill>
    </fill>
    <fill>
      <patternFill patternType="solid">
        <fgColor rgb="FF9CCE7E"/>
        <bgColor rgb="FF000000"/>
      </patternFill>
    </fill>
    <fill>
      <patternFill patternType="solid">
        <fgColor rgb="FFFFDE82"/>
        <bgColor rgb="FF000000"/>
      </patternFill>
    </fill>
    <fill>
      <patternFill patternType="solid">
        <fgColor rgb="FF75C37C"/>
        <bgColor rgb="FF000000"/>
      </patternFill>
    </fill>
    <fill>
      <patternFill patternType="solid">
        <fgColor rgb="FFFA8370"/>
        <bgColor rgb="FF000000"/>
      </patternFill>
    </fill>
    <fill>
      <patternFill patternType="solid">
        <fgColor rgb="FFFA8B72"/>
        <bgColor rgb="FF000000"/>
      </patternFill>
    </fill>
    <fill>
      <patternFill patternType="solid">
        <fgColor rgb="FFDFE283"/>
        <bgColor rgb="FF000000"/>
      </patternFill>
    </fill>
    <fill>
      <patternFill patternType="solid">
        <fgColor rgb="FFFDEB84"/>
        <bgColor rgb="FF000000"/>
      </patternFill>
    </fill>
    <fill>
      <patternFill patternType="solid">
        <fgColor rgb="FFF97B6E"/>
        <bgColor rgb="FF000000"/>
      </patternFill>
    </fill>
    <fill>
      <patternFill patternType="solid">
        <fgColor rgb="FFFDB77A"/>
        <bgColor rgb="FF000000"/>
      </patternFill>
    </fill>
    <fill>
      <patternFill patternType="solid">
        <fgColor rgb="FFFB8F73"/>
        <bgColor rgb="FF000000"/>
      </patternFill>
    </fill>
    <fill>
      <patternFill patternType="solid">
        <fgColor rgb="FFC2D980"/>
        <bgColor rgb="FF000000"/>
      </patternFill>
    </fill>
    <fill>
      <patternFill patternType="solid">
        <fgColor rgb="FFFB9874"/>
        <bgColor rgb="FF000000"/>
      </patternFill>
    </fill>
    <fill>
      <patternFill patternType="solid">
        <fgColor rgb="FFFB9373"/>
        <bgColor rgb="FF000000"/>
      </patternFill>
    </fill>
    <fill>
      <patternFill patternType="solid">
        <fgColor rgb="FFFECA7E"/>
        <bgColor rgb="FF000000"/>
      </patternFill>
    </fill>
    <fill>
      <patternFill patternType="solid">
        <fgColor rgb="FFFA8E72"/>
        <bgColor rgb="FF000000"/>
      </patternFill>
    </fill>
    <fill>
      <patternFill patternType="solid">
        <fgColor rgb="FFFFE483"/>
        <bgColor rgb="FF000000"/>
      </patternFill>
    </fill>
    <fill>
      <patternFill patternType="solid">
        <fgColor rgb="FF84C77C"/>
        <bgColor rgb="FF000000"/>
      </patternFill>
    </fill>
    <fill>
      <patternFill patternType="solid">
        <fgColor rgb="FF73C27B"/>
        <bgColor rgb="FF000000"/>
      </patternFill>
    </fill>
    <fill>
      <patternFill patternType="solid">
        <fgColor rgb="FFFA8871"/>
        <bgColor rgb="FF000000"/>
      </patternFill>
    </fill>
    <fill>
      <patternFill patternType="solid">
        <fgColor rgb="FFFFE583"/>
        <bgColor rgb="FF000000"/>
      </patternFill>
    </fill>
    <fill>
      <patternFill patternType="solid">
        <fgColor rgb="FFFDC27D"/>
        <bgColor rgb="FF000000"/>
      </patternFill>
    </fill>
    <fill>
      <patternFill patternType="solid">
        <fgColor rgb="FFF0E683"/>
        <bgColor rgb="FF000000"/>
      </patternFill>
    </fill>
    <fill>
      <patternFill patternType="solid">
        <fgColor rgb="FFFCAB78"/>
        <bgColor rgb="FF000000"/>
      </patternFill>
    </fill>
    <fill>
      <patternFill patternType="solid">
        <fgColor rgb="FFDBE081"/>
        <bgColor rgb="FF000000"/>
      </patternFill>
    </fill>
    <fill>
      <patternFill patternType="solid">
        <fgColor rgb="FFFA8D72"/>
        <bgColor rgb="FF000000"/>
      </patternFill>
    </fill>
    <fill>
      <patternFill patternType="solid">
        <fgColor rgb="FFA5D17E"/>
        <bgColor rgb="FF000000"/>
      </patternFill>
    </fill>
    <fill>
      <patternFill patternType="solid">
        <fgColor rgb="FFFDEA83"/>
        <bgColor rgb="FF000000"/>
      </patternFill>
    </fill>
    <fill>
      <patternFill patternType="solid">
        <fgColor rgb="FFFDC57C"/>
        <bgColor rgb="FF000000"/>
      </patternFill>
    </fill>
    <fill>
      <patternFill patternType="solid">
        <fgColor rgb="FFFECC7E"/>
        <bgColor rgb="FF000000"/>
      </patternFill>
    </fill>
    <fill>
      <patternFill patternType="solid">
        <fgColor rgb="FF7BC57C"/>
        <bgColor rgb="FF000000"/>
      </patternFill>
    </fill>
    <fill>
      <patternFill patternType="solid">
        <fgColor rgb="FFFDC67D"/>
        <bgColor rgb="FF000000"/>
      </patternFill>
    </fill>
    <fill>
      <patternFill patternType="solid">
        <fgColor rgb="FFFECD7F"/>
        <bgColor rgb="FF000000"/>
      </patternFill>
    </fill>
    <fill>
      <patternFill patternType="solid">
        <fgColor rgb="FFF9736D"/>
        <bgColor rgb="FF000000"/>
      </patternFill>
    </fill>
    <fill>
      <patternFill patternType="solid">
        <fgColor rgb="FFF4E883"/>
        <bgColor rgb="FF000000"/>
      </patternFill>
    </fill>
    <fill>
      <patternFill patternType="solid">
        <fgColor rgb="FFECE582"/>
        <bgColor rgb="FF000000"/>
      </patternFill>
    </fill>
    <fill>
      <patternFill patternType="solid">
        <fgColor rgb="FFFECE7F"/>
        <bgColor rgb="FF000000"/>
      </patternFill>
    </fill>
    <fill>
      <patternFill patternType="solid">
        <fgColor rgb="FFEDE683"/>
        <bgColor rgb="FF000000"/>
      </patternFill>
    </fill>
    <fill>
      <patternFill patternType="solid">
        <fgColor rgb="FFFFE183"/>
        <bgColor rgb="FF000000"/>
      </patternFill>
    </fill>
    <fill>
      <patternFill patternType="solid">
        <fgColor rgb="FF72C27B"/>
        <bgColor rgb="FF000000"/>
      </patternFill>
    </fill>
    <fill>
      <patternFill patternType="solid">
        <fgColor rgb="FFF9746D"/>
        <bgColor rgb="FF000000"/>
      </patternFill>
    </fill>
    <fill>
      <patternFill patternType="solid">
        <fgColor rgb="FF9FCF7E"/>
        <bgColor rgb="FF000000"/>
      </patternFill>
    </fill>
    <fill>
      <patternFill patternType="solid">
        <fgColor rgb="FFFCAC78"/>
        <bgColor rgb="FF000000"/>
      </patternFill>
    </fill>
    <fill>
      <patternFill patternType="solid">
        <fgColor rgb="FFFCA677"/>
        <bgColor rgb="FF000000"/>
      </patternFill>
    </fill>
    <fill>
      <patternFill patternType="solid">
        <fgColor rgb="FF7EC57C"/>
        <bgColor rgb="FF000000"/>
      </patternFill>
    </fill>
    <fill>
      <patternFill patternType="solid">
        <fgColor rgb="FFB7D67F"/>
        <bgColor rgb="FF000000"/>
      </patternFill>
    </fill>
    <fill>
      <patternFill patternType="solid">
        <fgColor rgb="FFD4DE81"/>
        <bgColor rgb="FF000000"/>
      </patternFill>
    </fill>
    <fill>
      <patternFill patternType="solid">
        <fgColor rgb="FFFDBD7C"/>
        <bgColor rgb="FF000000"/>
      </patternFill>
    </fill>
    <fill>
      <patternFill patternType="solid">
        <fgColor rgb="FFFCB27A"/>
        <bgColor rgb="FF000000"/>
      </patternFill>
    </fill>
    <fill>
      <patternFill patternType="solid">
        <fgColor rgb="FFEBE582"/>
        <bgColor rgb="FF000000"/>
      </patternFill>
    </fill>
    <fill>
      <patternFill patternType="solid">
        <fgColor rgb="FFFECF7F"/>
        <bgColor rgb="FF000000"/>
      </patternFill>
    </fill>
    <fill>
      <patternFill patternType="solid">
        <fgColor rgb="FFC9DB80"/>
        <bgColor rgb="FF000000"/>
      </patternFill>
    </fill>
    <fill>
      <patternFill patternType="solid">
        <fgColor rgb="FFFCA978"/>
        <bgColor rgb="FF000000"/>
      </patternFill>
    </fill>
    <fill>
      <patternFill patternType="solid">
        <fgColor rgb="FFB2D47F"/>
        <bgColor rgb="FF000000"/>
      </patternFill>
    </fill>
    <fill>
      <patternFill patternType="solid">
        <fgColor rgb="FFE4E382"/>
        <bgColor rgb="FF000000"/>
      </patternFill>
    </fill>
    <fill>
      <patternFill patternType="solid">
        <fgColor rgb="FFFA8070"/>
        <bgColor rgb="FF000000"/>
      </patternFill>
    </fill>
    <fill>
      <patternFill patternType="solid">
        <fgColor rgb="FFF1E783"/>
        <bgColor rgb="FF000000"/>
      </patternFill>
    </fill>
    <fill>
      <patternFill patternType="solid">
        <fgColor rgb="FFFB9875"/>
        <bgColor rgb="FF000000"/>
      </patternFill>
    </fill>
    <fill>
      <patternFill patternType="solid">
        <fgColor rgb="FFFCA577"/>
        <bgColor rgb="FF000000"/>
      </patternFill>
    </fill>
    <fill>
      <patternFill patternType="solid">
        <fgColor rgb="FFFB9774"/>
        <bgColor rgb="FF000000"/>
      </patternFill>
    </fill>
    <fill>
      <patternFill patternType="solid">
        <fgColor rgb="FFCEDC81"/>
        <bgColor rgb="FF000000"/>
      </patternFill>
    </fill>
    <fill>
      <patternFill patternType="solid">
        <fgColor rgb="FFFBEA83"/>
        <bgColor rgb="FF000000"/>
      </patternFill>
    </fill>
    <fill>
      <patternFill patternType="solid">
        <fgColor rgb="FFFFE884"/>
        <bgColor rgb="FF000000"/>
      </patternFill>
    </fill>
    <fill>
      <patternFill patternType="solid">
        <fgColor rgb="FFD1DD81"/>
        <bgColor rgb="FF000000"/>
      </patternFill>
    </fill>
    <fill>
      <patternFill patternType="solid">
        <fgColor rgb="FFFB9674"/>
        <bgColor rgb="FF000000"/>
      </patternFill>
    </fill>
    <fill>
      <patternFill patternType="solid">
        <fgColor rgb="FFCEDD82"/>
        <bgColor rgb="FF000000"/>
      </patternFill>
    </fill>
    <fill>
      <patternFill patternType="solid">
        <fgColor rgb="FFFA8270"/>
        <bgColor rgb="FF000000"/>
      </patternFill>
    </fill>
    <fill>
      <patternFill patternType="solid">
        <fgColor rgb="FFF2E783"/>
        <bgColor rgb="FF000000"/>
      </patternFill>
    </fill>
    <fill>
      <patternFill patternType="solid">
        <fgColor rgb="FF67BF7B"/>
        <bgColor rgb="FF000000"/>
      </patternFill>
    </fill>
    <fill>
      <patternFill patternType="solid">
        <fgColor rgb="FF81C67C"/>
        <bgColor rgb="FF000000"/>
      </patternFill>
    </fill>
    <fill>
      <patternFill patternType="solid">
        <fgColor rgb="FFFAE983"/>
        <bgColor rgb="FF000000"/>
      </patternFill>
    </fill>
    <fill>
      <patternFill patternType="solid">
        <fgColor rgb="FF83C77D"/>
        <bgColor rgb="FF000000"/>
      </patternFill>
    </fill>
    <fill>
      <patternFill patternType="solid">
        <fgColor rgb="FFFDB87B"/>
        <bgColor rgb="FF000000"/>
      </patternFill>
    </fill>
    <fill>
      <patternFill patternType="solid">
        <fgColor rgb="FFFB9173"/>
        <bgColor rgb="FF000000"/>
      </patternFill>
    </fill>
    <fill>
      <patternFill patternType="solid">
        <fgColor rgb="FFF9706D"/>
        <bgColor rgb="FF000000"/>
      </patternFill>
    </fill>
    <fill>
      <patternFill patternType="solid">
        <fgColor rgb="FFF96E6C"/>
        <bgColor rgb="FF000000"/>
      </patternFill>
    </fill>
    <fill>
      <patternFill patternType="solid">
        <fgColor rgb="FFBAD780"/>
        <bgColor rgb="FF000000"/>
      </patternFill>
    </fill>
    <fill>
      <patternFill patternType="solid">
        <fgColor rgb="FFFA7E6F"/>
        <bgColor rgb="FF000000"/>
      </patternFill>
    </fill>
    <fill>
      <patternFill patternType="solid">
        <fgColor rgb="FFFA8471"/>
        <bgColor rgb="FF000000"/>
      </patternFill>
    </fill>
    <fill>
      <patternFill patternType="solid">
        <fgColor rgb="FFF96D6C"/>
        <bgColor rgb="FF000000"/>
      </patternFill>
    </fill>
    <fill>
      <patternFill patternType="solid">
        <fgColor rgb="FFE7E483"/>
        <bgColor rgb="FF000000"/>
      </patternFill>
    </fill>
    <fill>
      <patternFill patternType="solid">
        <fgColor rgb="FFFBA076"/>
        <bgColor rgb="FF000000"/>
      </patternFill>
    </fill>
    <fill>
      <patternFill patternType="solid">
        <fgColor rgb="FFFBE983"/>
        <bgColor rgb="FF000000"/>
      </patternFill>
    </fill>
    <fill>
      <patternFill patternType="solid">
        <fgColor rgb="FF88C87D"/>
        <bgColor rgb="FF000000"/>
      </patternFill>
    </fill>
    <fill>
      <patternFill patternType="solid">
        <fgColor rgb="FFFA7C6F"/>
        <bgColor rgb="FF000000"/>
      </patternFill>
    </fill>
    <fill>
      <patternFill patternType="solid">
        <fgColor rgb="FFFA8971"/>
        <bgColor rgb="FF000000"/>
      </patternFill>
    </fill>
    <fill>
      <patternFill patternType="solid">
        <fgColor rgb="FFF98971"/>
        <bgColor rgb="FF000000"/>
      </patternFill>
    </fill>
    <fill>
      <patternFill patternType="solid">
        <fgColor rgb="FFA2D07F"/>
        <bgColor rgb="FF000000"/>
      </patternFill>
    </fill>
    <fill>
      <patternFill patternType="solid">
        <fgColor rgb="FFC7DB80"/>
        <bgColor rgb="FF000000"/>
      </patternFill>
    </fill>
    <fill>
      <patternFill patternType="solid">
        <fgColor rgb="FFFFD981"/>
        <bgColor rgb="FF000000"/>
      </patternFill>
    </fill>
    <fill>
      <patternFill patternType="solid">
        <fgColor rgb="FFFA8671"/>
        <bgColor rgb="FF000000"/>
      </patternFill>
    </fill>
    <fill>
      <patternFill patternType="solid">
        <fgColor rgb="FFC5DA80"/>
        <bgColor rgb="FF000000"/>
      </patternFill>
    </fill>
    <fill>
      <patternFill patternType="solid">
        <fgColor rgb="FFF9726D"/>
        <bgColor rgb="FF000000"/>
      </patternFill>
    </fill>
    <fill>
      <patternFill patternType="solid">
        <fgColor rgb="FFFFE684"/>
        <bgColor rgb="FF000000"/>
      </patternFill>
    </fill>
    <fill>
      <patternFill patternType="solid">
        <fgColor rgb="FFAFD480"/>
        <bgColor rgb="FF000000"/>
      </patternFill>
    </fill>
    <fill>
      <patternFill patternType="solid">
        <fgColor rgb="FFD2DE82"/>
        <bgColor rgb="FF000000"/>
      </patternFill>
    </fill>
    <fill>
      <patternFill patternType="solid">
        <fgColor rgb="FF71C27B"/>
        <bgColor rgb="FF000000"/>
      </patternFill>
    </fill>
    <fill>
      <patternFill patternType="solid">
        <fgColor rgb="FFFCA376"/>
        <bgColor rgb="FF000000"/>
      </patternFill>
    </fill>
    <fill>
      <patternFill patternType="solid">
        <fgColor rgb="FFFA8A72"/>
        <bgColor rgb="FF000000"/>
      </patternFill>
    </fill>
    <fill>
      <patternFill patternType="solid">
        <fgColor rgb="FFF9796E"/>
        <bgColor rgb="FF000000"/>
      </patternFill>
    </fill>
    <fill>
      <patternFill patternType="solid">
        <fgColor rgb="FF82C67C"/>
        <bgColor rgb="FF000000"/>
      </patternFill>
    </fill>
    <fill>
      <patternFill patternType="solid">
        <fgColor rgb="FFF4E783"/>
        <bgColor rgb="FF000000"/>
      </patternFill>
    </fill>
    <fill>
      <patternFill patternType="solid">
        <fgColor rgb="FF7AC47C"/>
        <bgColor rgb="FF000000"/>
      </patternFill>
    </fill>
    <fill>
      <patternFill patternType="solid">
        <fgColor rgb="FFFED881"/>
        <bgColor rgb="FF000000"/>
      </patternFill>
    </fill>
    <fill>
      <patternFill patternType="solid">
        <fgColor rgb="FF64BE7B"/>
        <bgColor rgb="FF000000"/>
      </patternFill>
    </fill>
    <fill>
      <patternFill patternType="solid">
        <fgColor rgb="FFFCA777"/>
        <bgColor rgb="FF000000"/>
      </patternFill>
    </fill>
    <fill>
      <patternFill patternType="solid">
        <fgColor rgb="FF8CC97D"/>
        <bgColor rgb="FF000000"/>
      </patternFill>
    </fill>
    <fill>
      <patternFill patternType="solid">
        <fgColor rgb="FFFBEA84"/>
        <bgColor rgb="FF000000"/>
      </patternFill>
    </fill>
    <fill>
      <patternFill patternType="solid">
        <fgColor rgb="FFFFDF82"/>
        <bgColor rgb="FF000000"/>
      </patternFill>
    </fill>
    <fill>
      <patternFill patternType="solid">
        <fgColor rgb="FFCCDC81"/>
        <bgColor rgb="FF000000"/>
      </patternFill>
    </fill>
    <fill>
      <patternFill patternType="solid">
        <fgColor rgb="FFFB9B75"/>
        <bgColor rgb="FF000000"/>
      </patternFill>
    </fill>
    <fill>
      <patternFill patternType="solid">
        <fgColor rgb="FFFED380"/>
        <bgColor rgb="FF000000"/>
      </patternFill>
    </fill>
    <fill>
      <patternFill patternType="solid">
        <fgColor rgb="FFD6DF81"/>
        <bgColor rgb="FF000000"/>
      </patternFill>
    </fill>
    <fill>
      <patternFill patternType="solid">
        <fgColor rgb="FFDEE182"/>
        <bgColor rgb="FF000000"/>
      </patternFill>
    </fill>
    <fill>
      <patternFill patternType="solid">
        <fgColor rgb="FF7FC67C"/>
        <bgColor rgb="FF000000"/>
      </patternFill>
    </fill>
    <fill>
      <patternFill patternType="solid">
        <fgColor rgb="FF78C47C"/>
        <bgColor rgb="FF000000"/>
      </patternFill>
    </fill>
    <fill>
      <patternFill patternType="solid">
        <fgColor rgb="FF9CCF7F"/>
        <bgColor rgb="FF000000"/>
      </patternFill>
    </fill>
    <fill>
      <patternFill patternType="solid">
        <fgColor rgb="FF9ACD7E"/>
        <bgColor rgb="FF000000"/>
      </patternFill>
    </fill>
    <fill>
      <patternFill patternType="solid">
        <fgColor rgb="FFFED17F"/>
        <bgColor rgb="FF000000"/>
      </patternFill>
    </fill>
    <fill>
      <patternFill patternType="solid">
        <fgColor rgb="FF97CD7E"/>
        <bgColor rgb="FF000000"/>
      </patternFill>
    </fill>
    <fill>
      <patternFill patternType="solid">
        <fgColor rgb="FFE1E282"/>
        <bgColor rgb="FF000000"/>
      </patternFill>
    </fill>
    <fill>
      <patternFill patternType="solid">
        <fgColor rgb="FFF3E783"/>
        <bgColor rgb="FF000000"/>
      </patternFill>
    </fill>
    <fill>
      <patternFill patternType="solid">
        <fgColor rgb="FFA2D07E"/>
        <bgColor rgb="FF000000"/>
      </patternFill>
    </fill>
    <fill>
      <patternFill patternType="solid">
        <fgColor rgb="FFFB9474"/>
        <bgColor rgb="FF000000"/>
      </patternFill>
    </fill>
    <fill>
      <patternFill patternType="solid">
        <fgColor rgb="FFFBB379"/>
        <bgColor rgb="FF000000"/>
      </patternFill>
    </fill>
    <fill>
      <patternFill patternType="solid">
        <fgColor rgb="FFD8DF81"/>
        <bgColor rgb="FF000000"/>
      </patternFill>
    </fill>
    <fill>
      <patternFill patternType="solid">
        <fgColor rgb="FFCEDD81"/>
        <bgColor rgb="FF000000"/>
      </patternFill>
    </fill>
    <fill>
      <patternFill patternType="solid">
        <fgColor rgb="FF94CC7D"/>
        <bgColor rgb="FF000000"/>
      </patternFill>
    </fill>
    <fill>
      <patternFill patternType="solid">
        <fgColor rgb="FFD9E081"/>
        <bgColor rgb="FF000000"/>
      </patternFill>
    </fill>
    <fill>
      <patternFill patternType="solid">
        <fgColor rgb="FFFA8C72"/>
        <bgColor rgb="FF000000"/>
      </patternFill>
    </fill>
    <fill>
      <patternFill patternType="solid">
        <fgColor rgb="FFA0CF7E"/>
        <bgColor rgb="FF000000"/>
      </patternFill>
    </fill>
    <fill>
      <patternFill patternType="solid">
        <fgColor rgb="FFD6E082"/>
        <bgColor rgb="FF000000"/>
      </patternFill>
    </fill>
    <fill>
      <patternFill patternType="solid">
        <fgColor rgb="FFE6E482"/>
        <bgColor rgb="FF000000"/>
      </patternFill>
    </fill>
    <fill>
      <patternFill patternType="solid">
        <fgColor rgb="FFB6D57F"/>
        <bgColor rgb="FF000000"/>
      </patternFill>
    </fill>
    <fill>
      <patternFill patternType="solid">
        <fgColor rgb="FFD0DD81"/>
        <bgColor rgb="FF000000"/>
      </patternFill>
    </fill>
    <fill>
      <patternFill patternType="solid">
        <fgColor rgb="FFFB9273"/>
        <bgColor rgb="FF000000"/>
      </patternFill>
    </fill>
    <fill>
      <patternFill patternType="solid">
        <fgColor rgb="FF95CC7D"/>
        <bgColor rgb="FF000000"/>
      </patternFill>
    </fill>
    <fill>
      <patternFill patternType="solid">
        <fgColor rgb="FFF9746E"/>
        <bgColor rgb="FF000000"/>
      </patternFill>
    </fill>
    <fill>
      <patternFill patternType="solid">
        <fgColor rgb="FFEAE583"/>
        <bgColor rgb="FF000000"/>
      </patternFill>
    </fill>
    <fill>
      <patternFill patternType="solid">
        <fgColor rgb="FFA4D17E"/>
        <bgColor rgb="FF000000"/>
      </patternFill>
    </fill>
    <fill>
      <patternFill patternType="solid">
        <fgColor rgb="FFFCA377"/>
        <bgColor rgb="FF000000"/>
      </patternFill>
    </fill>
    <fill>
      <patternFill patternType="solid">
        <fgColor rgb="FFE0E282"/>
        <bgColor rgb="FF000000"/>
      </patternFill>
    </fill>
    <fill>
      <patternFill patternType="solid">
        <fgColor rgb="FF87C87D"/>
        <bgColor rgb="FF000000"/>
      </patternFill>
    </fill>
    <fill>
      <patternFill patternType="solid">
        <fgColor rgb="FFC3DA81"/>
        <bgColor rgb="FF000000"/>
      </patternFill>
    </fill>
    <fill>
      <patternFill patternType="solid">
        <fgColor rgb="FFF7E984"/>
        <bgColor rgb="FF000000"/>
      </patternFill>
    </fill>
    <fill>
      <patternFill patternType="solid">
        <fgColor rgb="FFC6DA80"/>
        <bgColor rgb="FF000000"/>
      </patternFill>
    </fill>
    <fill>
      <patternFill patternType="solid">
        <fgColor rgb="FFFECB7E"/>
        <bgColor rgb="FF000000"/>
      </patternFill>
    </fill>
    <fill>
      <patternFill patternType="solid">
        <fgColor rgb="FFF8E983"/>
        <bgColor rgb="FF000000"/>
      </patternFill>
    </fill>
    <fill>
      <patternFill patternType="solid">
        <fgColor rgb="FFF9756E"/>
        <bgColor rgb="FF000000"/>
      </patternFill>
    </fill>
    <fill>
      <patternFill patternType="solid">
        <fgColor rgb="FFF97A6F"/>
        <bgColor rgb="FF000000"/>
      </patternFill>
    </fill>
    <fill>
      <patternFill patternType="solid">
        <fgColor rgb="FF92CB7D"/>
        <bgColor rgb="FF000000"/>
      </patternFill>
    </fill>
    <fill>
      <patternFill patternType="solid">
        <fgColor rgb="FFACD480"/>
        <bgColor rgb="FF000000"/>
      </patternFill>
    </fill>
    <fill>
      <patternFill patternType="solid">
        <fgColor rgb="FFCFDE82"/>
        <bgColor rgb="FF000000"/>
      </patternFill>
    </fill>
    <fill>
      <patternFill patternType="solid">
        <fgColor rgb="FFF9776E"/>
        <bgColor rgb="FF000000"/>
      </patternFill>
    </fill>
    <fill>
      <patternFill patternType="solid">
        <fgColor rgb="FFA1D07E"/>
        <bgColor rgb="FF000000"/>
      </patternFill>
    </fill>
    <fill>
      <patternFill patternType="solid">
        <fgColor rgb="FF90CB7D"/>
        <bgColor rgb="FF000000"/>
      </patternFill>
    </fill>
    <fill>
      <patternFill patternType="solid">
        <fgColor rgb="FFFFC000"/>
        <bgColor rgb="FF000000"/>
      </patternFill>
    </fill>
    <fill>
      <patternFill patternType="solid">
        <fgColor rgb="FFFF0000"/>
        <bgColor rgb="FF000000"/>
      </patternFill>
    </fill>
    <fill>
      <patternFill patternType="solid">
        <fgColor rgb="FF69BF7B"/>
        <bgColor rgb="FF000000"/>
      </patternFill>
    </fill>
    <fill>
      <patternFill patternType="solid">
        <fgColor rgb="FFBBD780"/>
        <bgColor rgb="FF000000"/>
      </patternFill>
    </fill>
    <fill>
      <patternFill patternType="solid">
        <fgColor rgb="FFABD37F"/>
        <bgColor rgb="FF000000"/>
      </patternFill>
    </fill>
    <fill>
      <patternFill patternType="solid">
        <fgColor rgb="FFFEDE81"/>
        <bgColor rgb="FF000000"/>
      </patternFill>
    </fill>
    <fill>
      <patternFill patternType="solid">
        <fgColor rgb="FF70C17B"/>
        <bgColor rgb="FF000000"/>
      </patternFill>
    </fill>
    <fill>
      <patternFill patternType="solid">
        <fgColor rgb="FFD5DF81"/>
        <bgColor rgb="FF000000"/>
      </patternFill>
    </fill>
    <fill>
      <patternFill patternType="solid">
        <fgColor rgb="FF91CB7D"/>
        <bgColor rgb="FF000000"/>
      </patternFill>
    </fill>
    <fill>
      <patternFill patternType="solid">
        <fgColor rgb="FFFED580"/>
        <bgColor rgb="FF000000"/>
      </patternFill>
    </fill>
    <fill>
      <patternFill patternType="solid">
        <fgColor rgb="FFB2D57F"/>
        <bgColor rgb="FF000000"/>
      </patternFill>
    </fill>
    <fill>
      <patternFill patternType="solid">
        <fgColor rgb="FF99CD7E"/>
        <bgColor rgb="FF000000"/>
      </patternFill>
    </fill>
    <fill>
      <patternFill patternType="solid">
        <fgColor rgb="FFFCA878"/>
        <bgColor rgb="FF000000"/>
      </patternFill>
    </fill>
    <fill>
      <patternFill patternType="solid">
        <fgColor rgb="FF8DCA7D"/>
        <bgColor rgb="FF000000"/>
      </patternFill>
    </fill>
    <fill>
      <patternFill patternType="solid">
        <fgColor rgb="FF80C77D"/>
        <bgColor rgb="FF000000"/>
      </patternFill>
    </fill>
    <fill>
      <patternFill patternType="solid">
        <fgColor rgb="FFB7D780"/>
        <bgColor rgb="FF000000"/>
      </patternFill>
    </fill>
    <fill>
      <patternFill patternType="solid">
        <fgColor rgb="FFB9D67F"/>
        <bgColor rgb="FF000000"/>
      </patternFill>
    </fill>
    <fill>
      <patternFill patternType="solid">
        <fgColor rgb="FFF96C6C"/>
        <bgColor rgb="FF000000"/>
      </patternFill>
    </fill>
    <fill>
      <patternFill patternType="solid">
        <fgColor rgb="FFEAE482"/>
        <bgColor rgb="FF000000"/>
      </patternFill>
    </fill>
    <fill>
      <patternFill patternType="solid">
        <fgColor rgb="FF99CE7F"/>
        <bgColor rgb="FF000000"/>
      </patternFill>
    </fill>
    <fill>
      <patternFill patternType="solid">
        <fgColor rgb="FFCDDD82"/>
        <bgColor rgb="FF000000"/>
      </patternFill>
    </fill>
    <fill>
      <patternFill patternType="solid">
        <fgColor rgb="FF72C37C"/>
        <bgColor rgb="FF000000"/>
      </patternFill>
    </fill>
    <fill>
      <patternFill patternType="solid">
        <fgColor rgb="FFAAD380"/>
        <bgColor rgb="FF000000"/>
      </patternFill>
    </fill>
    <fill>
      <patternFill patternType="solid">
        <fgColor rgb="FFFDCF7E"/>
        <bgColor rgb="FF000000"/>
      </patternFill>
    </fill>
    <fill>
      <patternFill patternType="solid">
        <fgColor rgb="FFF1E683"/>
        <bgColor rgb="FF000000"/>
      </patternFill>
    </fill>
    <fill>
      <patternFill patternType="solid">
        <fgColor rgb="FFADD480"/>
        <bgColor rgb="FF000000"/>
      </patternFill>
    </fill>
    <fill>
      <patternFill patternType="solid">
        <fgColor rgb="FFF96F6D"/>
        <bgColor rgb="FF000000"/>
      </patternFill>
    </fill>
    <fill>
      <patternFill patternType="solid">
        <fgColor rgb="FF89C97D"/>
        <bgColor rgb="FF000000"/>
      </patternFill>
    </fill>
    <fill>
      <patternFill patternType="solid">
        <fgColor rgb="FF9DCE7E"/>
        <bgColor rgb="FF000000"/>
      </patternFill>
    </fill>
    <fill>
      <patternFill patternType="solid">
        <fgColor rgb="FFB5D680"/>
        <bgColor rgb="FF000000"/>
      </patternFill>
    </fill>
    <fill>
      <patternFill patternType="solid">
        <fgColor rgb="FFFED480"/>
        <bgColor rgb="FF000000"/>
      </patternFill>
    </fill>
    <fill>
      <patternFill patternType="solid">
        <fgColor rgb="FFC5DB81"/>
        <bgColor rgb="FF000000"/>
      </patternFill>
    </fill>
    <fill>
      <patternFill patternType="solid">
        <fgColor rgb="FFFA9773"/>
        <bgColor rgb="FF000000"/>
      </patternFill>
    </fill>
    <fill>
      <patternFill patternType="solid">
        <fgColor theme="9" tint="0.59999389629810485"/>
        <bgColor indexed="64"/>
      </patternFill>
    </fill>
    <fill>
      <patternFill patternType="solid">
        <fgColor rgb="FFEFF6FB"/>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D9E1F2"/>
        <bgColor indexed="64"/>
      </patternFill>
    </fill>
    <fill>
      <patternFill patternType="solid">
        <fgColor rgb="FFFA7572"/>
        <bgColor indexed="64"/>
      </patternFill>
    </fill>
    <fill>
      <patternFill patternType="solid">
        <fgColor rgb="FFACB9CA"/>
        <bgColor indexed="64"/>
      </patternFill>
    </fill>
    <fill>
      <patternFill patternType="solid">
        <fgColor theme="8" tint="0.79998168889431442"/>
        <bgColor indexed="64"/>
      </patternFill>
    </fill>
    <fill>
      <patternFill patternType="solid">
        <fgColor theme="7"/>
        <bgColor indexed="64"/>
      </patternFill>
    </fill>
    <fill>
      <patternFill patternType="solid">
        <fgColor theme="5" tint="0.59999389629810485"/>
        <bgColor indexed="64"/>
      </patternFill>
    </fill>
    <fill>
      <patternFill patternType="solid">
        <fgColor theme="3"/>
        <bgColor indexed="64"/>
      </patternFill>
    </fill>
    <fill>
      <patternFill patternType="solid">
        <fgColor theme="4"/>
        <bgColor indexed="64"/>
      </patternFill>
    </fill>
    <fill>
      <patternFill patternType="solid">
        <fgColor theme="6"/>
        <bgColor indexed="64"/>
      </patternFill>
    </fill>
    <fill>
      <patternFill patternType="solid">
        <fgColor rgb="FFD5AA54"/>
        <bgColor indexed="64"/>
      </patternFill>
    </fill>
    <fill>
      <patternFill patternType="solid">
        <fgColor rgb="FFFCCBCE"/>
        <bgColor indexed="64"/>
      </patternFill>
    </fill>
    <fill>
      <patternFill patternType="solid">
        <fgColor rgb="FFFA9A9C"/>
        <bgColor indexed="64"/>
      </patternFill>
    </fill>
    <fill>
      <patternFill patternType="solid">
        <fgColor rgb="FFF8696B"/>
        <bgColor indexed="64"/>
      </patternFill>
    </fill>
    <fill>
      <patternFill patternType="solid">
        <fgColor rgb="FF035066"/>
        <bgColor indexed="64"/>
      </patternFill>
    </fill>
    <fill>
      <patternFill patternType="solid">
        <fgColor theme="7" tint="0.39997558519241921"/>
        <bgColor indexed="64"/>
      </patternFill>
    </fill>
  </fills>
  <borders count="63">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medium">
        <color indexed="64"/>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rgb="FF000000"/>
      </right>
      <top/>
      <bottom/>
      <diagonal/>
    </border>
    <border>
      <left style="medium">
        <color indexed="64"/>
      </left>
      <right style="thin">
        <color indexed="64"/>
      </right>
      <top/>
      <bottom/>
      <diagonal/>
    </border>
    <border>
      <left style="thin">
        <color rgb="FF000000"/>
      </left>
      <right/>
      <top style="thin">
        <color rgb="FF000000"/>
      </top>
      <bottom/>
      <diagonal/>
    </border>
  </borders>
  <cellStyleXfs count="4">
    <xf numFmtId="0" fontId="0" fillId="0" borderId="0"/>
    <xf numFmtId="9" fontId="2" fillId="0" borderId="0" applyFont="0" applyFill="0" applyBorder="0" applyAlignment="0" applyProtection="0"/>
    <xf numFmtId="0" fontId="3" fillId="2" borderId="1" applyNumberFormat="0" applyAlignment="0" applyProtection="0"/>
    <xf numFmtId="0" fontId="8" fillId="0" borderId="0" applyNumberFormat="0" applyFill="0" applyBorder="0" applyAlignment="0" applyProtection="0"/>
  </cellStyleXfs>
  <cellXfs count="1022">
    <xf numFmtId="0" fontId="0" fillId="0" borderId="0" xfId="0"/>
    <xf numFmtId="164" fontId="0" fillId="0" borderId="0" xfId="0" applyNumberFormat="1"/>
    <xf numFmtId="0" fontId="0" fillId="0" borderId="0" xfId="0" applyAlignment="1">
      <alignment wrapText="1"/>
    </xf>
    <xf numFmtId="0" fontId="7" fillId="0" borderId="0" xfId="0" applyFont="1"/>
    <xf numFmtId="0" fontId="5" fillId="0" borderId="0" xfId="0" applyFont="1"/>
    <xf numFmtId="0" fontId="8" fillId="0" borderId="0" xfId="3"/>
    <xf numFmtId="0" fontId="5" fillId="3" borderId="0" xfId="0" applyFont="1" applyFill="1" applyAlignment="1">
      <alignment vertical="center"/>
    </xf>
    <xf numFmtId="0" fontId="9" fillId="0" borderId="0" xfId="0" applyFont="1"/>
    <xf numFmtId="0" fontId="10" fillId="4" borderId="2" xfId="0" applyFont="1" applyFill="1" applyBorder="1" applyAlignment="1">
      <alignment horizontal="centerContinuous" vertical="center" wrapText="1"/>
    </xf>
    <xf numFmtId="0" fontId="9" fillId="4" borderId="3" xfId="0" applyFont="1" applyFill="1" applyBorder="1" applyAlignment="1">
      <alignment horizontal="centerContinuous" vertical="center" wrapText="1"/>
    </xf>
    <xf numFmtId="0" fontId="9" fillId="4" borderId="4" xfId="0" applyFont="1" applyFill="1" applyBorder="1" applyAlignment="1">
      <alignment horizontal="centerContinuous" vertical="center" wrapText="1"/>
    </xf>
    <xf numFmtId="0" fontId="9" fillId="5" borderId="2" xfId="0" applyFont="1" applyFill="1" applyBorder="1" applyAlignment="1">
      <alignment horizontal="centerContinuous" vertical="center" wrapText="1"/>
    </xf>
    <xf numFmtId="0" fontId="9" fillId="5" borderId="3" xfId="0" applyFont="1" applyFill="1" applyBorder="1" applyAlignment="1">
      <alignment horizontal="centerContinuous" vertical="center" wrapText="1"/>
    </xf>
    <xf numFmtId="0" fontId="9" fillId="5" borderId="4" xfId="0" applyFont="1" applyFill="1" applyBorder="1" applyAlignment="1">
      <alignment horizontal="centerContinuous" vertical="center" wrapText="1"/>
    </xf>
    <xf numFmtId="0" fontId="9" fillId="6" borderId="2" xfId="0" applyFont="1" applyFill="1" applyBorder="1" applyAlignment="1">
      <alignment horizontal="centerContinuous" vertical="center" wrapText="1"/>
    </xf>
    <xf numFmtId="0" fontId="9" fillId="6" borderId="3" xfId="0" applyFont="1" applyFill="1" applyBorder="1" applyAlignment="1">
      <alignment horizontal="centerContinuous" vertical="center" wrapText="1"/>
    </xf>
    <xf numFmtId="0" fontId="9" fillId="6" borderId="4" xfId="0" applyFont="1" applyFill="1" applyBorder="1" applyAlignment="1">
      <alignment horizontal="centerContinuous" vertical="center" wrapText="1"/>
    </xf>
    <xf numFmtId="0" fontId="0" fillId="7" borderId="2" xfId="0" applyFill="1" applyBorder="1" applyAlignment="1">
      <alignment horizontal="centerContinuous" vertical="center" wrapText="1"/>
    </xf>
    <xf numFmtId="0" fontId="0" fillId="7" borderId="3" xfId="0" applyFill="1" applyBorder="1" applyAlignment="1">
      <alignment horizontal="centerContinuous" vertical="center" wrapText="1"/>
    </xf>
    <xf numFmtId="0" fontId="0" fillId="7" borderId="4" xfId="0" applyFill="1" applyBorder="1" applyAlignment="1">
      <alignment horizontal="centerContinuous" vertical="center" wrapText="1"/>
    </xf>
    <xf numFmtId="0" fontId="9" fillId="8" borderId="2" xfId="0" applyFont="1" applyFill="1" applyBorder="1" applyAlignment="1">
      <alignment horizontal="centerContinuous" vertical="center"/>
    </xf>
    <xf numFmtId="0" fontId="9" fillId="8" borderId="3" xfId="0" applyFont="1" applyFill="1" applyBorder="1" applyAlignment="1">
      <alignment horizontal="centerContinuous" vertical="center"/>
    </xf>
    <xf numFmtId="0" fontId="9" fillId="8" borderId="4" xfId="0" applyFont="1" applyFill="1" applyBorder="1" applyAlignment="1">
      <alignment horizontal="centerContinuous" vertical="center"/>
    </xf>
    <xf numFmtId="0" fontId="6" fillId="9" borderId="2" xfId="0" applyFont="1" applyFill="1" applyBorder="1" applyAlignment="1">
      <alignment horizontal="centerContinuous" vertical="center"/>
    </xf>
    <xf numFmtId="0" fontId="6" fillId="9" borderId="3" xfId="0" applyFont="1" applyFill="1" applyBorder="1" applyAlignment="1">
      <alignment horizontal="centerContinuous" vertical="center"/>
    </xf>
    <xf numFmtId="0" fontId="6" fillId="9" borderId="4" xfId="0" applyFont="1" applyFill="1" applyBorder="1" applyAlignment="1">
      <alignment horizontal="centerContinuous" vertical="center"/>
    </xf>
    <xf numFmtId="0" fontId="6" fillId="10" borderId="2" xfId="0" applyFont="1" applyFill="1" applyBorder="1" applyAlignment="1">
      <alignment horizontal="centerContinuous" vertical="center"/>
    </xf>
    <xf numFmtId="0" fontId="6" fillId="10" borderId="3" xfId="0" applyFont="1" applyFill="1" applyBorder="1" applyAlignment="1">
      <alignment horizontal="centerContinuous" vertical="center"/>
    </xf>
    <xf numFmtId="0" fontId="6" fillId="10" borderId="4" xfId="0" applyFont="1" applyFill="1" applyBorder="1" applyAlignment="1">
      <alignment horizontal="centerContinuous" vertical="center"/>
    </xf>
    <xf numFmtId="0" fontId="0" fillId="9" borderId="2" xfId="0" applyFill="1" applyBorder="1" applyAlignment="1">
      <alignment horizontal="centerContinuous" vertical="center"/>
    </xf>
    <xf numFmtId="0" fontId="0" fillId="9" borderId="3" xfId="0" applyFill="1" applyBorder="1" applyAlignment="1">
      <alignment horizontal="centerContinuous" vertical="center"/>
    </xf>
    <xf numFmtId="0" fontId="0" fillId="9" borderId="4" xfId="0" applyFill="1" applyBorder="1" applyAlignment="1">
      <alignment horizontal="centerContinuous" vertical="center"/>
    </xf>
    <xf numFmtId="0" fontId="4" fillId="11" borderId="2" xfId="0" applyFont="1" applyFill="1" applyBorder="1" applyAlignment="1">
      <alignment horizontal="centerContinuous" vertical="center"/>
    </xf>
    <xf numFmtId="0" fontId="1" fillId="11" borderId="3" xfId="0" applyFont="1" applyFill="1" applyBorder="1" applyAlignment="1">
      <alignment horizontal="centerContinuous" vertical="center"/>
    </xf>
    <xf numFmtId="0" fontId="1" fillId="11" borderId="4" xfId="0" applyFont="1" applyFill="1" applyBorder="1" applyAlignment="1">
      <alignment horizontal="centerContinuous" vertical="center"/>
    </xf>
    <xf numFmtId="0" fontId="1" fillId="12" borderId="2" xfId="0" applyFont="1" applyFill="1" applyBorder="1" applyAlignment="1">
      <alignment horizontal="centerContinuous" vertical="center"/>
    </xf>
    <xf numFmtId="0" fontId="1" fillId="12" borderId="3" xfId="0" applyFont="1" applyFill="1" applyBorder="1" applyAlignment="1">
      <alignment horizontal="centerContinuous" vertical="center"/>
    </xf>
    <xf numFmtId="0" fontId="1" fillId="12" borderId="4" xfId="0" applyFont="1" applyFill="1" applyBorder="1" applyAlignment="1">
      <alignment horizontal="centerContinuous" vertical="center"/>
    </xf>
    <xf numFmtId="0" fontId="4" fillId="13" borderId="2" xfId="0" applyFont="1" applyFill="1" applyBorder="1" applyAlignment="1">
      <alignment horizontal="centerContinuous" vertical="center"/>
    </xf>
    <xf numFmtId="0" fontId="4" fillId="13" borderId="3" xfId="0" applyFont="1" applyFill="1" applyBorder="1" applyAlignment="1">
      <alignment horizontal="centerContinuous" vertical="center"/>
    </xf>
    <xf numFmtId="0" fontId="4" fillId="13" borderId="4" xfId="0" applyFont="1" applyFill="1" applyBorder="1" applyAlignment="1">
      <alignment horizontal="centerContinuous" vertical="center"/>
    </xf>
    <xf numFmtId="0" fontId="4" fillId="5" borderId="2" xfId="0" applyFont="1" applyFill="1" applyBorder="1" applyAlignment="1">
      <alignment horizontal="centerContinuous" vertical="center"/>
    </xf>
    <xf numFmtId="0" fontId="4" fillId="5" borderId="3" xfId="0" applyFont="1" applyFill="1" applyBorder="1" applyAlignment="1">
      <alignment horizontal="centerContinuous" vertical="center"/>
    </xf>
    <xf numFmtId="0" fontId="4" fillId="5" borderId="5" xfId="0" applyFont="1" applyFill="1" applyBorder="1" applyAlignment="1">
      <alignment horizontal="centerContinuous" vertical="center"/>
    </xf>
    <xf numFmtId="0" fontId="11" fillId="15" borderId="9" xfId="0" applyFont="1" applyFill="1" applyBorder="1" applyAlignment="1">
      <alignment horizontal="centerContinuous" vertical="center"/>
    </xf>
    <xf numFmtId="0" fontId="6" fillId="15" borderId="9" xfId="0" applyFont="1" applyFill="1" applyBorder="1" applyAlignment="1">
      <alignment horizontal="centerContinuous" vertical="center"/>
    </xf>
    <xf numFmtId="0" fontId="6" fillId="16" borderId="6" xfId="0" applyFont="1" applyFill="1" applyBorder="1" applyAlignment="1">
      <alignment horizontal="centerContinuous" vertical="center" wrapText="1"/>
    </xf>
    <xf numFmtId="0" fontId="6" fillId="16" borderId="7" xfId="0" applyFont="1" applyFill="1" applyBorder="1" applyAlignment="1">
      <alignment horizontal="centerContinuous" vertical="center" wrapText="1"/>
    </xf>
    <xf numFmtId="0" fontId="6" fillId="16" borderId="8" xfId="0" applyFont="1" applyFill="1" applyBorder="1" applyAlignment="1">
      <alignment horizontal="centerContinuous" vertical="center" wrapText="1"/>
    </xf>
    <xf numFmtId="0" fontId="1" fillId="15" borderId="6" xfId="0" applyFont="1" applyFill="1" applyBorder="1" applyAlignment="1">
      <alignment horizontal="centerContinuous" vertical="center"/>
    </xf>
    <xf numFmtId="0" fontId="1" fillId="15" borderId="7" xfId="0" applyFont="1" applyFill="1" applyBorder="1" applyAlignment="1">
      <alignment horizontal="centerContinuous" vertical="center"/>
    </xf>
    <xf numFmtId="0" fontId="1" fillId="15" borderId="8" xfId="0" applyFont="1" applyFill="1" applyBorder="1" applyAlignment="1">
      <alignment horizontal="centerContinuous" vertical="center"/>
    </xf>
    <xf numFmtId="164" fontId="12" fillId="19" borderId="7" xfId="0" applyNumberFormat="1" applyFont="1" applyFill="1" applyBorder="1" applyAlignment="1">
      <alignment horizontal="center" vertical="top" wrapText="1"/>
    </xf>
    <xf numFmtId="164" fontId="12" fillId="20" borderId="10" xfId="0" applyNumberFormat="1" applyFont="1" applyFill="1" applyBorder="1" applyAlignment="1">
      <alignment horizontal="center" vertical="top" wrapText="1"/>
    </xf>
    <xf numFmtId="0" fontId="0" fillId="0" borderId="10" xfId="0" applyBorder="1"/>
    <xf numFmtId="0" fontId="13" fillId="21" borderId="11" xfId="0" applyFont="1" applyFill="1"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14" fillId="0" borderId="16" xfId="0" applyFont="1" applyBorder="1"/>
    <xf numFmtId="0" fontId="14" fillId="0" borderId="17" xfId="0" applyFont="1" applyBorder="1"/>
    <xf numFmtId="0" fontId="14" fillId="23" borderId="13" xfId="0" applyFont="1" applyFill="1" applyBorder="1"/>
    <xf numFmtId="0" fontId="14" fillId="24" borderId="10" xfId="0" applyFont="1" applyFill="1" applyBorder="1"/>
    <xf numFmtId="0" fontId="14" fillId="25" borderId="10" xfId="0" applyFont="1" applyFill="1" applyBorder="1"/>
    <xf numFmtId="0" fontId="14" fillId="26" borderId="10" xfId="0" applyFont="1" applyFill="1" applyBorder="1"/>
    <xf numFmtId="0" fontId="14" fillId="27" borderId="14" xfId="0" applyFont="1" applyFill="1" applyBorder="1"/>
    <xf numFmtId="0" fontId="14" fillId="28" borderId="13" xfId="0" applyFont="1" applyFill="1" applyBorder="1"/>
    <xf numFmtId="0" fontId="14" fillId="29" borderId="10" xfId="0" applyFont="1" applyFill="1" applyBorder="1"/>
    <xf numFmtId="0" fontId="14" fillId="30" borderId="10" xfId="0" applyFont="1" applyFill="1" applyBorder="1"/>
    <xf numFmtId="0" fontId="14" fillId="31" borderId="10" xfId="0" applyFont="1" applyFill="1" applyBorder="1"/>
    <xf numFmtId="0" fontId="14" fillId="32" borderId="14" xfId="0" applyFont="1" applyFill="1" applyBorder="1"/>
    <xf numFmtId="0" fontId="14" fillId="33" borderId="13" xfId="0" applyFont="1" applyFill="1" applyBorder="1"/>
    <xf numFmtId="0" fontId="14" fillId="34" borderId="10" xfId="0" applyFont="1" applyFill="1" applyBorder="1"/>
    <xf numFmtId="0" fontId="14" fillId="35" borderId="10" xfId="0" applyFont="1" applyFill="1" applyBorder="1"/>
    <xf numFmtId="0" fontId="14" fillId="36" borderId="10" xfId="0" applyFont="1" applyFill="1" applyBorder="1"/>
    <xf numFmtId="0" fontId="14" fillId="37" borderId="14" xfId="0" applyFont="1" applyFill="1" applyBorder="1"/>
    <xf numFmtId="0" fontId="14" fillId="38" borderId="13" xfId="0" applyFont="1" applyFill="1" applyBorder="1"/>
    <xf numFmtId="0" fontId="14" fillId="39" borderId="10" xfId="0" applyFont="1" applyFill="1" applyBorder="1"/>
    <xf numFmtId="0" fontId="14" fillId="40" borderId="10" xfId="0" applyFont="1" applyFill="1" applyBorder="1"/>
    <xf numFmtId="0" fontId="14" fillId="41" borderId="10" xfId="0" applyFont="1" applyFill="1" applyBorder="1"/>
    <xf numFmtId="0" fontId="14" fillId="42" borderId="14" xfId="0" applyFont="1" applyFill="1" applyBorder="1"/>
    <xf numFmtId="0" fontId="14" fillId="43" borderId="13" xfId="0" applyFont="1" applyFill="1" applyBorder="1"/>
    <xf numFmtId="0" fontId="14" fillId="44" borderId="10" xfId="0" applyFont="1" applyFill="1" applyBorder="1"/>
    <xf numFmtId="0" fontId="14" fillId="45" borderId="10" xfId="0" applyFont="1" applyFill="1" applyBorder="1"/>
    <xf numFmtId="0" fontId="14" fillId="46" borderId="10" xfId="0" applyFont="1" applyFill="1" applyBorder="1"/>
    <xf numFmtId="0" fontId="14" fillId="47" borderId="14" xfId="0" applyFont="1" applyFill="1" applyBorder="1"/>
    <xf numFmtId="0" fontId="14" fillId="51" borderId="10" xfId="0" applyFont="1" applyFill="1" applyBorder="1"/>
    <xf numFmtId="0" fontId="14" fillId="52" borderId="14" xfId="0" applyFont="1" applyFill="1" applyBorder="1"/>
    <xf numFmtId="0" fontId="14" fillId="56" borderId="10" xfId="0" applyFont="1" applyFill="1" applyBorder="1"/>
    <xf numFmtId="0" fontId="14" fillId="57" borderId="14" xfId="0" applyFont="1" applyFill="1" applyBorder="1"/>
    <xf numFmtId="0" fontId="14" fillId="24" borderId="13" xfId="0" applyFont="1" applyFill="1" applyBorder="1"/>
    <xf numFmtId="0" fontId="14" fillId="58" borderId="10" xfId="0" applyFont="1" applyFill="1" applyBorder="1"/>
    <xf numFmtId="0" fontId="14" fillId="59" borderId="10" xfId="0" applyFont="1" applyFill="1" applyBorder="1"/>
    <xf numFmtId="0" fontId="14" fillId="60" borderId="14" xfId="0" applyFont="1" applyFill="1" applyBorder="1"/>
    <xf numFmtId="0" fontId="14" fillId="59" borderId="14" xfId="0" applyFont="1" applyFill="1" applyBorder="1"/>
    <xf numFmtId="0" fontId="14" fillId="61" borderId="13" xfId="0" applyFont="1" applyFill="1" applyBorder="1"/>
    <xf numFmtId="0" fontId="14" fillId="62" borderId="10" xfId="0" applyFont="1" applyFill="1" applyBorder="1"/>
    <xf numFmtId="0" fontId="14" fillId="63" borderId="10" xfId="0" applyFont="1" applyFill="1" applyBorder="1"/>
    <xf numFmtId="0" fontId="14" fillId="64" borderId="10" xfId="0" applyFont="1" applyFill="1" applyBorder="1"/>
    <xf numFmtId="0" fontId="14" fillId="65" borderId="14" xfId="0" applyFont="1" applyFill="1" applyBorder="1"/>
    <xf numFmtId="0" fontId="14" fillId="66" borderId="13" xfId="0" applyFont="1" applyFill="1" applyBorder="1"/>
    <xf numFmtId="0" fontId="14" fillId="67" borderId="10" xfId="0" applyFont="1" applyFill="1" applyBorder="1"/>
    <xf numFmtId="0" fontId="14" fillId="68" borderId="10" xfId="0" applyFont="1" applyFill="1" applyBorder="1"/>
    <xf numFmtId="0" fontId="14" fillId="23" borderId="10" xfId="0" applyFont="1" applyFill="1" applyBorder="1"/>
    <xf numFmtId="0" fontId="14" fillId="24" borderId="14" xfId="0" applyFont="1" applyFill="1" applyBorder="1"/>
    <xf numFmtId="0" fontId="14" fillId="70" borderId="10" xfId="0" applyFont="1" applyFill="1" applyBorder="1"/>
    <xf numFmtId="0" fontId="14" fillId="71" borderId="10" xfId="0" applyFont="1" applyFill="1" applyBorder="1"/>
    <xf numFmtId="0" fontId="14" fillId="72" borderId="10" xfId="0" applyFont="1" applyFill="1" applyBorder="1"/>
    <xf numFmtId="0" fontId="14" fillId="73" borderId="15" xfId="0" applyFont="1" applyFill="1" applyBorder="1"/>
    <xf numFmtId="0" fontId="14" fillId="74" borderId="18" xfId="0" applyFont="1" applyFill="1" applyBorder="1"/>
    <xf numFmtId="0" fontId="14" fillId="75" borderId="15" xfId="0" applyFont="1" applyFill="1" applyBorder="1"/>
    <xf numFmtId="0" fontId="14" fillId="76" borderId="18" xfId="0" applyFont="1" applyFill="1" applyBorder="1"/>
    <xf numFmtId="0" fontId="14" fillId="77" borderId="17" xfId="0" applyFont="1" applyFill="1" applyBorder="1"/>
    <xf numFmtId="0" fontId="14" fillId="78" borderId="14" xfId="0" applyFont="1" applyFill="1" applyBorder="1"/>
    <xf numFmtId="0" fontId="14" fillId="79" borderId="18" xfId="0" applyFont="1" applyFill="1" applyBorder="1"/>
    <xf numFmtId="0" fontId="14" fillId="80" borderId="17" xfId="0" applyFont="1" applyFill="1" applyBorder="1"/>
    <xf numFmtId="0" fontId="14" fillId="56" borderId="15" xfId="0" applyFont="1" applyFill="1" applyBorder="1"/>
    <xf numFmtId="0" fontId="14" fillId="0" borderId="20" xfId="0" applyFont="1" applyBorder="1" applyAlignment="1">
      <alignment horizontal="center"/>
    </xf>
    <xf numFmtId="0" fontId="14" fillId="0" borderId="21" xfId="0" applyFont="1" applyBorder="1" applyAlignment="1">
      <alignment horizontal="center"/>
    </xf>
    <xf numFmtId="0" fontId="14" fillId="81" borderId="22" xfId="0" applyFont="1" applyFill="1" applyBorder="1"/>
    <xf numFmtId="0" fontId="14" fillId="81" borderId="23" xfId="0" applyFont="1" applyFill="1" applyBorder="1"/>
    <xf numFmtId="0" fontId="14" fillId="81" borderId="24" xfId="0" applyFont="1" applyFill="1" applyBorder="1"/>
    <xf numFmtId="0" fontId="14" fillId="0" borderId="13" xfId="0" applyFont="1" applyBorder="1"/>
    <xf numFmtId="0" fontId="14" fillId="0" borderId="10" xfId="0" applyFont="1" applyBorder="1"/>
    <xf numFmtId="0" fontId="14" fillId="0" borderId="15" xfId="0" applyFont="1" applyBorder="1"/>
    <xf numFmtId="0" fontId="14" fillId="0" borderId="25" xfId="0" applyFont="1" applyBorder="1"/>
    <xf numFmtId="0" fontId="0" fillId="0" borderId="10" xfId="0" applyBorder="1" applyAlignment="1">
      <alignment wrapText="1"/>
    </xf>
    <xf numFmtId="0" fontId="9" fillId="0" borderId="26" xfId="0" applyFont="1" applyBorder="1"/>
    <xf numFmtId="0" fontId="9" fillId="0" borderId="16" xfId="0" applyFont="1" applyBorder="1"/>
    <xf numFmtId="0" fontId="14" fillId="82" borderId="13" xfId="0" applyFont="1" applyFill="1" applyBorder="1"/>
    <xf numFmtId="0" fontId="14" fillId="83" borderId="10" xfId="0" applyFont="1" applyFill="1" applyBorder="1"/>
    <xf numFmtId="0" fontId="14" fillId="76" borderId="10" xfId="0" applyFont="1" applyFill="1" applyBorder="1"/>
    <xf numFmtId="0" fontId="14" fillId="84" borderId="14" xfId="0" applyFont="1" applyFill="1" applyBorder="1"/>
    <xf numFmtId="0" fontId="14" fillId="85" borderId="13" xfId="0" applyFont="1" applyFill="1" applyBorder="1"/>
    <xf numFmtId="0" fontId="14" fillId="86" borderId="10" xfId="0" applyFont="1" applyFill="1" applyBorder="1"/>
    <xf numFmtId="0" fontId="14" fillId="87" borderId="10" xfId="0" applyFont="1" applyFill="1" applyBorder="1"/>
    <xf numFmtId="0" fontId="14" fillId="88" borderId="10" xfId="0" applyFont="1" applyFill="1" applyBorder="1"/>
    <xf numFmtId="0" fontId="14" fillId="89" borderId="14" xfId="0" applyFont="1" applyFill="1" applyBorder="1"/>
    <xf numFmtId="0" fontId="14" fillId="90" borderId="13" xfId="0" applyFont="1" applyFill="1" applyBorder="1"/>
    <xf numFmtId="0" fontId="14" fillId="91" borderId="10" xfId="0" applyFont="1" applyFill="1" applyBorder="1"/>
    <xf numFmtId="0" fontId="14" fillId="92" borderId="10" xfId="0" applyFont="1" applyFill="1" applyBorder="1"/>
    <xf numFmtId="0" fontId="14" fillId="93" borderId="14" xfId="0" applyFont="1" applyFill="1" applyBorder="1"/>
    <xf numFmtId="0" fontId="14" fillId="94" borderId="13" xfId="0" applyFont="1" applyFill="1" applyBorder="1"/>
    <xf numFmtId="0" fontId="14" fillId="60" borderId="10" xfId="0" applyFont="1" applyFill="1" applyBorder="1"/>
    <xf numFmtId="0" fontId="14" fillId="95" borderId="14" xfId="0" applyFont="1" applyFill="1" applyBorder="1"/>
    <xf numFmtId="0" fontId="14" fillId="96" borderId="13" xfId="0" applyFont="1" applyFill="1" applyBorder="1"/>
    <xf numFmtId="0" fontId="14" fillId="97" borderId="10" xfId="0" applyFont="1" applyFill="1" applyBorder="1"/>
    <xf numFmtId="0" fontId="14" fillId="77" borderId="10" xfId="0" applyFont="1" applyFill="1" applyBorder="1"/>
    <xf numFmtId="0" fontId="14" fillId="99" borderId="10" xfId="0" applyFont="1" applyFill="1" applyBorder="1"/>
    <xf numFmtId="0" fontId="14" fillId="100" borderId="14" xfId="0" applyFont="1" applyFill="1" applyBorder="1"/>
    <xf numFmtId="0" fontId="14" fillId="75" borderId="10" xfId="0" applyFont="1" applyFill="1" applyBorder="1"/>
    <xf numFmtId="0" fontId="14" fillId="103" borderId="14" xfId="0" applyFont="1" applyFill="1" applyBorder="1"/>
    <xf numFmtId="0" fontId="14" fillId="104" borderId="13" xfId="0" applyFont="1" applyFill="1" applyBorder="1"/>
    <xf numFmtId="0" fontId="14" fillId="105" borderId="13" xfId="0" applyFont="1" applyFill="1" applyBorder="1"/>
    <xf numFmtId="0" fontId="14" fillId="105" borderId="10" xfId="0" applyFont="1" applyFill="1" applyBorder="1"/>
    <xf numFmtId="0" fontId="14" fillId="106" borderId="13" xfId="0" applyFont="1" applyFill="1" applyBorder="1"/>
    <xf numFmtId="0" fontId="14" fillId="107" borderId="10" xfId="0" applyFont="1" applyFill="1" applyBorder="1"/>
    <xf numFmtId="0" fontId="14" fillId="108" borderId="10" xfId="0" applyFont="1" applyFill="1" applyBorder="1"/>
    <xf numFmtId="0" fontId="14" fillId="109" borderId="14" xfId="0" applyFont="1" applyFill="1" applyBorder="1"/>
    <xf numFmtId="0" fontId="14" fillId="110" borderId="10" xfId="0" applyFont="1" applyFill="1" applyBorder="1"/>
    <xf numFmtId="0" fontId="14" fillId="111" borderId="10" xfId="0" applyFont="1" applyFill="1" applyBorder="1"/>
    <xf numFmtId="0" fontId="14" fillId="83" borderId="14" xfId="0" applyFont="1" applyFill="1" applyBorder="1"/>
    <xf numFmtId="0" fontId="14" fillId="113" borderId="10" xfId="0" applyFont="1" applyFill="1" applyBorder="1"/>
    <xf numFmtId="0" fontId="14" fillId="114" borderId="10" xfId="0" applyFont="1" applyFill="1" applyBorder="1"/>
    <xf numFmtId="0" fontId="14" fillId="115" borderId="10" xfId="0" applyFont="1" applyFill="1" applyBorder="1"/>
    <xf numFmtId="0" fontId="14" fillId="116" borderId="15" xfId="0" applyFont="1" applyFill="1" applyBorder="1"/>
    <xf numFmtId="0" fontId="14" fillId="86" borderId="18" xfId="0" applyFont="1" applyFill="1" applyBorder="1"/>
    <xf numFmtId="0" fontId="14" fillId="117" borderId="17" xfId="0" applyFont="1" applyFill="1" applyBorder="1"/>
    <xf numFmtId="0" fontId="14" fillId="118" borderId="15" xfId="0" applyFont="1" applyFill="1" applyBorder="1"/>
    <xf numFmtId="0" fontId="14" fillId="83" borderId="17" xfId="0" applyFont="1" applyFill="1" applyBorder="1"/>
    <xf numFmtId="0" fontId="14" fillId="119" borderId="14" xfId="0" applyFont="1" applyFill="1" applyBorder="1"/>
    <xf numFmtId="0" fontId="14" fillId="120" borderId="18" xfId="0" applyFont="1" applyFill="1" applyBorder="1"/>
    <xf numFmtId="0" fontId="14" fillId="121" borderId="17" xfId="0" applyFont="1" applyFill="1" applyBorder="1"/>
    <xf numFmtId="0" fontId="14" fillId="122" borderId="15" xfId="0" applyFont="1" applyFill="1" applyBorder="1"/>
    <xf numFmtId="0" fontId="14" fillId="0" borderId="27" xfId="0" applyFont="1" applyBorder="1" applyAlignment="1">
      <alignment horizontal="center"/>
    </xf>
    <xf numFmtId="0" fontId="14" fillId="0" borderId="28" xfId="0" applyFont="1" applyBorder="1" applyAlignment="1">
      <alignment horizontal="center"/>
    </xf>
    <xf numFmtId="0" fontId="14" fillId="81" borderId="18" xfId="0" applyFont="1" applyFill="1" applyBorder="1"/>
    <xf numFmtId="0" fontId="14" fillId="81" borderId="16" xfId="0" applyFont="1" applyFill="1" applyBorder="1"/>
    <xf numFmtId="0" fontId="14" fillId="81" borderId="29" xfId="0" applyFont="1" applyFill="1" applyBorder="1"/>
    <xf numFmtId="0" fontId="14" fillId="123" borderId="10" xfId="0" applyFont="1" applyFill="1" applyBorder="1"/>
    <xf numFmtId="0" fontId="14" fillId="102" borderId="10" xfId="0" applyFont="1" applyFill="1" applyBorder="1"/>
    <xf numFmtId="0" fontId="14" fillId="124" borderId="10" xfId="0" applyFont="1" applyFill="1" applyBorder="1"/>
    <xf numFmtId="0" fontId="14" fillId="125" borderId="13" xfId="0" applyFont="1" applyFill="1" applyBorder="1"/>
    <xf numFmtId="0" fontId="14" fillId="126" borderId="10" xfId="0" applyFont="1" applyFill="1" applyBorder="1"/>
    <xf numFmtId="0" fontId="14" fillId="127" borderId="10" xfId="0" applyFont="1" applyFill="1" applyBorder="1"/>
    <xf numFmtId="0" fontId="14" fillId="128" borderId="14" xfId="0" applyFont="1" applyFill="1" applyBorder="1"/>
    <xf numFmtId="0" fontId="14" fillId="129" borderId="13" xfId="0" applyFont="1" applyFill="1" applyBorder="1"/>
    <xf numFmtId="0" fontId="14" fillId="130" borderId="10" xfId="0" applyFont="1" applyFill="1" applyBorder="1"/>
    <xf numFmtId="0" fontId="14" fillId="131" borderId="10" xfId="0" applyFont="1" applyFill="1" applyBorder="1"/>
    <xf numFmtId="0" fontId="14" fillId="132" borderId="10" xfId="0" applyFont="1" applyFill="1" applyBorder="1"/>
    <xf numFmtId="0" fontId="14" fillId="97" borderId="13" xfId="0" applyFont="1" applyFill="1" applyBorder="1"/>
    <xf numFmtId="0" fontId="14" fillId="133" borderId="10" xfId="0" applyFont="1" applyFill="1" applyBorder="1"/>
    <xf numFmtId="0" fontId="14" fillId="134" borderId="10" xfId="0" applyFont="1" applyFill="1" applyBorder="1"/>
    <xf numFmtId="0" fontId="14" fillId="135" borderId="14" xfId="0" applyFont="1" applyFill="1" applyBorder="1"/>
    <xf numFmtId="0" fontId="14" fillId="75" borderId="13" xfId="0" applyFont="1" applyFill="1" applyBorder="1"/>
    <xf numFmtId="0" fontId="14" fillId="136" borderId="10" xfId="0" applyFont="1" applyFill="1" applyBorder="1"/>
    <xf numFmtId="0" fontId="14" fillId="137" borderId="10" xfId="0" applyFont="1" applyFill="1" applyBorder="1"/>
    <xf numFmtId="0" fontId="14" fillId="137" borderId="14" xfId="0" applyFont="1" applyFill="1" applyBorder="1"/>
    <xf numFmtId="0" fontId="14" fillId="138" borderId="13" xfId="0" applyFont="1" applyFill="1" applyBorder="1"/>
    <xf numFmtId="0" fontId="14" fillId="139" borderId="10" xfId="0" applyFont="1" applyFill="1" applyBorder="1"/>
    <xf numFmtId="0" fontId="14" fillId="140" borderId="10" xfId="0" applyFont="1" applyFill="1" applyBorder="1"/>
    <xf numFmtId="0" fontId="14" fillId="141" borderId="10" xfId="0" applyFont="1" applyFill="1" applyBorder="1"/>
    <xf numFmtId="0" fontId="14" fillId="142" borderId="14" xfId="0" applyFont="1" applyFill="1" applyBorder="1"/>
    <xf numFmtId="0" fontId="14" fillId="143" borderId="13" xfId="0" applyFont="1" applyFill="1" applyBorder="1"/>
    <xf numFmtId="0" fontId="14" fillId="144" borderId="10" xfId="0" applyFont="1" applyFill="1" applyBorder="1"/>
    <xf numFmtId="0" fontId="14" fillId="27" borderId="10" xfId="0" applyFont="1" applyFill="1" applyBorder="1"/>
    <xf numFmtId="0" fontId="14" fillId="145" borderId="10" xfId="0" applyFont="1" applyFill="1" applyBorder="1"/>
    <xf numFmtId="0" fontId="14" fillId="146" borderId="14" xfId="0" applyFont="1" applyFill="1" applyBorder="1"/>
    <xf numFmtId="0" fontId="14" fillId="147" borderId="13" xfId="0" applyFont="1" applyFill="1" applyBorder="1"/>
    <xf numFmtId="0" fontId="14" fillId="148" borderId="10" xfId="0" applyFont="1" applyFill="1" applyBorder="1"/>
    <xf numFmtId="0" fontId="14" fillId="125" borderId="10" xfId="0" applyFont="1" applyFill="1" applyBorder="1"/>
    <xf numFmtId="0" fontId="14" fillId="149" borderId="14" xfId="0" applyFont="1" applyFill="1" applyBorder="1"/>
    <xf numFmtId="0" fontId="14" fillId="150" borderId="13" xfId="0" applyFont="1" applyFill="1" applyBorder="1"/>
    <xf numFmtId="0" fontId="14" fillId="151" borderId="10" xfId="0" applyFont="1" applyFill="1" applyBorder="1"/>
    <xf numFmtId="0" fontId="14" fillId="152" borderId="10" xfId="0" applyFont="1" applyFill="1" applyBorder="1"/>
    <xf numFmtId="0" fontId="14" fillId="153" borderId="10" xfId="0" applyFont="1" applyFill="1" applyBorder="1"/>
    <xf numFmtId="0" fontId="14" fillId="154" borderId="14" xfId="0" applyFont="1" applyFill="1" applyBorder="1"/>
    <xf numFmtId="0" fontId="14" fillId="156" borderId="10" xfId="0" applyFont="1" applyFill="1" applyBorder="1"/>
    <xf numFmtId="0" fontId="14" fillId="86" borderId="14" xfId="0" applyFont="1" applyFill="1" applyBorder="1"/>
    <xf numFmtId="0" fontId="14" fillId="159" borderId="10" xfId="0" applyFont="1" applyFill="1" applyBorder="1"/>
    <xf numFmtId="0" fontId="14" fillId="158" borderId="14" xfId="0" applyFont="1" applyFill="1" applyBorder="1"/>
    <xf numFmtId="0" fontId="14" fillId="160" borderId="13" xfId="0" applyFont="1" applyFill="1" applyBorder="1"/>
    <xf numFmtId="0" fontId="14" fillId="161" borderId="10" xfId="0" applyFont="1" applyFill="1" applyBorder="1"/>
    <xf numFmtId="0" fontId="14" fillId="162" borderId="10" xfId="0" applyFont="1" applyFill="1" applyBorder="1"/>
    <xf numFmtId="0" fontId="14" fillId="75" borderId="14" xfId="0" applyFont="1" applyFill="1" applyBorder="1"/>
    <xf numFmtId="0" fontId="14" fillId="163" borderId="13" xfId="0" applyFont="1" applyFill="1" applyBorder="1"/>
    <xf numFmtId="0" fontId="14" fillId="164" borderId="10" xfId="0" applyFont="1" applyFill="1" applyBorder="1"/>
    <xf numFmtId="0" fontId="14" fillId="51" borderId="14" xfId="0" applyFont="1" applyFill="1" applyBorder="1"/>
    <xf numFmtId="0" fontId="14" fillId="91" borderId="13" xfId="0" applyFont="1" applyFill="1" applyBorder="1"/>
    <xf numFmtId="0" fontId="14" fillId="165" borderId="10" xfId="0" applyFont="1" applyFill="1" applyBorder="1"/>
    <xf numFmtId="0" fontId="14" fillId="166" borderId="10" xfId="0" applyFont="1" applyFill="1" applyBorder="1"/>
    <xf numFmtId="0" fontId="14" fillId="167" borderId="10" xfId="0" applyFont="1" applyFill="1" applyBorder="1"/>
    <xf numFmtId="0" fontId="14" fillId="168" borderId="14" xfId="0" applyFont="1" applyFill="1" applyBorder="1"/>
    <xf numFmtId="0" fontId="14" fillId="169" borderId="10" xfId="0" applyFont="1" applyFill="1" applyBorder="1"/>
    <xf numFmtId="0" fontId="14" fillId="170" borderId="10" xfId="0" applyFont="1" applyFill="1" applyBorder="1"/>
    <xf numFmtId="0" fontId="14" fillId="171" borderId="15" xfId="0" applyFont="1" applyFill="1" applyBorder="1"/>
    <xf numFmtId="0" fontId="14" fillId="112" borderId="18" xfId="0" applyFont="1" applyFill="1" applyBorder="1"/>
    <xf numFmtId="0" fontId="14" fillId="149" borderId="17" xfId="0" applyFont="1" applyFill="1" applyBorder="1"/>
    <xf numFmtId="0" fontId="14" fillId="172" borderId="14" xfId="0" applyFont="1" applyFill="1" applyBorder="1"/>
    <xf numFmtId="0" fontId="14" fillId="132" borderId="13" xfId="0" applyFont="1" applyFill="1" applyBorder="1"/>
    <xf numFmtId="0" fontId="14" fillId="49" borderId="10" xfId="0" applyFont="1" applyFill="1" applyBorder="1"/>
    <xf numFmtId="0" fontId="14" fillId="173" borderId="10" xfId="0" applyFont="1" applyFill="1" applyBorder="1"/>
    <xf numFmtId="0" fontId="14" fillId="174" borderId="13" xfId="0" applyFont="1" applyFill="1" applyBorder="1"/>
    <xf numFmtId="0" fontId="14" fillId="175" borderId="10" xfId="0" applyFont="1" applyFill="1" applyBorder="1"/>
    <xf numFmtId="0" fontId="14" fillId="142" borderId="10" xfId="0" applyFont="1" applyFill="1" applyBorder="1"/>
    <xf numFmtId="0" fontId="14" fillId="176" borderId="14" xfId="0" applyFont="1" applyFill="1" applyBorder="1"/>
    <xf numFmtId="0" fontId="14" fillId="177" borderId="13" xfId="0" applyFont="1" applyFill="1" applyBorder="1"/>
    <xf numFmtId="0" fontId="14" fillId="95" borderId="10" xfId="0" applyFont="1" applyFill="1" applyBorder="1"/>
    <xf numFmtId="0" fontId="14" fillId="178" borderId="10" xfId="0" applyFont="1" applyFill="1" applyBorder="1"/>
    <xf numFmtId="0" fontId="14" fillId="179" borderId="13" xfId="0" applyFont="1" applyFill="1" applyBorder="1"/>
    <xf numFmtId="0" fontId="14" fillId="180" borderId="10" xfId="0" applyFont="1" applyFill="1" applyBorder="1"/>
    <xf numFmtId="0" fontId="14" fillId="100" borderId="10" xfId="0" applyFont="1" applyFill="1" applyBorder="1"/>
    <xf numFmtId="0" fontId="14" fillId="181" borderId="14" xfId="0" applyFont="1" applyFill="1" applyBorder="1"/>
    <xf numFmtId="0" fontId="14" fillId="183" borderId="10" xfId="0" applyFont="1" applyFill="1" applyBorder="1"/>
    <xf numFmtId="0" fontId="14" fillId="184" borderId="14" xfId="0" applyFont="1" applyFill="1" applyBorder="1"/>
    <xf numFmtId="0" fontId="14" fillId="188" borderId="14" xfId="0" applyFont="1" applyFill="1" applyBorder="1"/>
    <xf numFmtId="0" fontId="14" fillId="189" borderId="13" xfId="0" applyFont="1" applyFill="1" applyBorder="1"/>
    <xf numFmtId="0" fontId="14" fillId="190" borderId="10" xfId="0" applyFont="1" applyFill="1" applyBorder="1"/>
    <xf numFmtId="0" fontId="14" fillId="191" borderId="10" xfId="0" applyFont="1" applyFill="1" applyBorder="1"/>
    <xf numFmtId="0" fontId="14" fillId="47" borderId="10" xfId="0" applyFont="1" applyFill="1" applyBorder="1"/>
    <xf numFmtId="0" fontId="14" fillId="77" borderId="14" xfId="0" applyFont="1" applyFill="1" applyBorder="1"/>
    <xf numFmtId="0" fontId="14" fillId="60" borderId="13" xfId="0" applyFont="1" applyFill="1" applyBorder="1"/>
    <xf numFmtId="0" fontId="14" fillId="192" borderId="10" xfId="0" applyFont="1" applyFill="1" applyBorder="1"/>
    <xf numFmtId="0" fontId="14" fillId="193" borderId="14" xfId="0" applyFont="1" applyFill="1" applyBorder="1"/>
    <xf numFmtId="0" fontId="14" fillId="158" borderId="10" xfId="0" applyFont="1" applyFill="1" applyBorder="1"/>
    <xf numFmtId="0" fontId="14" fillId="195" borderId="10" xfId="0" applyFont="1" applyFill="1" applyBorder="1"/>
    <xf numFmtId="0" fontId="14" fillId="74" borderId="10" xfId="0" applyFont="1" applyFill="1" applyBorder="1"/>
    <xf numFmtId="0" fontId="14" fillId="195" borderId="15" xfId="0" applyFont="1" applyFill="1" applyBorder="1"/>
    <xf numFmtId="0" fontId="14" fillId="170" borderId="13" xfId="0" applyFont="1" applyFill="1" applyBorder="1"/>
    <xf numFmtId="0" fontId="14" fillId="196" borderId="10" xfId="0" applyFont="1" applyFill="1" applyBorder="1"/>
    <xf numFmtId="0" fontId="14" fillId="197" borderId="10" xfId="0" applyFont="1" applyFill="1" applyBorder="1"/>
    <xf numFmtId="0" fontId="14" fillId="28" borderId="10" xfId="0" applyFont="1" applyFill="1" applyBorder="1"/>
    <xf numFmtId="0" fontId="14" fillId="198" borderId="14" xfId="0" applyFont="1" applyFill="1" applyBorder="1"/>
    <xf numFmtId="0" fontId="14" fillId="199" borderId="13" xfId="0" applyFont="1" applyFill="1" applyBorder="1"/>
    <xf numFmtId="0" fontId="14" fillId="50" borderId="10" xfId="0" applyFont="1" applyFill="1" applyBorder="1"/>
    <xf numFmtId="0" fontId="14" fillId="130" borderId="14" xfId="0" applyFont="1" applyFill="1" applyBorder="1"/>
    <xf numFmtId="0" fontId="14" fillId="200" borderId="10" xfId="0" applyFont="1" applyFill="1" applyBorder="1"/>
    <xf numFmtId="0" fontId="14" fillId="79" borderId="10" xfId="0" applyFont="1" applyFill="1" applyBorder="1"/>
    <xf numFmtId="0" fontId="14" fillId="201" borderId="10" xfId="0" applyFont="1" applyFill="1" applyBorder="1"/>
    <xf numFmtId="0" fontId="14" fillId="202" borderId="14" xfId="0" applyFont="1" applyFill="1" applyBorder="1"/>
    <xf numFmtId="0" fontId="14" fillId="52" borderId="10" xfId="0" applyFont="1" applyFill="1" applyBorder="1"/>
    <xf numFmtId="0" fontId="14" fillId="61" borderId="10" xfId="0" applyFont="1" applyFill="1" applyBorder="1"/>
    <xf numFmtId="0" fontId="14" fillId="203" borderId="14" xfId="0" applyFont="1" applyFill="1" applyBorder="1"/>
    <xf numFmtId="0" fontId="14" fillId="204" borderId="13" xfId="0" applyFont="1" applyFill="1" applyBorder="1"/>
    <xf numFmtId="0" fontId="14" fillId="205" borderId="10" xfId="0" applyFont="1" applyFill="1" applyBorder="1"/>
    <xf numFmtId="0" fontId="14" fillId="206" borderId="10" xfId="0" applyFont="1" applyFill="1" applyBorder="1"/>
    <xf numFmtId="0" fontId="14" fillId="42" borderId="10" xfId="0" applyFont="1" applyFill="1" applyBorder="1"/>
    <xf numFmtId="0" fontId="14" fillId="127" borderId="14" xfId="0" applyFont="1" applyFill="1" applyBorder="1"/>
    <xf numFmtId="0" fontId="14" fillId="207" borderId="14" xfId="0" applyFont="1" applyFill="1" applyBorder="1"/>
    <xf numFmtId="0" fontId="14" fillId="209" borderId="10" xfId="0" applyFont="1" applyFill="1" applyBorder="1"/>
    <xf numFmtId="0" fontId="14" fillId="146" borderId="10" xfId="0" applyFont="1" applyFill="1" applyBorder="1"/>
    <xf numFmtId="0" fontId="14" fillId="210" borderId="10" xfId="0" applyFont="1" applyFill="1" applyBorder="1"/>
    <xf numFmtId="0" fontId="14" fillId="211" borderId="14" xfId="0" applyFont="1" applyFill="1" applyBorder="1"/>
    <xf numFmtId="0" fontId="14" fillId="212" borderId="13" xfId="0" applyFont="1" applyFill="1" applyBorder="1"/>
    <xf numFmtId="0" fontId="14" fillId="213" borderId="10" xfId="0" applyFont="1" applyFill="1" applyBorder="1"/>
    <xf numFmtId="0" fontId="14" fillId="37" borderId="10" xfId="0" applyFont="1" applyFill="1" applyBorder="1"/>
    <xf numFmtId="0" fontId="14" fillId="214" borderId="10" xfId="0" applyFont="1" applyFill="1" applyBorder="1"/>
    <xf numFmtId="0" fontId="14" fillId="215" borderId="10" xfId="0" applyFont="1" applyFill="1" applyBorder="1"/>
    <xf numFmtId="0" fontId="14" fillId="68" borderId="15" xfId="0" applyFont="1" applyFill="1" applyBorder="1"/>
    <xf numFmtId="0" fontId="14" fillId="68" borderId="18" xfId="0" applyFont="1" applyFill="1" applyBorder="1"/>
    <xf numFmtId="0" fontId="14" fillId="59" borderId="17" xfId="0" applyFont="1" applyFill="1" applyBorder="1"/>
    <xf numFmtId="0" fontId="14" fillId="59" borderId="15" xfId="0" applyFont="1" applyFill="1" applyBorder="1"/>
    <xf numFmtId="0" fontId="14" fillId="216" borderId="18" xfId="0" applyFont="1" applyFill="1" applyBorder="1"/>
    <xf numFmtId="0" fontId="14" fillId="217" borderId="18" xfId="0" applyFont="1" applyFill="1" applyBorder="1"/>
    <xf numFmtId="0" fontId="14" fillId="53" borderId="17" xfId="0" applyFont="1" applyFill="1" applyBorder="1"/>
    <xf numFmtId="0" fontId="14" fillId="218" borderId="15" xfId="0" applyFont="1" applyFill="1" applyBorder="1"/>
    <xf numFmtId="0" fontId="14" fillId="219" borderId="10" xfId="0" applyFont="1" applyFill="1" applyBorder="1"/>
    <xf numFmtId="0" fontId="14" fillId="94" borderId="10" xfId="0" applyFont="1" applyFill="1" applyBorder="1"/>
    <xf numFmtId="0" fontId="14" fillId="165" borderId="14" xfId="0" applyFont="1" applyFill="1" applyBorder="1"/>
    <xf numFmtId="0" fontId="14" fillId="220" borderId="10" xfId="0" applyFont="1" applyFill="1" applyBorder="1"/>
    <xf numFmtId="0" fontId="14" fillId="221" borderId="10" xfId="0" applyFont="1" applyFill="1" applyBorder="1"/>
    <xf numFmtId="0" fontId="14" fillId="222" borderId="10" xfId="0" applyFont="1" applyFill="1" applyBorder="1"/>
    <xf numFmtId="0" fontId="14" fillId="223" borderId="14" xfId="0" applyFont="1" applyFill="1" applyBorder="1"/>
    <xf numFmtId="0" fontId="14" fillId="224" borderId="13" xfId="0" applyFont="1" applyFill="1" applyBorder="1"/>
    <xf numFmtId="0" fontId="14" fillId="55" borderId="10" xfId="0" applyFont="1" applyFill="1" applyBorder="1"/>
    <xf numFmtId="0" fontId="14" fillId="186" borderId="13" xfId="0" applyFont="1" applyFill="1" applyBorder="1"/>
    <xf numFmtId="0" fontId="14" fillId="225" borderId="10" xfId="0" applyFont="1" applyFill="1" applyBorder="1"/>
    <xf numFmtId="0" fontId="14" fillId="195" borderId="14" xfId="0" applyFont="1" applyFill="1" applyBorder="1"/>
    <xf numFmtId="0" fontId="14" fillId="226" borderId="10" xfId="0" applyFont="1" applyFill="1" applyBorder="1"/>
    <xf numFmtId="0" fontId="14" fillId="227" borderId="10" xfId="0" applyFont="1" applyFill="1" applyBorder="1"/>
    <xf numFmtId="0" fontId="14" fillId="110" borderId="14" xfId="0" applyFont="1" applyFill="1" applyBorder="1"/>
    <xf numFmtId="0" fontId="14" fillId="228" borderId="10" xfId="0" applyFont="1" applyFill="1" applyBorder="1"/>
    <xf numFmtId="0" fontId="14" fillId="229" borderId="14" xfId="0" applyFont="1" applyFill="1" applyBorder="1"/>
    <xf numFmtId="0" fontId="14" fillId="232" borderId="10" xfId="0" applyFont="1" applyFill="1" applyBorder="1"/>
    <xf numFmtId="0" fontId="14" fillId="58" borderId="13" xfId="0" applyFont="1" applyFill="1" applyBorder="1"/>
    <xf numFmtId="0" fontId="14" fillId="233" borderId="13" xfId="0" applyFont="1" applyFill="1" applyBorder="1"/>
    <xf numFmtId="0" fontId="14" fillId="108" borderId="14" xfId="0" applyFont="1" applyFill="1" applyBorder="1"/>
    <xf numFmtId="0" fontId="14" fillId="48" borderId="13" xfId="0" applyFont="1" applyFill="1" applyBorder="1"/>
    <xf numFmtId="0" fontId="14" fillId="38" borderId="10" xfId="0" applyFont="1" applyFill="1" applyBorder="1"/>
    <xf numFmtId="0" fontId="14" fillId="111" borderId="14" xfId="0" applyFont="1" applyFill="1" applyBorder="1"/>
    <xf numFmtId="0" fontId="14" fillId="234" borderId="10" xfId="0" applyFont="1" applyFill="1" applyBorder="1"/>
    <xf numFmtId="0" fontId="14" fillId="203" borderId="10" xfId="0" applyFont="1" applyFill="1" applyBorder="1"/>
    <xf numFmtId="0" fontId="14" fillId="235" borderId="10" xfId="0" applyFont="1" applyFill="1" applyBorder="1"/>
    <xf numFmtId="0" fontId="14" fillId="223" borderId="15" xfId="0" applyFont="1" applyFill="1" applyBorder="1"/>
    <xf numFmtId="0" fontId="14" fillId="24" borderId="18" xfId="0" applyFont="1" applyFill="1" applyBorder="1"/>
    <xf numFmtId="0" fontId="14" fillId="227" borderId="17" xfId="0" applyFont="1" applyFill="1" applyBorder="1"/>
    <xf numFmtId="0" fontId="14" fillId="230" borderId="15" xfId="0" applyFont="1" applyFill="1" applyBorder="1"/>
    <xf numFmtId="0" fontId="14" fillId="56" borderId="18" xfId="0" applyFont="1" applyFill="1" applyBorder="1"/>
    <xf numFmtId="0" fontId="14" fillId="236" borderId="17" xfId="0" applyFont="1" applyFill="1" applyBorder="1"/>
    <xf numFmtId="0" fontId="14" fillId="237" borderId="14" xfId="0" applyFont="1" applyFill="1" applyBorder="1"/>
    <xf numFmtId="0" fontId="14" fillId="238" borderId="18" xfId="0" applyFont="1" applyFill="1" applyBorder="1"/>
    <xf numFmtId="0" fontId="14" fillId="239" borderId="17" xfId="0" applyFont="1" applyFill="1" applyBorder="1"/>
    <xf numFmtId="0" fontId="14" fillId="98" borderId="15" xfId="0" applyFont="1" applyFill="1" applyBorder="1"/>
    <xf numFmtId="0" fontId="14" fillId="198" borderId="10" xfId="0" applyFont="1" applyFill="1" applyBorder="1"/>
    <xf numFmtId="0" fontId="14" fillId="71" borderId="14" xfId="0" applyFont="1" applyFill="1" applyBorder="1"/>
    <xf numFmtId="0" fontId="14" fillId="239" borderId="13" xfId="0" applyFont="1" applyFill="1" applyBorder="1"/>
    <xf numFmtId="0" fontId="14" fillId="240" borderId="10" xfId="0" applyFont="1" applyFill="1" applyBorder="1"/>
    <xf numFmtId="0" fontId="14" fillId="72" borderId="13" xfId="0" applyFont="1" applyFill="1" applyBorder="1"/>
    <xf numFmtId="0" fontId="14" fillId="241" borderId="10" xfId="0" applyFont="1" applyFill="1" applyBorder="1"/>
    <xf numFmtId="0" fontId="14" fillId="242" borderId="10" xfId="0" applyFont="1" applyFill="1" applyBorder="1"/>
    <xf numFmtId="0" fontId="14" fillId="243" borderId="13" xfId="0" applyFont="1" applyFill="1" applyBorder="1"/>
    <xf numFmtId="0" fontId="14" fillId="149" borderId="10" xfId="0" applyFont="1" applyFill="1" applyBorder="1"/>
    <xf numFmtId="0" fontId="14" fillId="111" borderId="13" xfId="0" applyFont="1" applyFill="1" applyBorder="1"/>
    <xf numFmtId="0" fontId="14" fillId="244" borderId="14" xfId="0" applyFont="1" applyFill="1" applyBorder="1"/>
    <xf numFmtId="0" fontId="14" fillId="62" borderId="13" xfId="0" applyFont="1" applyFill="1" applyBorder="1"/>
    <xf numFmtId="0" fontId="14" fillId="245" borderId="10" xfId="0" applyFont="1" applyFill="1" applyBorder="1"/>
    <xf numFmtId="0" fontId="14" fillId="246" borderId="10" xfId="0" applyFont="1" applyFill="1" applyBorder="1"/>
    <xf numFmtId="0" fontId="14" fillId="247" borderId="10" xfId="0" applyFont="1" applyFill="1" applyBorder="1"/>
    <xf numFmtId="0" fontId="14" fillId="67" borderId="13" xfId="0" applyFont="1" applyFill="1" applyBorder="1"/>
    <xf numFmtId="0" fontId="14" fillId="218" borderId="10" xfId="0" applyFont="1" applyFill="1" applyBorder="1"/>
    <xf numFmtId="0" fontId="14" fillId="167" borderId="14" xfId="0" applyFont="1" applyFill="1" applyBorder="1"/>
    <xf numFmtId="0" fontId="14" fillId="248" borderId="10" xfId="0" applyFont="1" applyFill="1" applyBorder="1"/>
    <xf numFmtId="0" fontId="14" fillId="223" borderId="10" xfId="0" applyFont="1" applyFill="1" applyBorder="1"/>
    <xf numFmtId="0" fontId="14" fillId="188" borderId="15" xfId="0" applyFont="1" applyFill="1" applyBorder="1"/>
    <xf numFmtId="0" fontId="14" fillId="249" borderId="18" xfId="0" applyFont="1" applyFill="1" applyBorder="1"/>
    <xf numFmtId="0" fontId="14" fillId="248" borderId="17" xfId="0" applyFont="1" applyFill="1" applyBorder="1"/>
    <xf numFmtId="0" fontId="14" fillId="250" borderId="10" xfId="0" applyFont="1" applyFill="1" applyBorder="1"/>
    <xf numFmtId="0" fontId="14" fillId="251" borderId="10" xfId="0" applyFont="1" applyFill="1" applyBorder="1"/>
    <xf numFmtId="0" fontId="14" fillId="116" borderId="14" xfId="0" applyFont="1" applyFill="1" applyBorder="1"/>
    <xf numFmtId="0" fontId="14" fillId="115" borderId="13" xfId="0" applyFont="1" applyFill="1" applyBorder="1"/>
    <xf numFmtId="0" fontId="14" fillId="252" borderId="10" xfId="0" applyFont="1" applyFill="1" applyBorder="1"/>
    <xf numFmtId="0" fontId="14" fillId="253" borderId="14" xfId="0" applyFont="1" applyFill="1" applyBorder="1"/>
    <xf numFmtId="0" fontId="14" fillId="254" borderId="10" xfId="0" applyFont="1" applyFill="1" applyBorder="1"/>
    <xf numFmtId="0" fontId="14" fillId="54" borderId="13" xfId="0" applyFont="1" applyFill="1" applyBorder="1"/>
    <xf numFmtId="0" fontId="14" fillId="255" borderId="14" xfId="0" applyFont="1" applyFill="1" applyBorder="1"/>
    <xf numFmtId="0" fontId="14" fillId="256" borderId="14" xfId="0" applyFont="1" applyFill="1" applyBorder="1"/>
    <xf numFmtId="0" fontId="14" fillId="258" borderId="10" xfId="0" applyFont="1" applyFill="1" applyBorder="1"/>
    <xf numFmtId="0" fontId="14" fillId="218" borderId="14" xfId="0" applyFont="1" applyFill="1" applyBorder="1"/>
    <xf numFmtId="0" fontId="14" fillId="215" borderId="13" xfId="0" applyFont="1" applyFill="1" applyBorder="1"/>
    <xf numFmtId="0" fontId="14" fillId="48" borderId="10" xfId="0" applyFont="1" applyFill="1" applyBorder="1"/>
    <xf numFmtId="0" fontId="14" fillId="122" borderId="10" xfId="0" applyFont="1" applyFill="1" applyBorder="1"/>
    <xf numFmtId="0" fontId="14" fillId="109" borderId="15" xfId="0" applyFont="1" applyFill="1" applyBorder="1"/>
    <xf numFmtId="0" fontId="14" fillId="259" borderId="18" xfId="0" applyFont="1" applyFill="1" applyBorder="1"/>
    <xf numFmtId="0" fontId="14" fillId="247" borderId="17" xfId="0" applyFont="1" applyFill="1" applyBorder="1"/>
    <xf numFmtId="0" fontId="14" fillId="34" borderId="15" xfId="0" applyFont="1" applyFill="1" applyBorder="1"/>
    <xf numFmtId="0" fontId="14" fillId="0" borderId="30" xfId="0" applyFont="1" applyBorder="1" applyAlignment="1">
      <alignment horizontal="center"/>
    </xf>
    <xf numFmtId="0" fontId="14" fillId="0" borderId="31" xfId="0" applyFont="1" applyBorder="1" applyAlignment="1">
      <alignment horizontal="center"/>
    </xf>
    <xf numFmtId="0" fontId="14" fillId="260" borderId="10" xfId="0" applyFont="1" applyFill="1" applyBorder="1"/>
    <xf numFmtId="0" fontId="14" fillId="261" borderId="10" xfId="0" applyFont="1" applyFill="1" applyBorder="1"/>
    <xf numFmtId="0" fontId="14" fillId="262" borderId="14" xfId="0" applyFont="1" applyFill="1" applyBorder="1"/>
    <xf numFmtId="0" fontId="14" fillId="189" borderId="10" xfId="0" applyFont="1" applyFill="1" applyBorder="1"/>
    <xf numFmtId="0" fontId="14" fillId="136" borderId="13" xfId="0" applyFont="1" applyFill="1" applyBorder="1"/>
    <xf numFmtId="0" fontId="14" fillId="265" borderId="14" xfId="0" applyFont="1" applyFill="1" applyBorder="1"/>
    <xf numFmtId="0" fontId="14" fillId="267" borderId="10" xfId="0" applyFont="1" applyFill="1" applyBorder="1"/>
    <xf numFmtId="0" fontId="14" fillId="160" borderId="10" xfId="0" applyFont="1" applyFill="1" applyBorder="1"/>
    <xf numFmtId="0" fontId="14" fillId="104" borderId="10" xfId="0" applyFont="1" applyFill="1" applyBorder="1"/>
    <xf numFmtId="0" fontId="14" fillId="233" borderId="10" xfId="0" applyFont="1" applyFill="1" applyBorder="1"/>
    <xf numFmtId="0" fontId="14" fillId="270" borderId="10" xfId="0" applyFont="1" applyFill="1" applyBorder="1"/>
    <xf numFmtId="0" fontId="14" fillId="271" borderId="10" xfId="0" applyFont="1" applyFill="1" applyBorder="1"/>
    <xf numFmtId="0" fontId="14" fillId="185" borderId="10" xfId="0" applyFont="1" applyFill="1" applyBorder="1"/>
    <xf numFmtId="0" fontId="14" fillId="271" borderId="15" xfId="0" applyFont="1" applyFill="1" applyBorder="1"/>
    <xf numFmtId="0" fontId="14" fillId="121" borderId="10" xfId="0" applyFont="1" applyFill="1" applyBorder="1"/>
    <xf numFmtId="0" fontId="14" fillId="230" borderId="10" xfId="0" applyFont="1" applyFill="1" applyBorder="1"/>
    <xf numFmtId="0" fontId="14" fillId="230" borderId="14" xfId="0" applyFont="1" applyFill="1" applyBorder="1"/>
    <xf numFmtId="0" fontId="14" fillId="244" borderId="10" xfId="0" applyFont="1" applyFill="1" applyBorder="1"/>
    <xf numFmtId="0" fontId="14" fillId="65" borderId="10" xfId="0" applyFont="1" applyFill="1" applyBorder="1"/>
    <xf numFmtId="0" fontId="14" fillId="275" borderId="14" xfId="0" applyFont="1" applyFill="1" applyBorder="1"/>
    <xf numFmtId="0" fontId="14" fillId="208" borderId="10" xfId="0" applyFont="1" applyFill="1" applyBorder="1"/>
    <xf numFmtId="0" fontId="14" fillId="276" borderId="14" xfId="0" applyFont="1" applyFill="1" applyBorder="1"/>
    <xf numFmtId="0" fontId="14" fillId="107" borderId="13" xfId="0" applyFont="1" applyFill="1" applyBorder="1"/>
    <xf numFmtId="0" fontId="14" fillId="262" borderId="10" xfId="0" applyFont="1" applyFill="1" applyBorder="1"/>
    <xf numFmtId="0" fontId="14" fillId="277" borderId="14" xfId="0" applyFont="1" applyFill="1" applyBorder="1"/>
    <xf numFmtId="0" fontId="14" fillId="278" borderId="13" xfId="0" applyFont="1" applyFill="1" applyBorder="1"/>
    <xf numFmtId="0" fontId="14" fillId="279" borderId="10" xfId="0" applyFont="1" applyFill="1" applyBorder="1"/>
    <xf numFmtId="0" fontId="14" fillId="280" borderId="14" xfId="0" applyFont="1" applyFill="1" applyBorder="1"/>
    <xf numFmtId="0" fontId="14" fillId="281" borderId="10" xfId="0" applyFont="1" applyFill="1" applyBorder="1"/>
    <xf numFmtId="0" fontId="14" fillId="227" borderId="14" xfId="0" applyFont="1" applyFill="1" applyBorder="1"/>
    <xf numFmtId="0" fontId="14" fillId="283" borderId="14" xfId="0" applyFont="1" applyFill="1" applyBorder="1"/>
    <xf numFmtId="0" fontId="14" fillId="284" borderId="10" xfId="0" applyFont="1" applyFill="1" applyBorder="1"/>
    <xf numFmtId="0" fontId="14" fillId="285" borderId="13" xfId="0" applyFont="1" applyFill="1" applyBorder="1"/>
    <xf numFmtId="0" fontId="14" fillId="285" borderId="10" xfId="0" applyFont="1" applyFill="1" applyBorder="1"/>
    <xf numFmtId="0" fontId="14" fillId="201" borderId="13" xfId="0" applyFont="1" applyFill="1" applyBorder="1"/>
    <xf numFmtId="0" fontId="14" fillId="286" borderId="10" xfId="0" applyFont="1" applyFill="1" applyBorder="1"/>
    <xf numFmtId="0" fontId="14" fillId="193" borderId="10" xfId="0" applyFont="1" applyFill="1" applyBorder="1"/>
    <xf numFmtId="0" fontId="14" fillId="84" borderId="15" xfId="0" applyFont="1" applyFill="1" applyBorder="1"/>
    <xf numFmtId="0" fontId="14" fillId="287" borderId="18" xfId="0" applyFont="1" applyFill="1" applyBorder="1"/>
    <xf numFmtId="0" fontId="14" fillId="288" borderId="17" xfId="0" applyFont="1" applyFill="1" applyBorder="1"/>
    <xf numFmtId="0" fontId="14" fillId="148" borderId="14" xfId="0" applyFont="1" applyFill="1" applyBorder="1"/>
    <xf numFmtId="0" fontId="14" fillId="289" borderId="13" xfId="0" applyFont="1" applyFill="1" applyBorder="1"/>
    <xf numFmtId="0" fontId="14" fillId="211" borderId="10" xfId="0" applyFont="1" applyFill="1" applyBorder="1"/>
    <xf numFmtId="0" fontId="14" fillId="30" borderId="14" xfId="0" applyFont="1" applyFill="1" applyBorder="1"/>
    <xf numFmtId="0" fontId="14" fillId="32" borderId="10" xfId="0" applyFont="1" applyFill="1" applyBorder="1"/>
    <xf numFmtId="0" fontId="14" fillId="280" borderId="10" xfId="0" applyFont="1" applyFill="1" applyBorder="1"/>
    <xf numFmtId="0" fontId="14" fillId="290" borderId="14" xfId="0" applyFont="1" applyFill="1" applyBorder="1"/>
    <xf numFmtId="0" fontId="14" fillId="291" borderId="10" xfId="0" applyFont="1" applyFill="1" applyBorder="1"/>
    <xf numFmtId="0" fontId="14" fillId="265" borderId="13" xfId="0" applyFont="1" applyFill="1" applyBorder="1"/>
    <xf numFmtId="0" fontId="14" fillId="57" borderId="10" xfId="0" applyFont="1" applyFill="1" applyBorder="1"/>
    <xf numFmtId="0" fontId="14" fillId="181" borderId="10" xfId="0" applyFont="1" applyFill="1" applyBorder="1"/>
    <xf numFmtId="0" fontId="14" fillId="292" borderId="13" xfId="0" applyFont="1" applyFill="1" applyBorder="1"/>
    <xf numFmtId="0" fontId="14" fillId="293" borderId="10" xfId="0" applyFont="1" applyFill="1" applyBorder="1"/>
    <xf numFmtId="0" fontId="14" fillId="184" borderId="10" xfId="0" applyFont="1" applyFill="1" applyBorder="1"/>
    <xf numFmtId="0" fontId="14" fillId="190" borderId="14" xfId="0" applyFont="1" applyFill="1" applyBorder="1"/>
    <xf numFmtId="0" fontId="14" fillId="239" borderId="10" xfId="0" applyFont="1" applyFill="1" applyBorder="1"/>
    <xf numFmtId="0" fontId="14" fillId="297" borderId="14" xfId="0" applyFont="1" applyFill="1" applyBorder="1"/>
    <xf numFmtId="0" fontId="14" fillId="52" borderId="15" xfId="0" applyFont="1" applyFill="1" applyBorder="1"/>
    <xf numFmtId="0" fontId="14" fillId="64" borderId="17" xfId="0" applyFont="1" applyFill="1" applyBorder="1"/>
    <xf numFmtId="0" fontId="14" fillId="148" borderId="15" xfId="0" applyFont="1" applyFill="1" applyBorder="1"/>
    <xf numFmtId="0" fontId="14" fillId="197" borderId="17" xfId="0" applyFont="1" applyFill="1" applyBorder="1"/>
    <xf numFmtId="0" fontId="14" fillId="276" borderId="18" xfId="0" applyFont="1" applyFill="1" applyBorder="1"/>
    <xf numFmtId="0" fontId="14" fillId="298" borderId="17" xfId="0" applyFont="1" applyFill="1" applyBorder="1"/>
    <xf numFmtId="0" fontId="14" fillId="24" borderId="15" xfId="0" applyFont="1" applyFill="1" applyBorder="1"/>
    <xf numFmtId="0" fontId="14" fillId="299" borderId="10" xfId="0" applyFont="1" applyFill="1" applyBorder="1"/>
    <xf numFmtId="0" fontId="14" fillId="299" borderId="14" xfId="0" applyFont="1" applyFill="1" applyBorder="1"/>
    <xf numFmtId="0" fontId="14" fillId="300" borderId="13" xfId="0" applyFont="1" applyFill="1" applyBorder="1"/>
    <xf numFmtId="0" fontId="14" fillId="301" borderId="10" xfId="0" applyFont="1" applyFill="1" applyBorder="1"/>
    <xf numFmtId="0" fontId="14" fillId="302" borderId="10" xfId="0" applyFont="1" applyFill="1" applyBorder="1"/>
    <xf numFmtId="0" fontId="14" fillId="303" borderId="14" xfId="0" applyFont="1" applyFill="1" applyBorder="1"/>
    <xf numFmtId="0" fontId="14" fillId="304" borderId="10" xfId="0" applyFont="1" applyFill="1" applyBorder="1"/>
    <xf numFmtId="0" fontId="14" fillId="164" borderId="14" xfId="0" applyFont="1" applyFill="1" applyBorder="1"/>
    <xf numFmtId="0" fontId="14" fillId="305" borderId="13" xfId="0" applyFont="1" applyFill="1" applyBorder="1"/>
    <xf numFmtId="0" fontId="14" fillId="49" borderId="14" xfId="0" applyFont="1" applyFill="1" applyBorder="1"/>
    <xf numFmtId="0" fontId="14" fillId="307" borderId="10" xfId="0" applyFont="1" applyFill="1" applyBorder="1"/>
    <xf numFmtId="0" fontId="14" fillId="79" borderId="14" xfId="0" applyFont="1" applyFill="1" applyBorder="1"/>
    <xf numFmtId="0" fontId="14" fillId="108" borderId="13" xfId="0" applyFont="1" applyFill="1" applyBorder="1"/>
    <xf numFmtId="0" fontId="14" fillId="64" borderId="14" xfId="0" applyFont="1" applyFill="1" applyBorder="1"/>
    <xf numFmtId="0" fontId="14" fillId="308" borderId="10" xfId="0" applyFont="1" applyFill="1" applyBorder="1"/>
    <xf numFmtId="0" fontId="14" fillId="198" borderId="15" xfId="0" applyFont="1" applyFill="1" applyBorder="1"/>
    <xf numFmtId="0" fontId="14" fillId="225" borderId="18" xfId="0" applyFont="1" applyFill="1" applyBorder="1"/>
    <xf numFmtId="0" fontId="14" fillId="309" borderId="17" xfId="0" applyFont="1" applyFill="1" applyBorder="1"/>
    <xf numFmtId="0" fontId="14" fillId="309" borderId="15" xfId="0" applyFont="1" applyFill="1" applyBorder="1"/>
    <xf numFmtId="0" fontId="14" fillId="252" borderId="18" xfId="0" applyFont="1" applyFill="1" applyBorder="1"/>
    <xf numFmtId="0" fontId="14" fillId="230" borderId="17" xfId="0" applyFont="1" applyFill="1" applyBorder="1"/>
    <xf numFmtId="0" fontId="14" fillId="128" borderId="18" xfId="0" applyFont="1" applyFill="1" applyBorder="1"/>
    <xf numFmtId="0" fontId="14" fillId="78" borderId="17" xfId="0" applyFont="1" applyFill="1" applyBorder="1"/>
    <xf numFmtId="0" fontId="14" fillId="143" borderId="10" xfId="0" applyFont="1" applyFill="1" applyBorder="1"/>
    <xf numFmtId="0" fontId="14" fillId="62" borderId="14" xfId="0" applyFont="1" applyFill="1" applyBorder="1"/>
    <xf numFmtId="0" fontId="14" fillId="159" borderId="13" xfId="0" applyFont="1" applyFill="1" applyBorder="1"/>
    <xf numFmtId="0" fontId="14" fillId="310" borderId="10" xfId="0" applyFont="1" applyFill="1" applyBorder="1"/>
    <xf numFmtId="0" fontId="14" fillId="73" borderId="10" xfId="0" applyFont="1" applyFill="1" applyBorder="1"/>
    <xf numFmtId="0" fontId="14" fillId="311" borderId="10" xfId="0" applyFont="1" applyFill="1" applyBorder="1"/>
    <xf numFmtId="0" fontId="14" fillId="312" borderId="13" xfId="0" applyFont="1" applyFill="1" applyBorder="1"/>
    <xf numFmtId="0" fontId="14" fillId="194" borderId="10" xfId="0" applyFont="1" applyFill="1" applyBorder="1"/>
    <xf numFmtId="0" fontId="14" fillId="313" borderId="10" xfId="0" applyFont="1" applyFill="1" applyBorder="1"/>
    <xf numFmtId="0" fontId="14" fillId="271" borderId="14" xfId="0" applyFont="1" applyFill="1" applyBorder="1"/>
    <xf numFmtId="0" fontId="14" fillId="169" borderId="13" xfId="0" applyFont="1" applyFill="1" applyBorder="1"/>
    <xf numFmtId="0" fontId="14" fillId="309" borderId="10" xfId="0" applyFont="1" applyFill="1" applyBorder="1"/>
    <xf numFmtId="0" fontId="14" fillId="245" borderId="14" xfId="0" applyFont="1" applyFill="1" applyBorder="1"/>
    <xf numFmtId="0" fontId="14" fillId="314" borderId="13" xfId="0" applyFont="1" applyFill="1" applyBorder="1"/>
    <xf numFmtId="0" fontId="14" fillId="112" borderId="10" xfId="0" applyFont="1" applyFill="1" applyBorder="1"/>
    <xf numFmtId="0" fontId="14" fillId="315" borderId="14" xfId="0" applyFont="1" applyFill="1" applyBorder="1"/>
    <xf numFmtId="0" fontId="14" fillId="287" borderId="14" xfId="0" applyFont="1" applyFill="1" applyBorder="1"/>
    <xf numFmtId="0" fontId="14" fillId="224" borderId="10" xfId="0" applyFont="1" applyFill="1" applyBorder="1"/>
    <xf numFmtId="0" fontId="14" fillId="214" borderId="14" xfId="0" applyFont="1" applyFill="1" applyBorder="1"/>
    <xf numFmtId="0" fontId="14" fillId="317" borderId="13" xfId="0" applyFont="1" applyFill="1" applyBorder="1"/>
    <xf numFmtId="0" fontId="14" fillId="318" borderId="10" xfId="0" applyFont="1" applyFill="1" applyBorder="1"/>
    <xf numFmtId="0" fontId="14" fillId="249" borderId="10" xfId="0" applyFont="1" applyFill="1" applyBorder="1"/>
    <xf numFmtId="0" fontId="14" fillId="319" borderId="10" xfId="0" applyFont="1" applyFill="1" applyBorder="1"/>
    <xf numFmtId="0" fontId="14" fillId="303" borderId="10" xfId="0" applyFont="1" applyFill="1" applyBorder="1"/>
    <xf numFmtId="0" fontId="14" fillId="114" borderId="14" xfId="0" applyFont="1" applyFill="1" applyBorder="1"/>
    <xf numFmtId="0" fontId="14" fillId="320" borderId="13" xfId="0" applyFont="1" applyFill="1" applyBorder="1"/>
    <xf numFmtId="0" fontId="14" fillId="321" borderId="14" xfId="0" applyFont="1" applyFill="1" applyBorder="1"/>
    <xf numFmtId="0" fontId="14" fillId="322" borderId="10" xfId="0" applyFont="1" applyFill="1" applyBorder="1"/>
    <xf numFmtId="0" fontId="14" fillId="290" borderId="10" xfId="0" applyFont="1" applyFill="1" applyBorder="1"/>
    <xf numFmtId="0" fontId="14" fillId="73" borderId="14" xfId="0" applyFont="1" applyFill="1" applyBorder="1"/>
    <xf numFmtId="0" fontId="14" fillId="231" borderId="14" xfId="0" applyFont="1" applyFill="1" applyBorder="1"/>
    <xf numFmtId="0" fontId="14" fillId="323" borderId="10" xfId="0" applyFont="1" applyFill="1" applyBorder="1"/>
    <xf numFmtId="0" fontId="14" fillId="91" borderId="14" xfId="0" applyFont="1" applyFill="1" applyBorder="1"/>
    <xf numFmtId="0" fontId="14" fillId="321" borderId="10" xfId="0" applyFont="1" applyFill="1" applyBorder="1"/>
    <xf numFmtId="0" fontId="14" fillId="324" borderId="18" xfId="0" applyFont="1" applyFill="1" applyBorder="1"/>
    <xf numFmtId="0" fontId="14" fillId="198" borderId="17" xfId="0" applyFont="1" applyFill="1" applyBorder="1"/>
    <xf numFmtId="0" fontId="9" fillId="0" borderId="32" xfId="0" applyFont="1" applyBorder="1"/>
    <xf numFmtId="0" fontId="9" fillId="0" borderId="33" xfId="0" applyFont="1" applyBorder="1"/>
    <xf numFmtId="0" fontId="14" fillId="313" borderId="13" xfId="0" applyFont="1" applyFill="1" applyBorder="1"/>
    <xf numFmtId="0" fontId="14" fillId="248" borderId="14" xfId="0" applyFont="1" applyFill="1" applyBorder="1"/>
    <xf numFmtId="0" fontId="14" fillId="325" borderId="13" xfId="0" applyFont="1" applyFill="1" applyBorder="1"/>
    <xf numFmtId="0" fontId="14" fillId="326" borderId="10" xfId="0" applyFont="1" applyFill="1" applyBorder="1"/>
    <xf numFmtId="0" fontId="14" fillId="327" borderId="14" xfId="0" applyFont="1" applyFill="1" applyBorder="1"/>
    <xf numFmtId="0" fontId="14" fillId="116" borderId="10" xfId="0" applyFont="1" applyFill="1" applyBorder="1"/>
    <xf numFmtId="0" fontId="14" fillId="51" borderId="13" xfId="0" applyFont="1" applyFill="1" applyBorder="1"/>
    <xf numFmtId="0" fontId="14" fillId="328" borderId="10" xfId="0" applyFont="1" applyFill="1" applyBorder="1"/>
    <xf numFmtId="0" fontId="14" fillId="240" borderId="14" xfId="0" applyFont="1" applyFill="1" applyBorder="1"/>
    <xf numFmtId="0" fontId="14" fillId="329" borderId="13" xfId="0" applyFont="1" applyFill="1" applyBorder="1"/>
    <xf numFmtId="0" fontId="14" fillId="141" borderId="14" xfId="0" applyFont="1" applyFill="1" applyBorder="1"/>
    <xf numFmtId="0" fontId="14" fillId="316" borderId="14" xfId="0" applyFont="1" applyFill="1" applyBorder="1"/>
    <xf numFmtId="0" fontId="14" fillId="40" borderId="15" xfId="0" applyFont="1" applyFill="1" applyBorder="1"/>
    <xf numFmtId="0" fontId="9" fillId="0" borderId="34" xfId="0" applyFont="1" applyBorder="1"/>
    <xf numFmtId="0" fontId="9" fillId="0" borderId="35" xfId="0" applyFont="1" applyBorder="1"/>
    <xf numFmtId="0" fontId="0" fillId="0" borderId="12" xfId="0" applyBorder="1"/>
    <xf numFmtId="0" fontId="14" fillId="331" borderId="10" xfId="0" applyFont="1" applyFill="1" applyBorder="1"/>
    <xf numFmtId="0" fontId="14" fillId="332" borderId="10" xfId="0" applyFont="1" applyFill="1" applyBorder="1"/>
    <xf numFmtId="0" fontId="14" fillId="308" borderId="14" xfId="0" applyFont="1" applyFill="1" applyBorder="1"/>
    <xf numFmtId="0" fontId="14" fillId="182" borderId="10" xfId="0" applyFont="1" applyFill="1" applyBorder="1"/>
    <xf numFmtId="0" fontId="14" fillId="333" borderId="14" xfId="0" applyFont="1" applyFill="1" applyBorder="1"/>
    <xf numFmtId="0" fontId="14" fillId="334" borderId="13" xfId="0" applyFont="1" applyFill="1" applyBorder="1"/>
    <xf numFmtId="0" fontId="14" fillId="66" borderId="10" xfId="0" applyFont="1" applyFill="1" applyBorder="1"/>
    <xf numFmtId="0" fontId="14" fillId="325" borderId="10" xfId="0" applyFont="1" applyFill="1" applyBorder="1"/>
    <xf numFmtId="0" fontId="14" fillId="128" borderId="10" xfId="0" applyFont="1" applyFill="1" applyBorder="1"/>
    <xf numFmtId="0" fontId="14" fillId="242" borderId="13" xfId="0" applyFont="1" applyFill="1" applyBorder="1"/>
    <xf numFmtId="0" fontId="14" fillId="287" borderId="10" xfId="0" applyFont="1" applyFill="1" applyBorder="1"/>
    <xf numFmtId="0" fontId="14" fillId="174" borderId="10" xfId="0" applyFont="1" applyFill="1" applyBorder="1"/>
    <xf numFmtId="0" fontId="14" fillId="141" borderId="15" xfId="0" applyFont="1" applyFill="1" applyBorder="1"/>
    <xf numFmtId="0" fontId="14" fillId="163" borderId="18" xfId="0" applyFont="1" applyFill="1" applyBorder="1"/>
    <xf numFmtId="0" fontId="14" fillId="130" borderId="17" xfId="0" applyFont="1" applyFill="1" applyBorder="1"/>
    <xf numFmtId="0" fontId="14" fillId="89" borderId="15" xfId="0" applyFont="1" applyFill="1" applyBorder="1"/>
    <xf numFmtId="0" fontId="14" fillId="184" borderId="17" xfId="0" applyFont="1" applyFill="1" applyBorder="1"/>
    <xf numFmtId="0" fontId="14" fillId="335" borderId="18" xfId="0" applyFont="1" applyFill="1" applyBorder="1"/>
    <xf numFmtId="0" fontId="14" fillId="60" borderId="17" xfId="0" applyFont="1" applyFill="1" applyBorder="1"/>
    <xf numFmtId="0" fontId="14" fillId="257" borderId="15" xfId="0" applyFont="1" applyFill="1" applyBorder="1"/>
    <xf numFmtId="0" fontId="14" fillId="326" borderId="13" xfId="0" applyFont="1" applyFill="1" applyBorder="1"/>
    <xf numFmtId="0" fontId="14" fillId="157" borderId="10" xfId="0" applyFont="1" applyFill="1" applyBorder="1"/>
    <xf numFmtId="0" fontId="14" fillId="78" borderId="13" xfId="0" applyFont="1" applyFill="1" applyBorder="1"/>
    <xf numFmtId="0" fontId="14" fillId="244" borderId="13" xfId="0" applyFont="1" applyFill="1" applyBorder="1"/>
    <xf numFmtId="0" fontId="14" fillId="155" borderId="10" xfId="0" applyFont="1" applyFill="1" applyBorder="1"/>
    <xf numFmtId="0" fontId="14" fillId="120" borderId="14" xfId="0" applyFont="1" applyFill="1" applyBorder="1"/>
    <xf numFmtId="0" fontId="14" fillId="336" borderId="13" xfId="0" applyFont="1" applyFill="1" applyBorder="1"/>
    <xf numFmtId="0" fontId="14" fillId="161" borderId="13" xfId="0" applyFont="1" applyFill="1" applyBorder="1"/>
    <xf numFmtId="0" fontId="14" fillId="286" borderId="13" xfId="0" applyFont="1" applyFill="1" applyBorder="1"/>
    <xf numFmtId="0" fontId="14" fillId="168" borderId="13" xfId="0" applyFont="1" applyFill="1" applyBorder="1"/>
    <xf numFmtId="0" fontId="14" fillId="297" borderId="15" xfId="0" applyFont="1" applyFill="1" applyBorder="1"/>
    <xf numFmtId="0" fontId="14" fillId="222" borderId="13" xfId="0" applyFont="1" applyFill="1" applyBorder="1"/>
    <xf numFmtId="0" fontId="14" fillId="172" borderId="10" xfId="0" applyFont="1" applyFill="1" applyBorder="1"/>
    <xf numFmtId="0" fontId="14" fillId="338" borderId="14" xfId="0" applyFont="1" applyFill="1" applyBorder="1"/>
    <xf numFmtId="0" fontId="14" fillId="26" borderId="13" xfId="0" applyFont="1" applyFill="1" applyBorder="1"/>
    <xf numFmtId="0" fontId="14" fillId="296" borderId="10" xfId="0" applyFont="1" applyFill="1" applyBorder="1"/>
    <xf numFmtId="0" fontId="14" fillId="339" borderId="10" xfId="0" applyFont="1" applyFill="1" applyBorder="1"/>
    <xf numFmtId="0" fontId="14" fillId="264" borderId="14" xfId="0" applyFont="1" applyFill="1" applyBorder="1"/>
    <xf numFmtId="0" fontId="14" fillId="188" borderId="10" xfId="0" applyFont="1" applyFill="1" applyBorder="1"/>
    <xf numFmtId="0" fontId="14" fillId="340" borderId="10" xfId="0" applyFont="1" applyFill="1" applyBorder="1"/>
    <xf numFmtId="0" fontId="14" fillId="208" borderId="14" xfId="0" applyFont="1" applyFill="1" applyBorder="1"/>
    <xf numFmtId="0" fontId="14" fillId="341" borderId="13" xfId="0" applyFont="1" applyFill="1" applyBorder="1"/>
    <xf numFmtId="0" fontId="14" fillId="342" borderId="10" xfId="0" applyFont="1" applyFill="1" applyBorder="1"/>
    <xf numFmtId="0" fontId="14" fillId="332" borderId="14" xfId="0" applyFont="1" applyFill="1" applyBorder="1"/>
    <xf numFmtId="0" fontId="14" fillId="343" borderId="10" xfId="0" applyFont="1" applyFill="1" applyBorder="1"/>
    <xf numFmtId="0" fontId="14" fillId="31" borderId="13" xfId="0" applyFont="1" applyFill="1" applyBorder="1"/>
    <xf numFmtId="0" fontId="14" fillId="200" borderId="14" xfId="0" applyFont="1" applyFill="1" applyBorder="1"/>
    <xf numFmtId="0" fontId="14" fillId="265" borderId="10" xfId="0" applyFont="1" applyFill="1" applyBorder="1"/>
    <xf numFmtId="0" fontId="14" fillId="163" borderId="10" xfId="0" applyFont="1" applyFill="1" applyBorder="1"/>
    <xf numFmtId="0" fontId="14" fillId="283" borderId="15" xfId="0" applyFont="1" applyFill="1" applyBorder="1"/>
    <xf numFmtId="0" fontId="14" fillId="344" borderId="17" xfId="0" applyFont="1" applyFill="1" applyBorder="1"/>
    <xf numFmtId="0" fontId="14" fillId="260" borderId="13" xfId="0" applyFont="1" applyFill="1" applyBorder="1"/>
    <xf numFmtId="0" fontId="14" fillId="323" borderId="13" xfId="0" applyFont="1" applyFill="1" applyBorder="1"/>
    <xf numFmtId="0" fontId="14" fillId="345" borderId="10" xfId="0" applyFont="1" applyFill="1" applyBorder="1"/>
    <xf numFmtId="0" fontId="14" fillId="346" borderId="14" xfId="0" applyFont="1" applyFill="1" applyBorder="1"/>
    <xf numFmtId="0" fontId="14" fillId="316" borderId="10" xfId="0" applyFont="1" applyFill="1" applyBorder="1"/>
    <xf numFmtId="0" fontId="14" fillId="347" borderId="10" xfId="0" applyFont="1" applyFill="1" applyBorder="1"/>
    <xf numFmtId="0" fontId="14" fillId="348" borderId="10" xfId="0" applyFont="1" applyFill="1" applyBorder="1"/>
    <xf numFmtId="0" fontId="14" fillId="175" borderId="13" xfId="0" applyFont="1" applyFill="1" applyBorder="1"/>
    <xf numFmtId="0" fontId="14" fillId="349" borderId="13" xfId="0" applyFont="1" applyFill="1" applyBorder="1"/>
    <xf numFmtId="0" fontId="14" fillId="350" borderId="10" xfId="0" applyFont="1" applyFill="1" applyBorder="1"/>
    <xf numFmtId="0" fontId="14" fillId="28" borderId="14" xfId="0" applyFont="1" applyFill="1" applyBorder="1"/>
    <xf numFmtId="0" fontId="14" fillId="351" borderId="14" xfId="0" applyFont="1" applyFill="1" applyBorder="1"/>
    <xf numFmtId="0" fontId="14" fillId="59" borderId="13" xfId="0" applyFont="1" applyFill="1" applyBorder="1"/>
    <xf numFmtId="0" fontId="14" fillId="219" borderId="14" xfId="0" applyFont="1" applyFill="1" applyBorder="1"/>
    <xf numFmtId="0" fontId="14" fillId="30" borderId="15" xfId="0" applyFont="1" applyFill="1" applyBorder="1"/>
    <xf numFmtId="0" fontId="14" fillId="126" borderId="18" xfId="0" applyFont="1" applyFill="1" applyBorder="1"/>
    <xf numFmtId="0" fontId="14" fillId="352" borderId="17" xfId="0" applyFont="1" applyFill="1" applyBorder="1"/>
    <xf numFmtId="0" fontId="14" fillId="353" borderId="15" xfId="0" applyFont="1" applyFill="1" applyBorder="1"/>
    <xf numFmtId="0" fontId="14" fillId="75" borderId="18" xfId="0" applyFont="1" applyFill="1" applyBorder="1"/>
    <xf numFmtId="0" fontId="14" fillId="249" borderId="17" xfId="0" applyFont="1" applyFill="1" applyBorder="1"/>
    <xf numFmtId="0" fontId="14" fillId="142" borderId="18" xfId="0" applyFont="1" applyFill="1" applyBorder="1"/>
    <xf numFmtId="0" fontId="14" fillId="75" borderId="17" xfId="0" applyFont="1" applyFill="1" applyBorder="1"/>
    <xf numFmtId="0" fontId="14" fillId="354" borderId="18" xfId="0" applyFont="1" applyFill="1" applyBorder="1"/>
    <xf numFmtId="0" fontId="14" fillId="355" borderId="16" xfId="0" applyFont="1" applyFill="1" applyBorder="1"/>
    <xf numFmtId="0" fontId="14" fillId="355" borderId="29" xfId="0" applyFont="1" applyFill="1" applyBorder="1"/>
    <xf numFmtId="0" fontId="14" fillId="306" borderId="10" xfId="0" applyFont="1" applyFill="1" applyBorder="1"/>
    <xf numFmtId="0" fontId="14" fillId="306" borderId="14" xfId="0" applyFont="1" applyFill="1" applyBorder="1"/>
    <xf numFmtId="0" fontId="14" fillId="356" borderId="13" xfId="0" applyFont="1" applyFill="1" applyBorder="1"/>
    <xf numFmtId="0" fontId="14" fillId="357" borderId="10" xfId="0" applyFont="1" applyFill="1" applyBorder="1"/>
    <xf numFmtId="0" fontId="14" fillId="213" borderId="14" xfId="0" applyFont="1" applyFill="1" applyBorder="1"/>
    <xf numFmtId="0" fontId="14" fillId="358" borderId="13" xfId="0" applyFont="1" applyFill="1" applyBorder="1"/>
    <xf numFmtId="0" fontId="14" fillId="268" borderId="10" xfId="0" applyFont="1" applyFill="1" applyBorder="1"/>
    <xf numFmtId="0" fontId="14" fillId="296" borderId="14" xfId="0" applyFont="1" applyFill="1" applyBorder="1"/>
    <xf numFmtId="0" fontId="14" fillId="36" borderId="13" xfId="0" applyFont="1" applyFill="1" applyBorder="1"/>
    <xf numFmtId="0" fontId="14" fillId="85" borderId="10" xfId="0" applyFont="1" applyFill="1" applyBorder="1"/>
    <xf numFmtId="0" fontId="14" fillId="187" borderId="14" xfId="0" applyFont="1" applyFill="1" applyBorder="1"/>
    <xf numFmtId="0" fontId="14" fillId="359" borderId="13" xfId="0" applyFont="1" applyFill="1" applyBorder="1"/>
    <xf numFmtId="0" fontId="14" fillId="35" borderId="14" xfId="0" applyFont="1" applyFill="1" applyBorder="1"/>
    <xf numFmtId="0" fontId="14" fillId="53" borderId="10" xfId="0" applyFont="1" applyFill="1" applyBorder="1"/>
    <xf numFmtId="0" fontId="14" fillId="295" borderId="10" xfId="0" applyFont="1" applyFill="1" applyBorder="1"/>
    <xf numFmtId="0" fontId="14" fillId="327" borderId="10" xfId="0" applyFont="1" applyFill="1" applyBorder="1"/>
    <xf numFmtId="0" fontId="14" fillId="338" borderId="13" xfId="0" applyFont="1" applyFill="1" applyBorder="1"/>
    <xf numFmtId="0" fontId="14" fillId="217" borderId="10" xfId="0" applyFont="1" applyFill="1" applyBorder="1"/>
    <xf numFmtId="0" fontId="14" fillId="356" borderId="10" xfId="0" applyFont="1" applyFill="1" applyBorder="1"/>
    <xf numFmtId="0" fontId="14" fillId="28" borderId="15" xfId="0" applyFont="1" applyFill="1" applyBorder="1"/>
    <xf numFmtId="0" fontId="14" fillId="88" borderId="18" xfId="0" applyFont="1" applyFill="1" applyBorder="1"/>
    <xf numFmtId="0" fontId="14" fillId="52" borderId="17" xfId="0" applyFont="1" applyFill="1" applyBorder="1"/>
    <xf numFmtId="0" fontId="9" fillId="0" borderId="36" xfId="0" applyFont="1" applyBorder="1"/>
    <xf numFmtId="0" fontId="9" fillId="0" borderId="37" xfId="0" applyFont="1" applyBorder="1"/>
    <xf numFmtId="0" fontId="14" fillId="361" borderId="10" xfId="0" applyFont="1" applyFill="1" applyBorder="1"/>
    <xf numFmtId="0" fontId="14" fillId="257" borderId="10" xfId="0" applyFont="1" applyFill="1" applyBorder="1"/>
    <xf numFmtId="0" fontId="14" fillId="361" borderId="13" xfId="0" applyFont="1" applyFill="1" applyBorder="1"/>
    <xf numFmtId="0" fontId="14" fillId="362" borderId="10" xfId="0" applyFont="1" applyFill="1" applyBorder="1"/>
    <xf numFmtId="0" fontId="14" fillId="336" borderId="10" xfId="0" applyFont="1" applyFill="1" applyBorder="1"/>
    <xf numFmtId="0" fontId="14" fillId="162" borderId="13" xfId="0" applyFont="1" applyFill="1" applyBorder="1"/>
    <xf numFmtId="0" fontId="14" fillId="353" borderId="13" xfId="0" applyFont="1" applyFill="1" applyBorder="1"/>
    <xf numFmtId="0" fontId="14" fillId="323" borderId="14" xfId="0" applyFont="1" applyFill="1" applyBorder="1"/>
    <xf numFmtId="0" fontId="14" fillId="109" borderId="10" xfId="0" applyFont="1" applyFill="1" applyBorder="1"/>
    <xf numFmtId="0" fontId="14" fillId="272" borderId="10" xfId="0" applyFont="1" applyFill="1" applyBorder="1"/>
    <xf numFmtId="0" fontId="14" fillId="363" borderId="10" xfId="0" applyFont="1" applyFill="1" applyBorder="1"/>
    <xf numFmtId="0" fontId="14" fillId="129" borderId="17" xfId="0" applyFont="1" applyFill="1" applyBorder="1"/>
    <xf numFmtId="0" fontId="14" fillId="364" borderId="15" xfId="0" applyFont="1" applyFill="1" applyBorder="1"/>
    <xf numFmtId="0" fontId="14" fillId="346" borderId="18" xfId="0" applyFont="1" applyFill="1" applyBorder="1"/>
    <xf numFmtId="0" fontId="14" fillId="313" borderId="17" xfId="0" applyFont="1" applyFill="1" applyBorder="1"/>
    <xf numFmtId="0" fontId="14" fillId="101" borderId="15" xfId="0" applyFont="1" applyFill="1" applyBorder="1"/>
    <xf numFmtId="0" fontId="14" fillId="355" borderId="18" xfId="0" applyFont="1" applyFill="1" applyBorder="1"/>
    <xf numFmtId="0" fontId="14" fillId="186" borderId="10" xfId="0" applyFont="1" applyFill="1" applyBorder="1"/>
    <xf numFmtId="0" fontId="14" fillId="234" borderId="14" xfId="0" applyFont="1" applyFill="1" applyBorder="1"/>
    <xf numFmtId="0" fontId="14" fillId="348" borderId="13" xfId="0" applyFont="1" applyFill="1" applyBorder="1"/>
    <xf numFmtId="0" fontId="14" fillId="84" borderId="10" xfId="0" applyFont="1" applyFill="1" applyBorder="1"/>
    <xf numFmtId="0" fontId="14" fillId="294" borderId="10" xfId="0" applyFont="1" applyFill="1" applyBorder="1"/>
    <xf numFmtId="0" fontId="14" fillId="171" borderId="13" xfId="0" applyFont="1" applyFill="1" applyBorder="1"/>
    <xf numFmtId="0" fontId="14" fillId="177" borderId="10" xfId="0" applyFont="1" applyFill="1" applyBorder="1"/>
    <xf numFmtId="0" fontId="14" fillId="82" borderId="10" xfId="0" applyFont="1" applyFill="1" applyBorder="1"/>
    <xf numFmtId="0" fontId="14" fillId="182" borderId="14" xfId="0" applyFont="1" applyFill="1" applyBorder="1"/>
    <xf numFmtId="0" fontId="14" fillId="235" borderId="13" xfId="0" applyFont="1" applyFill="1" applyBorder="1"/>
    <xf numFmtId="0" fontId="14" fillId="275" borderId="10" xfId="0" applyFont="1" applyFill="1" applyBorder="1"/>
    <xf numFmtId="0" fontId="14" fillId="270" borderId="13" xfId="0" applyFont="1" applyFill="1" applyBorder="1"/>
    <xf numFmtId="0" fontId="14" fillId="334" borderId="10" xfId="0" applyFont="1" applyFill="1" applyBorder="1"/>
    <xf numFmtId="0" fontId="14" fillId="147" borderId="10" xfId="0" applyFont="1" applyFill="1" applyBorder="1"/>
    <xf numFmtId="0" fontId="14" fillId="326" borderId="15" xfId="0" applyFont="1" applyFill="1" applyBorder="1"/>
    <xf numFmtId="0" fontId="14" fillId="55" borderId="17" xfId="0" applyFont="1" applyFill="1" applyBorder="1"/>
    <xf numFmtId="0" fontId="14" fillId="50" borderId="14" xfId="0" applyFont="1" applyFill="1" applyBorder="1"/>
    <xf numFmtId="0" fontId="14" fillId="365" borderId="13" xfId="0" applyFont="1" applyFill="1" applyBorder="1"/>
    <xf numFmtId="0" fontId="14" fillId="366" borderId="10" xfId="0" applyFont="1" applyFill="1" applyBorder="1"/>
    <xf numFmtId="0" fontId="14" fillId="221" borderId="14" xfId="0" applyFont="1" applyFill="1" applyBorder="1"/>
    <xf numFmtId="0" fontId="14" fillId="124" borderId="13" xfId="0" applyFont="1" applyFill="1" applyBorder="1"/>
    <xf numFmtId="0" fontId="14" fillId="333" borderId="10" xfId="0" applyFont="1" applyFill="1" applyBorder="1"/>
    <xf numFmtId="0" fontId="14" fillId="236" borderId="10" xfId="0" applyFont="1" applyFill="1" applyBorder="1"/>
    <xf numFmtId="0" fontId="14" fillId="288" borderId="10" xfId="0" applyFont="1" applyFill="1" applyBorder="1"/>
    <xf numFmtId="0" fontId="14" fillId="367" borderId="10" xfId="0" applyFont="1" applyFill="1" applyBorder="1"/>
    <xf numFmtId="0" fontId="14" fillId="347" borderId="14" xfId="0" applyFont="1" applyFill="1" applyBorder="1"/>
    <xf numFmtId="0" fontId="14" fillId="129" borderId="10" xfId="0" applyFont="1" applyFill="1" applyBorder="1"/>
    <xf numFmtId="0" fontId="14" fillId="368" borderId="13" xfId="0" applyFont="1" applyFill="1" applyBorder="1"/>
    <xf numFmtId="0" fontId="14" fillId="369" borderId="10" xfId="0" applyFont="1" applyFill="1" applyBorder="1"/>
    <xf numFmtId="0" fontId="14" fillId="259" borderId="10" xfId="0" applyFont="1" applyFill="1" applyBorder="1"/>
    <xf numFmtId="0" fontId="14" fillId="156" borderId="14" xfId="0" applyFont="1" applyFill="1" applyBorder="1"/>
    <xf numFmtId="0" fontId="14" fillId="370" borderId="10" xfId="0" applyFont="1" applyFill="1" applyBorder="1"/>
    <xf numFmtId="0" fontId="14" fillId="46" borderId="15" xfId="0" applyFont="1" applyFill="1" applyBorder="1"/>
    <xf numFmtId="0" fontId="14" fillId="85" borderId="18" xfId="0" applyFont="1" applyFill="1" applyBorder="1"/>
    <xf numFmtId="0" fontId="14" fillId="53" borderId="14" xfId="0" applyFont="1" applyFill="1" applyBorder="1"/>
    <xf numFmtId="0" fontId="14" fillId="343" borderId="13" xfId="0" applyFont="1" applyFill="1" applyBorder="1"/>
    <xf numFmtId="0" fontId="14" fillId="371" borderId="14" xfId="0" applyFont="1" applyFill="1" applyBorder="1"/>
    <xf numFmtId="0" fontId="14" fillId="176" borderId="10" xfId="0" applyFont="1" applyFill="1" applyBorder="1"/>
    <xf numFmtId="0" fontId="14" fillId="317" borderId="10" xfId="0" applyFont="1" applyFill="1" applyBorder="1"/>
    <xf numFmtId="0" fontId="14" fillId="372" borderId="10" xfId="0" applyFont="1" applyFill="1" applyBorder="1"/>
    <xf numFmtId="0" fontId="14" fillId="237" borderId="10" xfId="0" applyFont="1" applyFill="1" applyBorder="1"/>
    <xf numFmtId="0" fontId="14" fillId="373" borderId="13" xfId="0" applyFont="1" applyFill="1" applyBorder="1"/>
    <xf numFmtId="0" fontId="14" fillId="374" borderId="10" xfId="0" applyFont="1" applyFill="1" applyBorder="1"/>
    <xf numFmtId="0" fontId="14" fillId="348" borderId="14" xfId="0" applyFont="1" applyFill="1" applyBorder="1"/>
    <xf numFmtId="0" fontId="14" fillId="155" borderId="13" xfId="0" applyFont="1" applyFill="1" applyBorder="1"/>
    <xf numFmtId="0" fontId="14" fillId="165" borderId="13" xfId="0" applyFont="1" applyFill="1" applyBorder="1"/>
    <xf numFmtId="0" fontId="14" fillId="232" borderId="15" xfId="0" applyFont="1" applyFill="1" applyBorder="1"/>
    <xf numFmtId="0" fontId="14" fillId="236" borderId="18" xfId="0" applyFont="1" applyFill="1" applyBorder="1"/>
    <xf numFmtId="0" fontId="14" fillId="195" borderId="17" xfId="0" applyFont="1" applyFill="1" applyBorder="1"/>
    <xf numFmtId="0" fontId="14" fillId="155" borderId="14" xfId="0" applyFont="1" applyFill="1" applyBorder="1"/>
    <xf numFmtId="0" fontId="14" fillId="332" borderId="13" xfId="0" applyFont="1" applyFill="1" applyBorder="1"/>
    <xf numFmtId="0" fontId="14" fillId="253" borderId="10" xfId="0" applyFont="1" applyFill="1" applyBorder="1"/>
    <xf numFmtId="0" fontId="14" fillId="288" borderId="14" xfId="0" applyFont="1" applyFill="1" applyBorder="1"/>
    <xf numFmtId="0" fontId="14" fillId="209" borderId="13" xfId="0" applyFont="1" applyFill="1" applyBorder="1"/>
    <xf numFmtId="0" fontId="14" fillId="351" borderId="10" xfId="0" applyFont="1" applyFill="1" applyBorder="1"/>
    <xf numFmtId="0" fontId="14" fillId="93" borderId="10" xfId="0" applyFont="1" applyFill="1" applyBorder="1"/>
    <xf numFmtId="0" fontId="14" fillId="375" borderId="13" xfId="0" applyFont="1" applyFill="1" applyBorder="1"/>
    <xf numFmtId="0" fontId="14" fillId="376" borderId="10" xfId="0" applyFont="1" applyFill="1" applyBorder="1"/>
    <xf numFmtId="0" fontId="14" fillId="377" borderId="10" xfId="0" applyFont="1" applyFill="1" applyBorder="1"/>
    <xf numFmtId="0" fontId="14" fillId="147" borderId="14" xfId="0" applyFont="1" applyFill="1" applyBorder="1"/>
    <xf numFmtId="0" fontId="14" fillId="257" borderId="14" xfId="0" applyFont="1" applyFill="1" applyBorder="1"/>
    <xf numFmtId="0" fontId="14" fillId="283" borderId="13" xfId="0" applyFont="1" applyFill="1" applyBorder="1"/>
    <xf numFmtId="0" fontId="14" fillId="103" borderId="10" xfId="0" applyFont="1" applyFill="1" applyBorder="1"/>
    <xf numFmtId="0" fontId="14" fillId="36" borderId="14" xfId="0" applyFont="1" applyFill="1" applyBorder="1"/>
    <xf numFmtId="0" fontId="14" fillId="321" borderId="15" xfId="0" applyFont="1" applyFill="1" applyBorder="1"/>
    <xf numFmtId="0" fontId="14" fillId="316" borderId="17" xfId="0" applyFont="1" applyFill="1" applyBorder="1"/>
    <xf numFmtId="0" fontId="14" fillId="354" borderId="16" xfId="0" applyFont="1" applyFill="1" applyBorder="1"/>
    <xf numFmtId="0" fontId="14" fillId="354" borderId="29" xfId="0" applyFont="1" applyFill="1" applyBorder="1"/>
    <xf numFmtId="0" fontId="14" fillId="274" borderId="13" xfId="0" applyFont="1" applyFill="1" applyBorder="1"/>
    <xf numFmtId="0" fontId="14" fillId="202" borderId="10" xfId="0" applyFont="1" applyFill="1" applyBorder="1"/>
    <xf numFmtId="0" fontId="14" fillId="378" borderId="10" xfId="0" applyFont="1" applyFill="1" applyBorder="1"/>
    <xf numFmtId="0" fontId="14" fillId="335" borderId="14" xfId="0" applyFont="1" applyFill="1" applyBorder="1"/>
    <xf numFmtId="0" fontId="14" fillId="172" borderId="13" xfId="0" applyFont="1" applyFill="1" applyBorder="1"/>
    <xf numFmtId="0" fontId="14" fillId="335" borderId="10" xfId="0" applyFont="1" applyFill="1" applyBorder="1"/>
    <xf numFmtId="0" fontId="14" fillId="379" borderId="10" xfId="0" applyFont="1" applyFill="1" applyBorder="1"/>
    <xf numFmtId="0" fontId="14" fillId="380" borderId="14" xfId="0" applyFont="1" applyFill="1" applyBorder="1"/>
    <xf numFmtId="0" fontId="14" fillId="315" borderId="10" xfId="0" applyFont="1" applyFill="1" applyBorder="1"/>
    <xf numFmtId="0" fontId="14" fillId="82" borderId="18" xfId="0" applyFont="1" applyFill="1" applyBorder="1"/>
    <xf numFmtId="0" fontId="14" fillId="24" borderId="17" xfId="0" applyFont="1" applyFill="1" applyBorder="1"/>
    <xf numFmtId="0" fontId="14" fillId="381" borderId="13" xfId="0" applyFont="1" applyFill="1" applyBorder="1"/>
    <xf numFmtId="0" fontId="14" fillId="382" borderId="10" xfId="0" applyFont="1" applyFill="1" applyBorder="1"/>
    <xf numFmtId="0" fontId="14" fillId="366" borderId="14" xfId="0" applyFont="1" applyFill="1" applyBorder="1"/>
    <xf numFmtId="0" fontId="14" fillId="236" borderId="14" xfId="0" applyFont="1" applyFill="1" applyBorder="1"/>
    <xf numFmtId="0" fontId="14" fillId="270" borderId="14" xfId="0" applyFont="1" applyFill="1" applyBorder="1"/>
    <xf numFmtId="0" fontId="14" fillId="249" borderId="13" xfId="0" applyFont="1" applyFill="1" applyBorder="1"/>
    <xf numFmtId="0" fontId="14" fillId="212" borderId="10" xfId="0" applyFont="1" applyFill="1" applyBorder="1"/>
    <xf numFmtId="0" fontId="14" fillId="378" borderId="13" xfId="0" applyFont="1" applyFill="1" applyBorder="1"/>
    <xf numFmtId="0" fontId="14" fillId="383" borderId="13" xfId="0" applyFont="1" applyFill="1" applyBorder="1"/>
    <xf numFmtId="0" fontId="14" fillId="204" borderId="10" xfId="0" applyFont="1" applyFill="1" applyBorder="1"/>
    <xf numFmtId="0" fontId="14" fillId="286" borderId="14" xfId="0" applyFont="1" applyFill="1" applyBorder="1"/>
    <xf numFmtId="0" fontId="14" fillId="217" borderId="14" xfId="0" applyFont="1" applyFill="1" applyBorder="1"/>
    <xf numFmtId="0" fontId="14" fillId="384" borderId="10" xfId="0" applyFont="1" applyFill="1" applyBorder="1"/>
    <xf numFmtId="0" fontId="14" fillId="238" borderId="10" xfId="0" applyFont="1" applyFill="1" applyBorder="1"/>
    <xf numFmtId="0" fontId="14" fillId="273" borderId="14" xfId="0" applyFont="1" applyFill="1" applyBorder="1"/>
    <xf numFmtId="0" fontId="14" fillId="385" borderId="10" xfId="0" applyFont="1" applyFill="1" applyBorder="1"/>
    <xf numFmtId="0" fontId="14" fillId="386" borderId="10" xfId="0" applyFont="1" applyFill="1" applyBorder="1"/>
    <xf numFmtId="0" fontId="14" fillId="306" borderId="13" xfId="0" applyFont="1" applyFill="1" applyBorder="1"/>
    <xf numFmtId="0" fontId="14" fillId="168" borderId="10" xfId="0" applyFont="1" applyFill="1" applyBorder="1"/>
    <xf numFmtId="0" fontId="14" fillId="0" borderId="40" xfId="0" applyFont="1" applyBorder="1" applyAlignment="1">
      <alignment horizontal="center"/>
    </xf>
    <xf numFmtId="0" fontId="14" fillId="0" borderId="41" xfId="0" applyFont="1" applyBorder="1" applyAlignment="1">
      <alignment horizontal="center"/>
    </xf>
    <xf numFmtId="0" fontId="14" fillId="81" borderId="38" xfId="0" applyFont="1" applyFill="1" applyBorder="1"/>
    <xf numFmtId="0" fontId="14" fillId="81" borderId="42" xfId="0" applyFont="1" applyFill="1" applyBorder="1"/>
    <xf numFmtId="0" fontId="14" fillId="81" borderId="43" xfId="0" applyFont="1" applyFill="1" applyBorder="1"/>
    <xf numFmtId="0" fontId="14" fillId="0" borderId="44" xfId="0" applyFont="1" applyBorder="1"/>
    <xf numFmtId="0" fontId="14" fillId="0" borderId="45" xfId="0" applyFont="1" applyBorder="1"/>
    <xf numFmtId="0" fontId="14" fillId="0" borderId="39" xfId="0" applyFont="1" applyBorder="1"/>
    <xf numFmtId="0" fontId="14" fillId="0" borderId="46" xfId="0" applyFont="1" applyBorder="1"/>
    <xf numFmtId="165" fontId="0" fillId="0" borderId="0" xfId="1" applyNumberFormat="1" applyFont="1"/>
    <xf numFmtId="0" fontId="0" fillId="15" borderId="0" xfId="0" applyFill="1"/>
    <xf numFmtId="0" fontId="0" fillId="15" borderId="6" xfId="0" applyFill="1" applyBorder="1"/>
    <xf numFmtId="0" fontId="0" fillId="15" borderId="7" xfId="0" applyFill="1" applyBorder="1"/>
    <xf numFmtId="0" fontId="0" fillId="15" borderId="8" xfId="0" applyFill="1" applyBorder="1"/>
    <xf numFmtId="0" fontId="0" fillId="15" borderId="47" xfId="0" applyFill="1" applyBorder="1"/>
    <xf numFmtId="0" fontId="0" fillId="15" borderId="48" xfId="0" applyFill="1" applyBorder="1"/>
    <xf numFmtId="0" fontId="16" fillId="15" borderId="0" xfId="0" applyFont="1" applyFill="1"/>
    <xf numFmtId="0" fontId="0" fillId="15" borderId="0" xfId="0" applyFill="1" applyAlignment="1">
      <alignment vertical="top"/>
    </xf>
    <xf numFmtId="0" fontId="18" fillId="15" borderId="0" xfId="0" applyFont="1" applyFill="1"/>
    <xf numFmtId="0" fontId="1" fillId="15" borderId="0" xfId="0" applyFont="1" applyFill="1"/>
    <xf numFmtId="0" fontId="0" fillId="15" borderId="49" xfId="0" applyFill="1" applyBorder="1"/>
    <xf numFmtId="0" fontId="0" fillId="15" borderId="50" xfId="0" applyFill="1" applyBorder="1"/>
    <xf numFmtId="0" fontId="0" fillId="15" borderId="51" xfId="0" applyFill="1" applyBorder="1"/>
    <xf numFmtId="0" fontId="1" fillId="0" borderId="52" xfId="0" applyFont="1" applyBorder="1"/>
    <xf numFmtId="0" fontId="19" fillId="15" borderId="0" xfId="0" applyFont="1" applyFill="1"/>
    <xf numFmtId="0" fontId="19" fillId="389" borderId="53" xfId="0" applyFont="1" applyFill="1" applyBorder="1" applyAlignment="1">
      <alignment horizontal="center" vertical="center" wrapText="1"/>
    </xf>
    <xf numFmtId="0" fontId="19" fillId="389" borderId="14" xfId="0" applyFont="1" applyFill="1" applyBorder="1" applyAlignment="1">
      <alignment horizontal="center" vertical="center" wrapText="1"/>
    </xf>
    <xf numFmtId="0" fontId="19" fillId="18" borderId="14" xfId="0" applyFont="1" applyFill="1" applyBorder="1" applyAlignment="1">
      <alignment horizontal="center" vertical="center" wrapText="1"/>
    </xf>
    <xf numFmtId="0" fontId="19" fillId="18" borderId="14" xfId="0" applyFont="1" applyFill="1" applyBorder="1" applyAlignment="1">
      <alignment horizontal="center" wrapText="1"/>
    </xf>
    <xf numFmtId="0" fontId="20" fillId="0" borderId="0" xfId="0" applyFont="1"/>
    <xf numFmtId="0" fontId="20" fillId="15" borderId="0" xfId="0" applyFont="1" applyFill="1"/>
    <xf numFmtId="2" fontId="20" fillId="15" borderId="0" xfId="0" applyNumberFormat="1" applyFont="1" applyFill="1"/>
    <xf numFmtId="166" fontId="20" fillId="15" borderId="0" xfId="0" applyNumberFormat="1" applyFont="1" applyFill="1" applyAlignment="1">
      <alignment horizontal="left" indent="1"/>
    </xf>
    <xf numFmtId="0" fontId="21" fillId="15" borderId="0" xfId="0" applyFont="1" applyFill="1" applyAlignment="1">
      <alignment horizontal="center" vertical="center" wrapText="1"/>
    </xf>
    <xf numFmtId="2" fontId="20" fillId="15" borderId="0" xfId="0" applyNumberFormat="1" applyFont="1" applyFill="1" applyAlignment="1">
      <alignment horizontal="center"/>
    </xf>
    <xf numFmtId="2" fontId="20" fillId="15" borderId="0" xfId="0" quotePrefix="1" applyNumberFormat="1" applyFont="1" applyFill="1" applyAlignment="1">
      <alignment horizontal="center"/>
    </xf>
    <xf numFmtId="0" fontId="20" fillId="15" borderId="0" xfId="0" applyFont="1" applyFill="1" applyAlignment="1">
      <alignment horizontal="center"/>
    </xf>
    <xf numFmtId="2" fontId="20" fillId="15" borderId="0" xfId="0" quotePrefix="1" applyNumberFormat="1" applyFont="1" applyFill="1" applyAlignment="1">
      <alignment horizontal="right"/>
    </xf>
    <xf numFmtId="0" fontId="19" fillId="389" borderId="14" xfId="0" applyFont="1" applyFill="1" applyBorder="1" applyAlignment="1">
      <alignment horizontal="center" wrapText="1"/>
    </xf>
    <xf numFmtId="0" fontId="22" fillId="2" borderId="1" xfId="2" applyFont="1" applyAlignment="1">
      <alignment horizontal="left"/>
    </xf>
    <xf numFmtId="0" fontId="0" fillId="15" borderId="0" xfId="0" applyFill="1" applyAlignment="1">
      <alignment horizontal="right" vertical="center"/>
    </xf>
    <xf numFmtId="0" fontId="16" fillId="15" borderId="0" xfId="0" applyFont="1" applyFill="1" applyAlignment="1">
      <alignment horizontal="right" vertical="center"/>
    </xf>
    <xf numFmtId="0" fontId="0" fillId="0" borderId="0" xfId="0" applyAlignment="1">
      <alignment horizontal="right" vertical="center"/>
    </xf>
    <xf numFmtId="0" fontId="16" fillId="388" borderId="0" xfId="0" applyFont="1" applyFill="1" applyAlignment="1">
      <alignment horizontal="right" vertical="center"/>
    </xf>
    <xf numFmtId="0" fontId="16" fillId="391" borderId="0" xfId="0" applyFont="1" applyFill="1" applyAlignment="1">
      <alignment horizontal="right" vertical="center"/>
    </xf>
    <xf numFmtId="2" fontId="0" fillId="15" borderId="50" xfId="0" applyNumberFormat="1" applyFill="1" applyBorder="1"/>
    <xf numFmtId="0" fontId="25" fillId="0" borderId="0" xfId="0" applyFont="1" applyAlignment="1">
      <alignment vertical="center"/>
    </xf>
    <xf numFmtId="0" fontId="8" fillId="0" borderId="0" xfId="3" applyAlignment="1">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0" fillId="15" borderId="0" xfId="0" applyFill="1" applyAlignment="1">
      <alignment horizontal="center" vertical="center" wrapText="1"/>
    </xf>
    <xf numFmtId="0" fontId="0" fillId="12" borderId="0" xfId="0" applyFill="1" applyAlignment="1">
      <alignment horizontal="center" vertical="center" wrapText="1"/>
    </xf>
    <xf numFmtId="0" fontId="0" fillId="9" borderId="0" xfId="0" applyFill="1" applyAlignment="1">
      <alignment horizontal="center" vertical="center" wrapText="1"/>
    </xf>
    <xf numFmtId="0" fontId="0" fillId="392" borderId="0" xfId="0" applyFill="1" applyAlignment="1">
      <alignment horizontal="center" vertical="center" wrapText="1"/>
    </xf>
    <xf numFmtId="0" fontId="23" fillId="392" borderId="0" xfId="0" applyFont="1" applyFill="1" applyAlignment="1">
      <alignment horizontal="center" vertical="center" wrapText="1"/>
    </xf>
    <xf numFmtId="0" fontId="23" fillId="0" borderId="0" xfId="0" applyFont="1" applyAlignment="1">
      <alignment horizontal="center" vertical="center" wrapText="1"/>
    </xf>
    <xf numFmtId="0" fontId="28" fillId="0" borderId="0" xfId="0" applyFont="1" applyAlignment="1">
      <alignment horizontal="left" vertical="center" indent="7"/>
    </xf>
    <xf numFmtId="0" fontId="30" fillId="0" borderId="0" xfId="0" applyFont="1" applyAlignment="1">
      <alignment horizontal="left" vertical="center" indent="9"/>
    </xf>
    <xf numFmtId="0" fontId="26" fillId="0" borderId="0" xfId="0" applyFont="1" applyAlignment="1">
      <alignment horizontal="left" vertical="center" indent="7"/>
    </xf>
    <xf numFmtId="0" fontId="8" fillId="0" borderId="0" xfId="3" applyAlignment="1">
      <alignment horizontal="left" vertical="center" indent="7"/>
    </xf>
    <xf numFmtId="0" fontId="28" fillId="0" borderId="0" xfId="0" applyFont="1" applyAlignment="1">
      <alignment horizontal="left" vertical="center" indent="4"/>
    </xf>
    <xf numFmtId="0" fontId="37" fillId="0" borderId="0" xfId="0" applyFont="1" applyAlignment="1">
      <alignment horizontal="left" vertical="center" indent="4"/>
    </xf>
    <xf numFmtId="0" fontId="28" fillId="0" borderId="0" xfId="0" applyFont="1" applyAlignment="1">
      <alignment horizontal="left" vertical="center" indent="2"/>
    </xf>
    <xf numFmtId="0" fontId="30" fillId="0" borderId="0" xfId="0" applyFont="1" applyAlignment="1">
      <alignment horizontal="left" vertical="center" indent="7"/>
    </xf>
    <xf numFmtId="0" fontId="26" fillId="0" borderId="0" xfId="0" applyFont="1" applyAlignment="1">
      <alignment horizontal="left" vertical="center" indent="2"/>
    </xf>
    <xf numFmtId="0" fontId="28" fillId="0" borderId="0" xfId="0" applyFont="1" applyAlignment="1">
      <alignment horizontal="left" vertical="center" indent="5"/>
    </xf>
    <xf numFmtId="0" fontId="26" fillId="0" borderId="0" xfId="0" applyFont="1" applyAlignment="1">
      <alignment horizontal="left" vertical="center" indent="1"/>
    </xf>
    <xf numFmtId="0" fontId="26" fillId="0" borderId="0" xfId="0" applyFont="1" applyAlignment="1">
      <alignment horizontal="left" vertical="center" indent="4"/>
    </xf>
    <xf numFmtId="0" fontId="0" fillId="390" borderId="1" xfId="2" applyFont="1" applyFill="1" applyAlignment="1">
      <alignment horizontal="right"/>
    </xf>
    <xf numFmtId="0" fontId="15" fillId="15" borderId="0" xfId="0" applyFont="1" applyFill="1"/>
    <xf numFmtId="0" fontId="17" fillId="0" borderId="0" xfId="0" applyFont="1"/>
    <xf numFmtId="2" fontId="0" fillId="15" borderId="0" xfId="1" applyNumberFormat="1" applyFont="1" applyFill="1"/>
    <xf numFmtId="0" fontId="1" fillId="387" borderId="0" xfId="0" applyFont="1" applyFill="1" applyAlignment="1">
      <alignment horizontal="center" vertical="center"/>
    </xf>
    <xf numFmtId="0" fontId="1" fillId="387" borderId="0" xfId="0" applyFont="1" applyFill="1" applyAlignment="1">
      <alignment horizontal="center" vertical="center" wrapText="1"/>
    </xf>
    <xf numFmtId="2" fontId="0" fillId="15" borderId="0" xfId="0" applyNumberFormat="1" applyFill="1"/>
    <xf numFmtId="0" fontId="19" fillId="393" borderId="14" xfId="0" applyFont="1" applyFill="1" applyBorder="1" applyAlignment="1">
      <alignment horizontal="center" vertical="center" wrapText="1"/>
    </xf>
    <xf numFmtId="0" fontId="0" fillId="0" borderId="14" xfId="0" applyBorder="1"/>
    <xf numFmtId="0" fontId="13" fillId="21" borderId="54" xfId="0" applyFont="1" applyFill="1" applyBorder="1" applyAlignment="1">
      <alignment vertical="center"/>
    </xf>
    <xf numFmtId="0" fontId="13" fillId="21" borderId="56" xfId="0" applyFont="1" applyFill="1" applyBorder="1" applyAlignment="1">
      <alignment vertical="center"/>
    </xf>
    <xf numFmtId="0" fontId="13" fillId="21" borderId="57" xfId="0" applyFont="1" applyFill="1" applyBorder="1" applyAlignment="1">
      <alignment vertical="center"/>
    </xf>
    <xf numFmtId="0" fontId="13" fillId="22" borderId="57" xfId="0" applyFont="1" applyFill="1" applyBorder="1" applyAlignment="1">
      <alignment vertical="center"/>
    </xf>
    <xf numFmtId="0" fontId="13" fillId="22" borderId="58" xfId="0" applyFont="1" applyFill="1" applyBorder="1" applyAlignment="1">
      <alignment vertical="center"/>
    </xf>
    <xf numFmtId="0" fontId="13" fillId="22" borderId="59" xfId="0" applyFont="1" applyFill="1" applyBorder="1" applyAlignment="1">
      <alignment vertical="center"/>
    </xf>
    <xf numFmtId="0" fontId="13" fillId="21" borderId="47" xfId="0" applyFont="1" applyFill="1" applyBorder="1" applyAlignment="1">
      <alignment vertical="center"/>
    </xf>
    <xf numFmtId="0" fontId="13" fillId="21" borderId="48" xfId="0" applyFont="1" applyFill="1" applyBorder="1" applyAlignment="1">
      <alignment vertical="center"/>
    </xf>
    <xf numFmtId="0" fontId="13" fillId="21" borderId="55" xfId="0" applyFont="1" applyFill="1" applyBorder="1" applyAlignment="1">
      <alignment horizontal="center" vertical="center"/>
    </xf>
    <xf numFmtId="0" fontId="13" fillId="21" borderId="48" xfId="0" applyFont="1" applyFill="1" applyBorder="1" applyAlignment="1">
      <alignment horizontal="center" vertical="center"/>
    </xf>
    <xf numFmtId="0" fontId="13" fillId="21" borderId="56" xfId="0" applyFont="1" applyFill="1" applyBorder="1" applyAlignment="1">
      <alignment vertical="center" wrapText="1"/>
    </xf>
    <xf numFmtId="0" fontId="13" fillId="21" borderId="57" xfId="0" applyFont="1" applyFill="1" applyBorder="1" applyAlignment="1">
      <alignment vertical="center" wrapText="1"/>
    </xf>
    <xf numFmtId="0" fontId="13" fillId="21" borderId="57" xfId="0" applyFont="1" applyFill="1" applyBorder="1" applyAlignment="1">
      <alignment horizontal="center" vertical="center" wrapText="1"/>
    </xf>
    <xf numFmtId="0" fontId="13" fillId="21" borderId="59" xfId="0" applyFont="1" applyFill="1" applyBorder="1" applyAlignment="1">
      <alignment vertical="center" wrapText="1"/>
    </xf>
    <xf numFmtId="164" fontId="12" fillId="19" borderId="57" xfId="0" applyNumberFormat="1" applyFont="1" applyFill="1" applyBorder="1" applyAlignment="1">
      <alignment horizontal="center" vertical="center" wrapText="1"/>
    </xf>
    <xf numFmtId="164" fontId="12" fillId="19" borderId="58" xfId="0" applyNumberFormat="1" applyFont="1" applyFill="1" applyBorder="1" applyAlignment="1">
      <alignment horizontal="center" vertical="center" wrapText="1"/>
    </xf>
    <xf numFmtId="0" fontId="14" fillId="129" borderId="19" xfId="0" applyFont="1" applyFill="1" applyBorder="1"/>
    <xf numFmtId="0" fontId="14" fillId="82" borderId="38" xfId="0" applyFont="1" applyFill="1" applyBorder="1"/>
    <xf numFmtId="0" fontId="14" fillId="24" borderId="19" xfId="0" applyFont="1" applyFill="1" applyBorder="1"/>
    <xf numFmtId="0" fontId="14" fillId="346" borderId="38" xfId="0" applyFont="1" applyFill="1" applyBorder="1"/>
    <xf numFmtId="0" fontId="14" fillId="313" borderId="19" xfId="0" applyFont="1" applyFill="1" applyBorder="1"/>
    <xf numFmtId="0" fontId="14" fillId="101" borderId="39" xfId="0" applyFont="1" applyFill="1" applyBorder="1"/>
    <xf numFmtId="0" fontId="13" fillId="21" borderId="0" xfId="0" applyFont="1" applyFill="1" applyAlignment="1">
      <alignment vertical="center"/>
    </xf>
    <xf numFmtId="0" fontId="13" fillId="21" borderId="60" xfId="0" applyFont="1" applyFill="1" applyBorder="1" applyAlignment="1">
      <alignment vertical="center"/>
    </xf>
    <xf numFmtId="0" fontId="13" fillId="21" borderId="61" xfId="0" applyFont="1" applyFill="1" applyBorder="1" applyAlignment="1">
      <alignment horizontal="center" vertical="center"/>
    </xf>
    <xf numFmtId="164" fontId="12" fillId="19" borderId="0" xfId="0" applyNumberFormat="1" applyFont="1" applyFill="1" applyAlignment="1">
      <alignment horizontal="center" vertical="center" wrapText="1"/>
    </xf>
    <xf numFmtId="0" fontId="43" fillId="0" borderId="16" xfId="0" applyFont="1" applyBorder="1"/>
    <xf numFmtId="0" fontId="14" fillId="56" borderId="13" xfId="0" applyFont="1" applyFill="1" applyBorder="1"/>
    <xf numFmtId="0" fontId="14" fillId="297" borderId="10" xfId="0" applyFont="1" applyFill="1" applyBorder="1"/>
    <xf numFmtId="0" fontId="14" fillId="123" borderId="13" xfId="0" applyFont="1" applyFill="1" applyBorder="1"/>
    <xf numFmtId="0" fontId="14" fillId="53" borderId="13" xfId="0" applyFont="1" applyFill="1" applyBorder="1"/>
    <xf numFmtId="0" fontId="14" fillId="54" borderId="10" xfId="0" applyFont="1" applyFill="1" applyBorder="1"/>
    <xf numFmtId="0" fontId="14" fillId="69" borderId="13" xfId="0" applyFont="1" applyFill="1" applyBorder="1"/>
    <xf numFmtId="0" fontId="14" fillId="98" borderId="10" xfId="0" applyFont="1" applyFill="1" applyBorder="1"/>
    <xf numFmtId="0" fontId="14" fillId="101" borderId="10" xfId="0" applyFont="1" applyFill="1" applyBorder="1"/>
    <xf numFmtId="0" fontId="14" fillId="112" borderId="13" xfId="0" applyFont="1" applyFill="1" applyBorder="1"/>
    <xf numFmtId="0" fontId="14" fillId="117" borderId="13" xfId="0" applyFont="1" applyFill="1" applyBorder="1"/>
    <xf numFmtId="0" fontId="14" fillId="231" borderId="10" xfId="0" applyFont="1" applyFill="1" applyBorder="1"/>
    <xf numFmtId="0" fontId="14" fillId="185" borderId="13" xfId="0" applyFont="1" applyFill="1" applyBorder="1"/>
    <xf numFmtId="0" fontId="14" fillId="187" borderId="10" xfId="0" applyFont="1" applyFill="1" applyBorder="1"/>
    <xf numFmtId="0" fontId="14" fillId="194" borderId="13" xfId="0" applyFont="1" applyFill="1" applyBorder="1"/>
    <xf numFmtId="0" fontId="14" fillId="183" borderId="13" xfId="0" applyFont="1" applyFill="1" applyBorder="1"/>
    <xf numFmtId="0" fontId="14" fillId="251" borderId="13" xfId="0" applyFont="1" applyFill="1" applyBorder="1"/>
    <xf numFmtId="0" fontId="14" fillId="282" borderId="10" xfId="0" applyFont="1" applyFill="1" applyBorder="1"/>
    <xf numFmtId="0" fontId="14" fillId="122" borderId="13" xfId="0" applyFont="1" applyFill="1" applyBorder="1"/>
    <xf numFmtId="0" fontId="14" fillId="294" borderId="13" xfId="0" applyFont="1" applyFill="1" applyBorder="1"/>
    <xf numFmtId="0" fontId="14" fillId="117" borderId="10" xfId="0" applyFont="1" applyFill="1" applyBorder="1"/>
    <xf numFmtId="0" fontId="14" fillId="110" borderId="13" xfId="0" applyFont="1" applyFill="1" applyBorder="1"/>
    <xf numFmtId="0" fontId="14" fillId="330" borderId="13" xfId="0" applyFont="1" applyFill="1" applyBorder="1"/>
    <xf numFmtId="0" fontId="43" fillId="0" borderId="0" xfId="0" applyFont="1"/>
    <xf numFmtId="0" fontId="14" fillId="196" borderId="13" xfId="0" applyFont="1" applyFill="1" applyBorder="1"/>
    <xf numFmtId="0" fontId="14" fillId="352" borderId="13" xfId="0" applyFont="1" applyFill="1" applyBorder="1"/>
    <xf numFmtId="0" fontId="14" fillId="283" borderId="10" xfId="0" applyFont="1" applyFill="1" applyBorder="1"/>
    <xf numFmtId="0" fontId="14" fillId="337" borderId="13" xfId="0" applyFont="1" applyFill="1" applyBorder="1"/>
    <xf numFmtId="0" fontId="14" fillId="64" borderId="13" xfId="0" applyFont="1" applyFill="1" applyBorder="1"/>
    <xf numFmtId="0" fontId="14" fillId="360" borderId="13" xfId="0" applyFont="1" applyFill="1" applyBorder="1"/>
    <xf numFmtId="0" fontId="14" fillId="178" borderId="13" xfId="0" applyFont="1" applyFill="1" applyBorder="1"/>
    <xf numFmtId="0" fontId="14" fillId="135" borderId="10" xfId="0" applyFont="1" applyFill="1" applyBorder="1"/>
    <xf numFmtId="0" fontId="14" fillId="80" borderId="13" xfId="0" applyFont="1" applyFill="1" applyBorder="1"/>
    <xf numFmtId="0" fontId="14" fillId="190" borderId="13" xfId="0" applyFont="1" applyFill="1" applyBorder="1"/>
    <xf numFmtId="0" fontId="43" fillId="0" borderId="33" xfId="0" applyFont="1" applyBorder="1"/>
    <xf numFmtId="0" fontId="14" fillId="157" borderId="13" xfId="0" applyFont="1" applyFill="1" applyBorder="1"/>
    <xf numFmtId="0" fontId="43" fillId="0" borderId="26" xfId="0" applyFont="1" applyBorder="1"/>
    <xf numFmtId="0" fontId="14" fillId="382" borderId="13" xfId="0" applyFont="1" applyFill="1" applyBorder="1"/>
    <xf numFmtId="0" fontId="14" fillId="0" borderId="62" xfId="0" applyFont="1" applyBorder="1"/>
    <xf numFmtId="0" fontId="43" fillId="0" borderId="17" xfId="0" applyFont="1" applyBorder="1"/>
    <xf numFmtId="0" fontId="43" fillId="75" borderId="13" xfId="0" applyFont="1" applyFill="1" applyBorder="1"/>
    <xf numFmtId="0" fontId="43" fillId="75" borderId="10" xfId="0" applyFont="1" applyFill="1" applyBorder="1"/>
    <xf numFmtId="0" fontId="43" fillId="260" borderId="10" xfId="0" applyFont="1" applyFill="1" applyBorder="1"/>
    <xf numFmtId="0" fontId="43" fillId="260" borderId="14" xfId="0" applyFont="1" applyFill="1" applyBorder="1"/>
    <xf numFmtId="0" fontId="43" fillId="56" borderId="10" xfId="0" applyFont="1" applyFill="1" applyBorder="1"/>
    <xf numFmtId="0" fontId="43" fillId="86" borderId="10" xfId="0" applyFont="1" applyFill="1" applyBorder="1"/>
    <xf numFmtId="0" fontId="43" fillId="261" borderId="10" xfId="0" applyFont="1" applyFill="1" applyBorder="1"/>
    <xf numFmtId="0" fontId="43" fillId="262" borderId="14" xfId="0" applyFont="1" applyFill="1" applyBorder="1"/>
    <xf numFmtId="0" fontId="43" fillId="189" borderId="10" xfId="0" applyFont="1" applyFill="1" applyBorder="1"/>
    <xf numFmtId="0" fontId="43" fillId="126" borderId="10" xfId="0" applyFont="1" applyFill="1" applyBorder="1"/>
    <xf numFmtId="0" fontId="43" fillId="166" borderId="14" xfId="0" applyFont="1" applyFill="1" applyBorder="1"/>
    <xf numFmtId="0" fontId="43" fillId="136" borderId="13" xfId="0" applyFont="1" applyFill="1" applyBorder="1"/>
    <xf numFmtId="0" fontId="43" fillId="159" borderId="10" xfId="0" applyFont="1" applyFill="1" applyBorder="1"/>
    <xf numFmtId="0" fontId="43" fillId="192" borderId="10" xfId="0" applyFont="1" applyFill="1" applyBorder="1"/>
    <xf numFmtId="0" fontId="43" fillId="163" borderId="14" xfId="0" applyFont="1" applyFill="1" applyBorder="1"/>
    <xf numFmtId="0" fontId="43" fillId="263" borderId="13" xfId="0" applyFont="1" applyFill="1" applyBorder="1"/>
    <xf numFmtId="0" fontId="43" fillId="97" borderId="10" xfId="0" applyFont="1" applyFill="1" applyBorder="1"/>
    <xf numFmtId="0" fontId="43" fillId="151" borderId="10" xfId="0" applyFont="1" applyFill="1" applyBorder="1"/>
    <xf numFmtId="0" fontId="43" fillId="264" borderId="10" xfId="0" applyFont="1" applyFill="1" applyBorder="1"/>
    <xf numFmtId="0" fontId="43" fillId="265" borderId="14" xfId="0" applyFont="1" applyFill="1" applyBorder="1"/>
    <xf numFmtId="0" fontId="43" fillId="172" borderId="10" xfId="0" applyFont="1" applyFill="1" applyBorder="1"/>
    <xf numFmtId="0" fontId="43" fillId="54" borderId="14" xfId="0" applyFont="1" applyFill="1" applyBorder="1"/>
    <xf numFmtId="0" fontId="43" fillId="266" borderId="13" xfId="0" applyFont="1" applyFill="1" applyBorder="1"/>
    <xf numFmtId="0" fontId="43" fillId="157" borderId="10" xfId="0" applyFont="1" applyFill="1" applyBorder="1"/>
    <xf numFmtId="0" fontId="43" fillId="218" borderId="10" xfId="0" applyFont="1" applyFill="1" applyBorder="1"/>
    <xf numFmtId="0" fontId="43" fillId="267" borderId="10" xfId="0" applyFont="1" applyFill="1" applyBorder="1"/>
    <xf numFmtId="0" fontId="43" fillId="268" borderId="14" xfId="0" applyFont="1" applyFill="1" applyBorder="1"/>
    <xf numFmtId="0" fontId="43" fillId="160" borderId="10" xfId="0" applyFont="1" applyFill="1" applyBorder="1"/>
    <xf numFmtId="0" fontId="43" fillId="104" borderId="10" xfId="0" applyFont="1" applyFill="1" applyBorder="1"/>
    <xf numFmtId="0" fontId="43" fillId="24" borderId="10" xfId="0" applyFont="1" applyFill="1" applyBorder="1"/>
    <xf numFmtId="0" fontId="43" fillId="60" borderId="14" xfId="0" applyFont="1" applyFill="1" applyBorder="1"/>
    <xf numFmtId="0" fontId="43" fillId="269" borderId="13" xfId="0" applyFont="1" applyFill="1" applyBorder="1"/>
    <xf numFmtId="0" fontId="43" fillId="269" borderId="10" xfId="0" applyFont="1" applyFill="1" applyBorder="1"/>
    <xf numFmtId="0" fontId="43" fillId="59" borderId="10" xfId="0" applyFont="1" applyFill="1" applyBorder="1"/>
    <xf numFmtId="0" fontId="43" fillId="59" borderId="14" xfId="0" applyFont="1" applyFill="1" applyBorder="1"/>
    <xf numFmtId="0" fontId="43" fillId="189" borderId="13" xfId="0" applyFont="1" applyFill="1" applyBorder="1"/>
    <xf numFmtId="0" fontId="43" fillId="233" borderId="10" xfId="0" applyFont="1" applyFill="1" applyBorder="1"/>
    <xf numFmtId="0" fontId="43" fillId="108" borderId="10" xfId="0" applyFont="1" applyFill="1" applyBorder="1"/>
    <xf numFmtId="0" fontId="43" fillId="218" borderId="14" xfId="0" applyFont="1" applyFill="1" applyBorder="1"/>
    <xf numFmtId="0" fontId="43" fillId="197" borderId="13" xfId="0" applyFont="1" applyFill="1" applyBorder="1"/>
    <xf numFmtId="0" fontId="43" fillId="270" borderId="10" xfId="0" applyFont="1" applyFill="1" applyBorder="1"/>
    <xf numFmtId="0" fontId="43" fillId="271" borderId="10" xfId="0" applyFont="1" applyFill="1" applyBorder="1"/>
    <xf numFmtId="0" fontId="43" fillId="61" borderId="10" xfId="0" applyFont="1" applyFill="1" applyBorder="1"/>
    <xf numFmtId="0" fontId="43" fillId="25" borderId="14" xfId="0" applyFont="1" applyFill="1" applyBorder="1"/>
    <xf numFmtId="0" fontId="43" fillId="145" borderId="10" xfId="0" applyFont="1" applyFill="1" applyBorder="1"/>
    <xf numFmtId="0" fontId="43" fillId="185" borderId="10" xfId="0" applyFont="1" applyFill="1" applyBorder="1"/>
    <xf numFmtId="0" fontId="43" fillId="242" borderId="15" xfId="0" applyFont="1" applyFill="1" applyBorder="1"/>
    <xf numFmtId="0" fontId="43" fillId="218" borderId="18" xfId="0" applyFont="1" applyFill="1" applyBorder="1"/>
    <xf numFmtId="0" fontId="43" fillId="272" borderId="17" xfId="0" applyFont="1" applyFill="1" applyBorder="1"/>
    <xf numFmtId="0" fontId="43" fillId="273" borderId="15" xfId="0" applyFont="1" applyFill="1" applyBorder="1"/>
    <xf numFmtId="0" fontId="43" fillId="216" borderId="18" xfId="0" applyFont="1" applyFill="1" applyBorder="1"/>
    <xf numFmtId="0" fontId="43" fillId="193" borderId="17" xfId="0" applyFont="1" applyFill="1" applyBorder="1"/>
    <xf numFmtId="0" fontId="43" fillId="119" borderId="14" xfId="0" applyFont="1" applyFill="1" applyBorder="1"/>
    <xf numFmtId="0" fontId="43" fillId="59" borderId="18" xfId="0" applyFont="1" applyFill="1" applyBorder="1"/>
    <xf numFmtId="0" fontId="43" fillId="274" borderId="17" xfId="0" applyFont="1" applyFill="1" applyBorder="1"/>
    <xf numFmtId="0" fontId="43" fillId="271" borderId="15" xfId="0" applyFont="1" applyFill="1" applyBorder="1"/>
    <xf numFmtId="0" fontId="43" fillId="0" borderId="27" xfId="0" applyFont="1" applyBorder="1" applyAlignment="1">
      <alignment horizontal="center"/>
    </xf>
    <xf numFmtId="0" fontId="43" fillId="0" borderId="28" xfId="0" applyFont="1" applyBorder="1" applyAlignment="1">
      <alignment horizontal="center"/>
    </xf>
    <xf numFmtId="0" fontId="43" fillId="81" borderId="18" xfId="0" applyFont="1" applyFill="1" applyBorder="1"/>
    <xf numFmtId="0" fontId="43" fillId="81" borderId="16" xfId="0" applyFont="1" applyFill="1" applyBorder="1"/>
    <xf numFmtId="0" fontId="43" fillId="81" borderId="29" xfId="0" applyFont="1" applyFill="1" applyBorder="1"/>
    <xf numFmtId="0" fontId="43" fillId="0" borderId="13" xfId="0" applyFont="1" applyBorder="1"/>
    <xf numFmtId="0" fontId="43" fillId="0" borderId="10" xfId="0" applyFont="1" applyBorder="1"/>
    <xf numFmtId="0" fontId="43" fillId="0" borderId="15" xfId="0" applyFont="1" applyBorder="1"/>
    <xf numFmtId="0" fontId="43" fillId="0" borderId="25" xfId="0" applyFont="1" applyBorder="1"/>
    <xf numFmtId="0" fontId="43" fillId="0" borderId="10" xfId="0" applyFont="1" applyBorder="1" applyAlignment="1">
      <alignment wrapText="1"/>
    </xf>
    <xf numFmtId="0" fontId="43" fillId="0" borderId="14" xfId="0" applyFont="1" applyBorder="1"/>
    <xf numFmtId="0" fontId="44" fillId="0" borderId="26" xfId="0" applyFont="1" applyBorder="1"/>
    <xf numFmtId="0" fontId="44" fillId="0" borderId="16" xfId="0" applyFont="1" applyBorder="1"/>
    <xf numFmtId="0" fontId="43" fillId="394" borderId="16" xfId="0" applyFont="1" applyFill="1" applyBorder="1"/>
    <xf numFmtId="0" fontId="0" fillId="394" borderId="0" xfId="0" applyFill="1"/>
    <xf numFmtId="0" fontId="34" fillId="394" borderId="0" xfId="0" applyFont="1" applyFill="1" applyAlignment="1">
      <alignment horizontal="left" vertical="center" indent="7"/>
    </xf>
    <xf numFmtId="0" fontId="36" fillId="394" borderId="0" xfId="0" applyFont="1" applyFill="1" applyAlignment="1">
      <alignment horizontal="left" vertical="center" indent="7"/>
    </xf>
    <xf numFmtId="0" fontId="27" fillId="7" borderId="0" xfId="0" applyFont="1" applyFill="1" applyAlignment="1">
      <alignment horizontal="left" vertical="center" indent="2"/>
    </xf>
    <xf numFmtId="0" fontId="0" fillId="7" borderId="0" xfId="0" applyFill="1"/>
    <xf numFmtId="0" fontId="0" fillId="0" borderId="0" xfId="0" applyAlignment="1">
      <alignment horizontal="left"/>
    </xf>
    <xf numFmtId="0" fontId="26" fillId="0" borderId="0" xfId="0" applyFont="1" applyAlignment="1">
      <alignment horizontal="left" vertical="center"/>
    </xf>
    <xf numFmtId="0" fontId="27" fillId="0" borderId="0" xfId="0" applyFont="1" applyAlignment="1">
      <alignment horizontal="left" vertical="center"/>
    </xf>
    <xf numFmtId="0" fontId="8" fillId="0" borderId="0" xfId="3"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top" wrapText="1"/>
    </xf>
    <xf numFmtId="0" fontId="39" fillId="0" borderId="0" xfId="0" applyFont="1" applyAlignment="1">
      <alignment horizontal="left" vertical="center" wrapText="1"/>
    </xf>
    <xf numFmtId="0" fontId="24" fillId="0" borderId="0" xfId="0" applyFont="1" applyAlignment="1">
      <alignment horizontal="left" vertical="center"/>
    </xf>
    <xf numFmtId="0" fontId="42" fillId="0" borderId="0" xfId="0" applyFont="1" applyAlignment="1">
      <alignment horizontal="left" vertical="center"/>
    </xf>
    <xf numFmtId="0" fontId="45" fillId="0" borderId="0" xfId="0" applyFont="1" applyAlignment="1">
      <alignment horizontal="left" vertical="center"/>
    </xf>
    <xf numFmtId="2" fontId="0" fillId="0" borderId="0" xfId="0" applyNumberFormat="1"/>
    <xf numFmtId="0" fontId="0" fillId="395" borderId="0" xfId="0" applyFill="1"/>
    <xf numFmtId="0" fontId="46" fillId="0" borderId="0" xfId="0" applyFont="1"/>
    <xf numFmtId="0" fontId="0" fillId="0" borderId="0" xfId="0" applyAlignment="1">
      <alignment horizontal="center"/>
    </xf>
    <xf numFmtId="0" fontId="0" fillId="396" borderId="0" xfId="0" applyFill="1"/>
    <xf numFmtId="0" fontId="0" fillId="0" borderId="0" xfId="0" quotePrefix="1" applyAlignment="1">
      <alignment horizontal="center"/>
    </xf>
    <xf numFmtId="0" fontId="0" fillId="397" borderId="0" xfId="0" applyFill="1"/>
    <xf numFmtId="0" fontId="0" fillId="4" borderId="0" xfId="0" applyFill="1"/>
    <xf numFmtId="0" fontId="0" fillId="398" borderId="0" xfId="0" applyFill="1"/>
    <xf numFmtId="0" fontId="0" fillId="399" borderId="0" xfId="0" applyFill="1"/>
    <xf numFmtId="9" fontId="0" fillId="0" borderId="0" xfId="1" applyFont="1"/>
    <xf numFmtId="0" fontId="47" fillId="0" borderId="0" xfId="0" applyFont="1" applyAlignment="1">
      <alignment horizontal="center" vertical="center" wrapText="1"/>
    </xf>
    <xf numFmtId="0" fontId="48" fillId="0" borderId="0" xfId="0" applyFont="1" applyAlignment="1">
      <alignment horizontal="left" vertical="center"/>
    </xf>
    <xf numFmtId="0" fontId="49" fillId="0" borderId="0" xfId="0" applyFont="1" applyAlignment="1">
      <alignment horizontal="center" vertical="center" wrapText="1"/>
    </xf>
    <xf numFmtId="0" fontId="50" fillId="0" borderId="0" xfId="0" applyFont="1" applyAlignment="1">
      <alignment horizontal="left" vertical="center"/>
    </xf>
    <xf numFmtId="0" fontId="51" fillId="400" borderId="0" xfId="0" applyFont="1" applyFill="1" applyAlignment="1">
      <alignment horizontal="center" vertical="center" wrapText="1"/>
    </xf>
    <xf numFmtId="0" fontId="52" fillId="15" borderId="0" xfId="0" applyFont="1" applyFill="1" applyAlignment="1">
      <alignment horizontal="left" vertical="center" wrapText="1"/>
    </xf>
    <xf numFmtId="0" fontId="52" fillId="0" borderId="0" xfId="0" applyFont="1" applyAlignment="1">
      <alignment horizontal="left" vertical="center" wrapText="1"/>
    </xf>
    <xf numFmtId="0" fontId="52" fillId="12" borderId="0" xfId="0" applyFont="1" applyFill="1" applyAlignment="1">
      <alignment horizontal="left" vertical="center" wrapText="1"/>
    </xf>
    <xf numFmtId="0" fontId="52" fillId="401" borderId="0" xfId="0" applyFont="1" applyFill="1" applyAlignment="1">
      <alignment horizontal="left" vertical="center" wrapText="1"/>
    </xf>
    <xf numFmtId="0" fontId="52" fillId="9" borderId="0" xfId="0" applyFont="1" applyFill="1" applyAlignment="1">
      <alignment horizontal="left" vertical="center" wrapText="1"/>
    </xf>
    <xf numFmtId="0" fontId="52" fillId="402" borderId="0" xfId="0" applyFont="1" applyFill="1" applyAlignment="1">
      <alignment horizontal="left" vertical="center" wrapText="1"/>
    </xf>
    <xf numFmtId="0" fontId="52" fillId="392" borderId="0" xfId="0" applyFont="1" applyFill="1" applyAlignment="1">
      <alignment horizontal="left" vertical="center" wrapText="1"/>
    </xf>
    <xf numFmtId="0" fontId="52" fillId="403" borderId="0" xfId="0" applyFont="1" applyFill="1" applyAlignment="1">
      <alignment horizontal="left" vertical="center" wrapText="1"/>
    </xf>
    <xf numFmtId="0" fontId="53" fillId="0" borderId="0" xfId="0" applyFont="1" applyAlignment="1">
      <alignment horizontal="center"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56" fillId="0" borderId="0" xfId="0" applyFont="1" applyAlignment="1">
      <alignment horizontal="center" vertical="center" wrapText="1"/>
    </xf>
    <xf numFmtId="0" fontId="56" fillId="404" borderId="0" xfId="0" applyFont="1" applyFill="1" applyAlignment="1">
      <alignment horizontal="center" vertical="center" wrapText="1"/>
    </xf>
    <xf numFmtId="167" fontId="51" fillId="400" borderId="0" xfId="0" applyNumberFormat="1" applyFont="1" applyFill="1" applyAlignment="1">
      <alignment horizontal="center" vertical="center" wrapText="1"/>
    </xf>
    <xf numFmtId="0" fontId="57" fillId="0" borderId="0" xfId="0" applyFont="1" applyAlignment="1">
      <alignment horizontal="center" vertical="center" wrapText="1"/>
    </xf>
    <xf numFmtId="0" fontId="57" fillId="405" borderId="0" xfId="0" applyFont="1" applyFill="1" applyAlignment="1">
      <alignment horizontal="center" vertical="center" wrapText="1"/>
    </xf>
    <xf numFmtId="0" fontId="58" fillId="392" borderId="0" xfId="0" applyFont="1" applyFill="1" applyAlignment="1">
      <alignment horizontal="center" vertical="center" wrapText="1"/>
    </xf>
    <xf numFmtId="0" fontId="58" fillId="0" borderId="0" xfId="0" applyFont="1" applyAlignment="1">
      <alignment horizontal="center" vertical="center" wrapText="1"/>
    </xf>
    <xf numFmtId="0" fontId="57" fillId="6" borderId="0" xfId="0" applyFont="1" applyFill="1" applyAlignment="1">
      <alignment horizontal="center" vertical="center" wrapText="1"/>
    </xf>
    <xf numFmtId="0" fontId="0" fillId="22" borderId="0" xfId="0" applyFill="1"/>
    <xf numFmtId="0" fontId="0" fillId="388" borderId="0" xfId="0" applyFill="1" applyAlignment="1">
      <alignment horizontal="left" vertical="center" wrapText="1"/>
    </xf>
    <xf numFmtId="0" fontId="0" fillId="391" borderId="0" xfId="0" applyFill="1" applyAlignment="1">
      <alignment horizontal="left" vertical="center" wrapText="1"/>
    </xf>
    <xf numFmtId="0" fontId="0" fillId="15" borderId="0" xfId="0" applyFill="1" applyAlignment="1">
      <alignment horizontal="left" wrapText="1"/>
    </xf>
    <xf numFmtId="0" fontId="1" fillId="391" borderId="0" xfId="0" applyFont="1" applyFill="1" applyAlignment="1">
      <alignment horizontal="center" vertical="center" wrapText="1"/>
    </xf>
    <xf numFmtId="0" fontId="52" fillId="391" borderId="0" xfId="0" applyFont="1" applyFill="1" applyAlignment="1">
      <alignment horizontal="center" vertical="center"/>
    </xf>
    <xf numFmtId="0" fontId="52" fillId="391" borderId="0" xfId="0" applyFont="1" applyFill="1" applyAlignment="1">
      <alignment horizontal="center" vertical="center" wrapText="1"/>
    </xf>
    <xf numFmtId="0" fontId="6" fillId="14" borderId="6" xfId="0" applyFont="1" applyFill="1" applyBorder="1" applyAlignment="1">
      <alignment horizontal="center" vertical="center"/>
    </xf>
    <xf numFmtId="0" fontId="6" fillId="14" borderId="7" xfId="0" applyFont="1" applyFill="1" applyBorder="1" applyAlignment="1">
      <alignment horizontal="center" vertical="center"/>
    </xf>
    <xf numFmtId="0" fontId="6" fillId="14" borderId="8" xfId="0" applyFont="1" applyFill="1" applyBorder="1" applyAlignment="1">
      <alignment horizontal="center" vertical="center"/>
    </xf>
    <xf numFmtId="0" fontId="6" fillId="17" borderId="6" xfId="0" applyFont="1" applyFill="1" applyBorder="1" applyAlignment="1">
      <alignment horizontal="center" vertical="center" wrapText="1"/>
    </xf>
    <xf numFmtId="0" fontId="6" fillId="17" borderId="8" xfId="0" applyFont="1" applyFill="1" applyBorder="1" applyAlignment="1">
      <alignment horizontal="center" vertical="center" wrapText="1"/>
    </xf>
    <xf numFmtId="0" fontId="6" fillId="18" borderId="6" xfId="0" applyFont="1" applyFill="1" applyBorder="1" applyAlignment="1">
      <alignment horizontal="center" vertical="top"/>
    </xf>
    <xf numFmtId="0" fontId="6" fillId="18" borderId="7" xfId="0" applyFont="1" applyFill="1" applyBorder="1" applyAlignment="1">
      <alignment horizontal="center" vertical="top"/>
    </xf>
    <xf numFmtId="0" fontId="6" fillId="18" borderId="8" xfId="0" applyFont="1" applyFill="1" applyBorder="1" applyAlignment="1">
      <alignment horizontal="center" vertical="top"/>
    </xf>
  </cellXfs>
  <cellStyles count="4">
    <cellStyle name="Hyperlink" xfId="3" builtinId="8"/>
    <cellStyle name="Input" xfId="2" builtinId="20"/>
    <cellStyle name="Normal" xfId="0" builtinId="0"/>
    <cellStyle name="Percent" xfId="1" builtinId="5"/>
  </cellStyles>
  <dxfs count="67">
    <dxf>
      <fill>
        <patternFill>
          <bgColor rgb="FFFFFF00"/>
        </patternFill>
      </fill>
    </dxf>
    <dxf>
      <fill>
        <patternFill>
          <bgColor theme="7"/>
        </patternFill>
      </fill>
    </dxf>
    <dxf>
      <fill>
        <patternFill>
          <bgColor theme="7" tint="0.59996337778862885"/>
        </patternFill>
      </fill>
    </dxf>
    <dxf>
      <fill>
        <patternFill>
          <bgColor theme="7" tint="0.79998168889431442"/>
        </patternFill>
      </fill>
    </dxf>
    <dxf>
      <fill>
        <patternFill>
          <bgColor theme="7"/>
        </patternFill>
      </fill>
    </dxf>
    <dxf>
      <fill>
        <patternFill>
          <bgColor theme="7" tint="0.59996337778862885"/>
        </patternFill>
      </fill>
    </dxf>
    <dxf>
      <fill>
        <patternFill>
          <bgColor theme="7" tint="0.79998168889431442"/>
        </patternFill>
      </fill>
    </dxf>
    <dxf>
      <fill>
        <patternFill>
          <bgColor theme="7"/>
        </patternFill>
      </fill>
    </dxf>
    <dxf>
      <fill>
        <patternFill>
          <bgColor theme="7" tint="0.59996337778862885"/>
        </patternFill>
      </fill>
    </dxf>
    <dxf>
      <fill>
        <patternFill>
          <bgColor theme="7" tint="0.79998168889431442"/>
        </patternFill>
      </fill>
    </dxf>
    <dxf>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A9D08E"/>
        </patternFill>
      </fill>
      <border diagonalUp="0" diagonalDown="0">
        <left style="thin">
          <color rgb="FF000000"/>
        </left>
        <right style="medium">
          <color indexed="64"/>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A9D08E"/>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A9D08E"/>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right style="medium">
          <color indexed="64"/>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alignment horizontal="center" vertical="bottom" textRotation="0" wrapText="0" indent="0" justifyLastLine="0" shrinkToFit="0" readingOrder="0"/>
      <border diagonalUp="0" diagonalDown="0">
        <left style="medium">
          <color indexed="64"/>
        </left>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82C77C"/>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DEA83"/>
        </patternFill>
      </fill>
      <border diagonalUp="0" diagonalDown="0">
        <left style="medium">
          <color indexed="64"/>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D2DE81"/>
        </patternFill>
      </fill>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5E883"/>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D8DF8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8696B"/>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8696B"/>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B1D47F"/>
        </patternFill>
      </fill>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FEB84"/>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D8E082"/>
        </patternFill>
      </fill>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minor"/>
      </font>
      <fill>
        <patternFill patternType="solid">
          <fgColor rgb="FF000000"/>
          <bgColor rgb="FF71C27B"/>
        </patternFill>
      </fill>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fill>
        <patternFill patternType="solid">
          <fgColor rgb="FF000000"/>
          <bgColor rgb="FFF9847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family val="2"/>
        <scheme val="minor"/>
      </font>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Calibri"/>
        <family val="2"/>
        <scheme val="minor"/>
      </font>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Calibri"/>
        <family val="2"/>
        <scheme val="minor"/>
      </font>
      <border diagonalUp="0" diagonalDown="0">
        <left style="thin">
          <color rgb="FF000000"/>
        </left>
        <right style="thin">
          <color rgb="FF000000"/>
        </right>
        <top style="thin">
          <color rgb="FF000000"/>
        </top>
        <bottom style="thin">
          <color rgb="FF000000"/>
        </bottom>
        <vertical/>
        <horizontal/>
      </border>
    </dxf>
    <dxf>
      <border outline="0">
        <right style="thin">
          <color indexed="64"/>
        </right>
        <top style="thin">
          <color indexed="64"/>
        </top>
      </border>
    </dxf>
    <dxf>
      <font>
        <b/>
        <i val="0"/>
        <strike val="0"/>
        <condense val="0"/>
        <extend val="0"/>
        <outline val="0"/>
        <shadow val="0"/>
        <u val="none"/>
        <vertAlign val="baseline"/>
        <sz val="11"/>
        <color auto="1"/>
        <name val="Calibri"/>
        <family val="2"/>
        <scheme val="none"/>
      </font>
      <numFmt numFmtId="164" formatCode="0.0"/>
      <fill>
        <patternFill patternType="solid">
          <fgColor rgb="FF000000"/>
          <bgColor rgb="FFB3E49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21373D"/>
        <name val="Open Sans Light"/>
        <family val="2"/>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2"/>
        <color rgb="FF21373D"/>
        <name val="Open Sans Light"/>
        <family val="2"/>
        <scheme val="none"/>
      </font>
      <numFmt numFmtId="0" formatCode="General"/>
      <fill>
        <patternFill patternType="solid">
          <fgColor indexed="64"/>
          <bgColor rgb="FFFA7572"/>
        </patternFill>
      </fill>
      <alignment horizontal="center" vertical="center" textRotation="0" wrapText="1" indent="0" justifyLastLine="0" shrinkToFit="0" readingOrder="0"/>
    </dxf>
    <dxf>
      <font>
        <b val="0"/>
        <i val="0"/>
        <strike val="0"/>
        <condense val="0"/>
        <extend val="0"/>
        <outline val="0"/>
        <shadow val="0"/>
        <u val="none"/>
        <vertAlign val="baseline"/>
        <sz val="12"/>
        <color rgb="FF21373D"/>
        <name val="Open Sans Light"/>
        <family val="2"/>
        <scheme val="none"/>
      </font>
      <numFmt numFmtId="0" formatCode="General"/>
      <fill>
        <patternFill patternType="solid">
          <fgColor indexed="64"/>
          <bgColor rgb="FFFA7572"/>
        </patternFill>
      </fill>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strike val="0"/>
        <outline val="0"/>
        <shadow val="0"/>
        <u val="none"/>
        <vertAlign val="baseline"/>
        <color rgb="FF21373D"/>
        <name val="Open Sans Light"/>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theme="1"/>
        <name val="Jost Light"/>
        <scheme val="none"/>
      </font>
      <fill>
        <patternFill patternType="solid">
          <fgColor indexed="64"/>
          <bgColor rgb="FF035066"/>
        </patternFill>
      </fill>
      <alignment horizontal="center" vertical="center" textRotation="0" wrapText="1" indent="0" justifyLastLine="0" shrinkToFit="0" readingOrder="0"/>
    </dxf>
  </dxfs>
  <tableStyles count="0" defaultTableStyle="TableStyleMedium2" defaultPivotStyle="PivotStyleLight16"/>
  <colors>
    <mruColors>
      <color rgb="FF21373D"/>
      <color rgb="FFFFCCCC"/>
      <color rgb="FFFA7572"/>
      <color rgb="FFD9E1F2"/>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8</xdr:col>
      <xdr:colOff>355600</xdr:colOff>
      <xdr:row>6</xdr:row>
      <xdr:rowOff>120651</xdr:rowOff>
    </xdr:from>
    <xdr:to>
      <xdr:col>13</xdr:col>
      <xdr:colOff>19050</xdr:colOff>
      <xdr:row>10</xdr:row>
      <xdr:rowOff>72167</xdr:rowOff>
    </xdr:to>
    <xdr:pic>
      <xdr:nvPicPr>
        <xdr:cNvPr id="2" name="Picture 1">
          <a:extLst>
            <a:ext uri="{FF2B5EF4-FFF2-40B4-BE49-F238E27FC236}">
              <a16:creationId xmlns:a16="http://schemas.microsoft.com/office/drawing/2014/main" id="{174605E7-C531-426D-8DEC-7A04E7CD8C29}"/>
            </a:ext>
          </a:extLst>
        </xdr:cNvPr>
        <xdr:cNvPicPr>
          <a:picLocks noChangeAspect="1"/>
        </xdr:cNvPicPr>
      </xdr:nvPicPr>
      <xdr:blipFill>
        <a:blip xmlns:r="http://schemas.openxmlformats.org/officeDocument/2006/relationships" r:embed="rId1"/>
        <a:stretch>
          <a:fillRect/>
        </a:stretch>
      </xdr:blipFill>
      <xdr:spPr>
        <a:xfrm>
          <a:off x="4622800" y="1225551"/>
          <a:ext cx="2711450" cy="688116"/>
        </a:xfrm>
        <a:prstGeom prst="rect">
          <a:avLst/>
        </a:prstGeom>
      </xdr:spPr>
    </xdr:pic>
    <xdr:clientData/>
  </xdr:twoCellAnchor>
  <xdr:twoCellAnchor editAs="oneCell">
    <xdr:from>
      <xdr:col>13</xdr:col>
      <xdr:colOff>406401</xdr:colOff>
      <xdr:row>6</xdr:row>
      <xdr:rowOff>82550</xdr:rowOff>
    </xdr:from>
    <xdr:to>
      <xdr:col>16</xdr:col>
      <xdr:colOff>267501</xdr:colOff>
      <xdr:row>10</xdr:row>
      <xdr:rowOff>165100</xdr:rowOff>
    </xdr:to>
    <xdr:pic>
      <xdr:nvPicPr>
        <xdr:cNvPr id="3" name="Picture 2">
          <a:extLst>
            <a:ext uri="{FF2B5EF4-FFF2-40B4-BE49-F238E27FC236}">
              <a16:creationId xmlns:a16="http://schemas.microsoft.com/office/drawing/2014/main" id="{B23621C0-AC84-4E02-A768-1C198803FD19}"/>
            </a:ext>
          </a:extLst>
        </xdr:cNvPr>
        <xdr:cNvPicPr>
          <a:picLocks noChangeAspect="1"/>
        </xdr:cNvPicPr>
      </xdr:nvPicPr>
      <xdr:blipFill>
        <a:blip xmlns:r="http://schemas.openxmlformats.org/officeDocument/2006/relationships" r:embed="rId2"/>
        <a:stretch>
          <a:fillRect/>
        </a:stretch>
      </xdr:blipFill>
      <xdr:spPr>
        <a:xfrm>
          <a:off x="7721601" y="1187450"/>
          <a:ext cx="1689900" cy="819150"/>
        </a:xfrm>
        <a:prstGeom prst="rect">
          <a:avLst/>
        </a:prstGeom>
      </xdr:spPr>
    </xdr:pic>
    <xdr:clientData/>
  </xdr:twoCellAnchor>
  <xdr:twoCellAnchor editAs="oneCell">
    <xdr:from>
      <xdr:col>8</xdr:col>
      <xdr:colOff>349577</xdr:colOff>
      <xdr:row>2</xdr:row>
      <xdr:rowOff>76200</xdr:rowOff>
    </xdr:from>
    <xdr:to>
      <xdr:col>10</xdr:col>
      <xdr:colOff>247650</xdr:colOff>
      <xdr:row>5</xdr:row>
      <xdr:rowOff>20885</xdr:rowOff>
    </xdr:to>
    <xdr:pic>
      <xdr:nvPicPr>
        <xdr:cNvPr id="4" name="Picture 3">
          <a:extLst>
            <a:ext uri="{FF2B5EF4-FFF2-40B4-BE49-F238E27FC236}">
              <a16:creationId xmlns:a16="http://schemas.microsoft.com/office/drawing/2014/main" id="{55502BC6-419C-CE74-B13A-32BB60AB73F6}"/>
            </a:ext>
          </a:extLst>
        </xdr:cNvPr>
        <xdr:cNvPicPr>
          <a:picLocks noChangeAspect="1"/>
        </xdr:cNvPicPr>
      </xdr:nvPicPr>
      <xdr:blipFill>
        <a:blip xmlns:r="http://schemas.openxmlformats.org/officeDocument/2006/relationships" r:embed="rId3"/>
        <a:stretch>
          <a:fillRect/>
        </a:stretch>
      </xdr:blipFill>
      <xdr:spPr>
        <a:xfrm>
          <a:off x="4616777" y="444500"/>
          <a:ext cx="1117273" cy="497135"/>
        </a:xfrm>
        <a:prstGeom prst="rect">
          <a:avLst/>
        </a:prstGeom>
      </xdr:spPr>
    </xdr:pic>
    <xdr:clientData/>
  </xdr:twoCellAnchor>
  <xdr:twoCellAnchor editAs="oneCell">
    <xdr:from>
      <xdr:col>10</xdr:col>
      <xdr:colOff>292100</xdr:colOff>
      <xdr:row>1</xdr:row>
      <xdr:rowOff>107951</xdr:rowOff>
    </xdr:from>
    <xdr:to>
      <xdr:col>17</xdr:col>
      <xdr:colOff>423824</xdr:colOff>
      <xdr:row>5</xdr:row>
      <xdr:rowOff>32133</xdr:rowOff>
    </xdr:to>
    <xdr:pic>
      <xdr:nvPicPr>
        <xdr:cNvPr id="5" name="Picture 4">
          <a:extLst>
            <a:ext uri="{FF2B5EF4-FFF2-40B4-BE49-F238E27FC236}">
              <a16:creationId xmlns:a16="http://schemas.microsoft.com/office/drawing/2014/main" id="{55570535-5654-FD1D-56D2-44CB0DB09DEA}"/>
            </a:ext>
          </a:extLst>
        </xdr:cNvPr>
        <xdr:cNvPicPr>
          <a:picLocks noChangeAspect="1"/>
        </xdr:cNvPicPr>
      </xdr:nvPicPr>
      <xdr:blipFill>
        <a:blip xmlns:r="http://schemas.openxmlformats.org/officeDocument/2006/relationships" r:embed="rId4"/>
        <a:stretch>
          <a:fillRect/>
        </a:stretch>
      </xdr:blipFill>
      <xdr:spPr>
        <a:xfrm>
          <a:off x="5778500" y="292101"/>
          <a:ext cx="4398924" cy="660782"/>
        </a:xfrm>
        <a:prstGeom prst="rect">
          <a:avLst/>
        </a:prstGeom>
      </xdr:spPr>
    </xdr:pic>
    <xdr:clientData/>
  </xdr:twoCellAnchor>
  <xdr:twoCellAnchor editAs="oneCell">
    <xdr:from>
      <xdr:col>11</xdr:col>
      <xdr:colOff>521654</xdr:colOff>
      <xdr:row>11</xdr:row>
      <xdr:rowOff>119828</xdr:rowOff>
    </xdr:from>
    <xdr:to>
      <xdr:col>13</xdr:col>
      <xdr:colOff>381000</xdr:colOff>
      <xdr:row>15</xdr:row>
      <xdr:rowOff>84654</xdr:rowOff>
    </xdr:to>
    <xdr:pic>
      <xdr:nvPicPr>
        <xdr:cNvPr id="6" name="Picture 5">
          <a:extLst>
            <a:ext uri="{FF2B5EF4-FFF2-40B4-BE49-F238E27FC236}">
              <a16:creationId xmlns:a16="http://schemas.microsoft.com/office/drawing/2014/main" id="{0C63DF8D-0C58-490D-8710-9B0AA0E46271}"/>
            </a:ext>
          </a:extLst>
        </xdr:cNvPr>
        <xdr:cNvPicPr>
          <a:picLocks noChangeAspect="1"/>
        </xdr:cNvPicPr>
      </xdr:nvPicPr>
      <xdr:blipFill>
        <a:blip xmlns:r="http://schemas.openxmlformats.org/officeDocument/2006/relationships" r:embed="rId5"/>
        <a:stretch>
          <a:fillRect/>
        </a:stretch>
      </xdr:blipFill>
      <xdr:spPr>
        <a:xfrm>
          <a:off x="6554154" y="2215328"/>
          <a:ext cx="1065846" cy="782044"/>
        </a:xfrm>
        <a:prstGeom prst="rect">
          <a:avLst/>
        </a:prstGeom>
      </xdr:spPr>
    </xdr:pic>
    <xdr:clientData/>
  </xdr:twoCellAnchor>
  <xdr:twoCellAnchor editAs="oneCell">
    <xdr:from>
      <xdr:col>13</xdr:col>
      <xdr:colOff>451273</xdr:colOff>
      <xdr:row>11</xdr:row>
      <xdr:rowOff>143838</xdr:rowOff>
    </xdr:from>
    <xdr:to>
      <xdr:col>15</xdr:col>
      <xdr:colOff>321990</xdr:colOff>
      <xdr:row>15</xdr:row>
      <xdr:rowOff>109539</xdr:rowOff>
    </xdr:to>
    <xdr:pic>
      <xdr:nvPicPr>
        <xdr:cNvPr id="7" name="Picture 6">
          <a:extLst>
            <a:ext uri="{FF2B5EF4-FFF2-40B4-BE49-F238E27FC236}">
              <a16:creationId xmlns:a16="http://schemas.microsoft.com/office/drawing/2014/main" id="{F8D0F6DB-21B3-431A-9D03-4A653C508025}"/>
            </a:ext>
          </a:extLst>
        </xdr:cNvPr>
        <xdr:cNvPicPr>
          <a:picLocks noChangeAspect="1"/>
        </xdr:cNvPicPr>
      </xdr:nvPicPr>
      <xdr:blipFill>
        <a:blip xmlns:r="http://schemas.openxmlformats.org/officeDocument/2006/relationships" r:embed="rId6"/>
        <a:stretch>
          <a:fillRect/>
        </a:stretch>
      </xdr:blipFill>
      <xdr:spPr>
        <a:xfrm>
          <a:off x="7690273" y="2239338"/>
          <a:ext cx="1077217" cy="782919"/>
        </a:xfrm>
        <a:prstGeom prst="rect">
          <a:avLst/>
        </a:prstGeom>
      </xdr:spPr>
    </xdr:pic>
    <xdr:clientData/>
  </xdr:twoCellAnchor>
  <xdr:twoCellAnchor editAs="oneCell">
    <xdr:from>
      <xdr:col>9</xdr:col>
      <xdr:colOff>254000</xdr:colOff>
      <xdr:row>11</xdr:row>
      <xdr:rowOff>79376</xdr:rowOff>
    </xdr:from>
    <xdr:to>
      <xdr:col>11</xdr:col>
      <xdr:colOff>418027</xdr:colOff>
      <xdr:row>15</xdr:row>
      <xdr:rowOff>87658</xdr:rowOff>
    </xdr:to>
    <xdr:pic>
      <xdr:nvPicPr>
        <xdr:cNvPr id="8" name="Picture 7">
          <a:extLst>
            <a:ext uri="{FF2B5EF4-FFF2-40B4-BE49-F238E27FC236}">
              <a16:creationId xmlns:a16="http://schemas.microsoft.com/office/drawing/2014/main" id="{3ED607CC-9619-4D42-B230-7ADD45E78D60}"/>
            </a:ext>
          </a:extLst>
        </xdr:cNvPr>
        <xdr:cNvPicPr>
          <a:picLocks noChangeAspect="1"/>
        </xdr:cNvPicPr>
      </xdr:nvPicPr>
      <xdr:blipFill>
        <a:blip xmlns:r="http://schemas.openxmlformats.org/officeDocument/2006/relationships" r:embed="rId7"/>
        <a:stretch>
          <a:fillRect/>
        </a:stretch>
      </xdr:blipFill>
      <xdr:spPr>
        <a:xfrm>
          <a:off x="5683250" y="2174876"/>
          <a:ext cx="1370527" cy="825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47625</xdr:colOff>
      <xdr:row>215</xdr:row>
      <xdr:rowOff>63500</xdr:rowOff>
    </xdr:from>
    <xdr:to>
      <xdr:col>23</xdr:col>
      <xdr:colOff>396875</xdr:colOff>
      <xdr:row>231</xdr:row>
      <xdr:rowOff>44450</xdr:rowOff>
    </xdr:to>
    <xdr:pic>
      <xdr:nvPicPr>
        <xdr:cNvPr id="6" name="Picture 1" descr="Map of UK, showing sea level rise data predictions">
          <a:extLst>
            <a:ext uri="{FF2B5EF4-FFF2-40B4-BE49-F238E27FC236}">
              <a16:creationId xmlns:a16="http://schemas.microsoft.com/office/drawing/2014/main" id="{1D0BEA9D-7483-2D41-7E94-5CF4C4F4E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2846" t="9007"/>
        <a:stretch>
          <a:fillRect/>
        </a:stretch>
      </xdr:blipFill>
      <xdr:spPr bwMode="auto">
        <a:xfrm>
          <a:off x="8493125" y="42783125"/>
          <a:ext cx="5778500" cy="382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539750</xdr:colOff>
      <xdr:row>315</xdr:row>
      <xdr:rowOff>15875</xdr:rowOff>
    </xdr:from>
    <xdr:to>
      <xdr:col>29</xdr:col>
      <xdr:colOff>596900</xdr:colOff>
      <xdr:row>323</xdr:row>
      <xdr:rowOff>22225</xdr:rowOff>
    </xdr:to>
    <xdr:pic>
      <xdr:nvPicPr>
        <xdr:cNvPr id="7" name="Picture 2" descr="A map of the united kingdom showing areas at risk of subsidence&#10;">
          <a:extLst>
            <a:ext uri="{FF2B5EF4-FFF2-40B4-BE49-F238E27FC236}">
              <a16:creationId xmlns:a16="http://schemas.microsoft.com/office/drawing/2014/main" id="{098FB6F3-4B7F-295F-31AF-E2928B8C38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3758"/>
        <a:stretch>
          <a:fillRect/>
        </a:stretch>
      </xdr:blipFill>
      <xdr:spPr bwMode="auto">
        <a:xfrm>
          <a:off x="13811250" y="63277750"/>
          <a:ext cx="4279900" cy="2292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5</xdr:col>
      <xdr:colOff>527169</xdr:colOff>
      <xdr:row>15</xdr:row>
      <xdr:rowOff>6227</xdr:rowOff>
    </xdr:to>
    <xdr:pic>
      <xdr:nvPicPr>
        <xdr:cNvPr id="8" name="Picture 7">
          <a:extLst>
            <a:ext uri="{FF2B5EF4-FFF2-40B4-BE49-F238E27FC236}">
              <a16:creationId xmlns:a16="http://schemas.microsoft.com/office/drawing/2014/main" id="{61004344-98B3-46B2-886B-A9AA2429F5FE}"/>
            </a:ext>
          </a:extLst>
        </xdr:cNvPr>
        <xdr:cNvPicPr>
          <a:picLocks noChangeAspect="1"/>
        </xdr:cNvPicPr>
      </xdr:nvPicPr>
      <xdr:blipFill>
        <a:blip xmlns:r="http://schemas.openxmlformats.org/officeDocument/2006/relationships" r:embed="rId1"/>
        <a:stretch>
          <a:fillRect/>
        </a:stretch>
      </xdr:blipFill>
      <xdr:spPr>
        <a:xfrm>
          <a:off x="1" y="191698"/>
          <a:ext cx="3582357" cy="2522265"/>
        </a:xfrm>
        <a:prstGeom prst="rect">
          <a:avLst/>
        </a:prstGeom>
      </xdr:spPr>
    </xdr:pic>
    <xdr:clientData/>
  </xdr:twoCellAnchor>
  <xdr:twoCellAnchor editAs="oneCell">
    <xdr:from>
      <xdr:col>0</xdr:col>
      <xdr:colOff>0</xdr:colOff>
      <xdr:row>18</xdr:row>
      <xdr:rowOff>0</xdr:rowOff>
    </xdr:from>
    <xdr:to>
      <xdr:col>12</xdr:col>
      <xdr:colOff>179983</xdr:colOff>
      <xdr:row>47</xdr:row>
      <xdr:rowOff>14527</xdr:rowOff>
    </xdr:to>
    <xdr:pic>
      <xdr:nvPicPr>
        <xdr:cNvPr id="2" name="Picture 1">
          <a:extLst>
            <a:ext uri="{FF2B5EF4-FFF2-40B4-BE49-F238E27FC236}">
              <a16:creationId xmlns:a16="http://schemas.microsoft.com/office/drawing/2014/main" id="{41D4D28C-0CF2-C563-9C5C-E019116FCC9B}"/>
            </a:ext>
          </a:extLst>
        </xdr:cNvPr>
        <xdr:cNvPicPr>
          <a:picLocks noChangeAspect="1"/>
        </xdr:cNvPicPr>
      </xdr:nvPicPr>
      <xdr:blipFill>
        <a:blip xmlns:r="http://schemas.openxmlformats.org/officeDocument/2006/relationships" r:embed="rId2"/>
        <a:stretch>
          <a:fillRect/>
        </a:stretch>
      </xdr:blipFill>
      <xdr:spPr>
        <a:xfrm>
          <a:off x="0" y="3246887"/>
          <a:ext cx="7512436" cy="5226319"/>
        </a:xfrm>
        <a:prstGeom prst="rect">
          <a:avLst/>
        </a:prstGeom>
      </xdr:spPr>
    </xdr:pic>
    <xdr:clientData/>
  </xdr:twoCellAnchor>
  <xdr:twoCellAnchor editAs="oneCell">
    <xdr:from>
      <xdr:col>14</xdr:col>
      <xdr:colOff>0</xdr:colOff>
      <xdr:row>18</xdr:row>
      <xdr:rowOff>0</xdr:rowOff>
    </xdr:from>
    <xdr:to>
      <xdr:col>26</xdr:col>
      <xdr:colOff>179983</xdr:colOff>
      <xdr:row>46</xdr:row>
      <xdr:rowOff>168842</xdr:rowOff>
    </xdr:to>
    <xdr:pic>
      <xdr:nvPicPr>
        <xdr:cNvPr id="3" name="Picture 2">
          <a:extLst>
            <a:ext uri="{FF2B5EF4-FFF2-40B4-BE49-F238E27FC236}">
              <a16:creationId xmlns:a16="http://schemas.microsoft.com/office/drawing/2014/main" id="{50E73A88-8FA1-EA42-3BA1-8141CD194F1B}"/>
            </a:ext>
          </a:extLst>
        </xdr:cNvPr>
        <xdr:cNvPicPr>
          <a:picLocks noChangeAspect="1"/>
        </xdr:cNvPicPr>
      </xdr:nvPicPr>
      <xdr:blipFill>
        <a:blip xmlns:r="http://schemas.openxmlformats.org/officeDocument/2006/relationships" r:embed="rId3"/>
        <a:stretch>
          <a:fillRect/>
        </a:stretch>
      </xdr:blipFill>
      <xdr:spPr>
        <a:xfrm>
          <a:off x="8554528" y="3246887"/>
          <a:ext cx="7512436" cy="52009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KLMSVR210.eu01.europe.pangaea.lcl\Shared\Environment\Climate%20Change%20&amp;%20Sustainability\Climate%20Change%20Adaptation\00_General%20Climate%20Data%20&amp;%20Risks%20-%20from%20Sims%20Group%20Global.xlsx" TargetMode="External"/><Relationship Id="rId1" Type="http://schemas.openxmlformats.org/officeDocument/2006/relationships/externalLinkPath" Target="file:///\\UKLMSVR210.eu01.europe.pangaea.lcl\Shared\Environment\Climate%20Change%20&amp;%20Sustainability\Climate%20Change%20Adaptation\00_General%20Climate%20Data%20&amp;%20Risks%20-%20from%20Sims%20Group%20Glob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KLMSVR210.eu01.europe.pangaea.lcl\Shared\Environment\Climate%20Change%20&amp;%20Sustainability\Climate%20Change%20Adaptation\CCRA%20Halesowen.xlsx" TargetMode="External"/><Relationship Id="rId1" Type="http://schemas.openxmlformats.org/officeDocument/2006/relationships/externalLinkPath" Target="file:///\\UKLMSVR210.eu01.europe.pangaea.lcl\Shared\Environment\Climate%20Change%20&amp;%20Sustainability\Climate%20Change%20Adaptation\CCRA%20Halesow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2.3.24 - RA Revamp"/>
      <sheetName val="5.3.24 - RA General"/>
      <sheetName val="5.3.24 - Avm Example"/>
      <sheetName val="4.3.24"/>
      <sheetName val="Risk Assessment"/>
      <sheetName val="Risk Sites Old"/>
      <sheetName val="Site Overview"/>
      <sheetName val="Indicators"/>
      <sheetName val="6.3.24 - RA Streamline"/>
      <sheetName val="UK Risk &amp; Adaptation Summary"/>
      <sheetName val="CRI &amp; Risk Narrative"/>
      <sheetName val="Framework"/>
      <sheetName val="Impacts"/>
      <sheetName val="Lists"/>
      <sheetName val="CRI Program"/>
      <sheetName val="e.g. Mitigations"/>
    </sheetNames>
    <sheetDataSet>
      <sheetData sheetId="0"/>
      <sheetData sheetId="1"/>
      <sheetData sheetId="2"/>
      <sheetData sheetId="3"/>
      <sheetData sheetId="4"/>
      <sheetData sheetId="5"/>
      <sheetData sheetId="6"/>
      <sheetData sheetId="7">
        <row r="5">
          <cell r="B5" t="str">
            <v>Aldershot GBR</v>
          </cell>
          <cell r="C5" t="str">
            <v>GU11 2PX</v>
          </cell>
          <cell r="D5">
            <v>51.26</v>
          </cell>
          <cell r="E5">
            <v>-0.73</v>
          </cell>
          <cell r="F5">
            <v>238</v>
          </cell>
          <cell r="G5">
            <v>0.3</v>
          </cell>
          <cell r="I5">
            <v>4.7</v>
          </cell>
          <cell r="K5">
            <v>4.4000000000000004</v>
          </cell>
          <cell r="L5">
            <v>32.01</v>
          </cell>
          <cell r="N5">
            <v>39.619999999999997</v>
          </cell>
          <cell r="P5">
            <v>7.6</v>
          </cell>
          <cell r="Q5">
            <v>17.399999999999999</v>
          </cell>
          <cell r="S5">
            <v>22.04</v>
          </cell>
          <cell r="U5">
            <v>4.5999999999999996</v>
          </cell>
          <cell r="V5">
            <v>30.1</v>
          </cell>
          <cell r="X5">
            <v>76.5</v>
          </cell>
          <cell r="Z5">
            <v>46.4</v>
          </cell>
          <cell r="AA5">
            <v>1.3</v>
          </cell>
          <cell r="AC5">
            <v>0.1</v>
          </cell>
          <cell r="AE5">
            <v>-1.1000000000000001</v>
          </cell>
          <cell r="AF5">
            <v>0.27</v>
          </cell>
          <cell r="AH5">
            <v>5.7</v>
          </cell>
          <cell r="AJ5">
            <v>5.4</v>
          </cell>
          <cell r="AK5">
            <v>1.2</v>
          </cell>
          <cell r="AM5">
            <v>5.23</v>
          </cell>
          <cell r="AO5">
            <v>3.3</v>
          </cell>
          <cell r="AP5">
            <v>8</v>
          </cell>
          <cell r="AR5">
            <v>5</v>
          </cell>
          <cell r="AT5">
            <v>-2</v>
          </cell>
          <cell r="AU5">
            <v>11</v>
          </cell>
          <cell r="AW5">
            <v>11</v>
          </cell>
          <cell r="AY5">
            <v>0</v>
          </cell>
          <cell r="AZ5">
            <v>45</v>
          </cell>
          <cell r="BB5">
            <v>52</v>
          </cell>
          <cell r="BD5">
            <v>7</v>
          </cell>
          <cell r="BE5">
            <v>46</v>
          </cell>
          <cell r="BG5">
            <v>54</v>
          </cell>
          <cell r="BI5">
            <v>8</v>
          </cell>
          <cell r="BJ5">
            <v>25</v>
          </cell>
          <cell r="BL5">
            <v>67.099999999999994</v>
          </cell>
          <cell r="BN5">
            <v>41.9</v>
          </cell>
          <cell r="BO5">
            <v>-1.048</v>
          </cell>
          <cell r="BP5">
            <v>-11.265000000000001</v>
          </cell>
          <cell r="BQ5">
            <v>-10.199999999999999</v>
          </cell>
          <cell r="BS5">
            <v>46</v>
          </cell>
          <cell r="BT5">
            <v>21</v>
          </cell>
          <cell r="BV5">
            <v>-79.765000000000001</v>
          </cell>
          <cell r="BW5">
            <v>-72</v>
          </cell>
          <cell r="BY5" t="str">
            <v>No Risk</v>
          </cell>
          <cell r="BZ5" t="str">
            <v>Improbable</v>
          </cell>
          <cell r="CC5" t="str">
            <v>Medium</v>
          </cell>
          <cell r="CD5" t="str">
            <v>Very low</v>
          </cell>
          <cell r="CE5" t="str">
            <v>Low</v>
          </cell>
          <cell r="CF5" t="str">
            <v>Unlikely</v>
          </cell>
          <cell r="CG5" t="str">
            <v>Moderate to Low</v>
          </cell>
        </row>
        <row r="6">
          <cell r="B6" t="str">
            <v>Alfreton GBR</v>
          </cell>
          <cell r="C6" t="str">
            <v>DE55 4NH</v>
          </cell>
          <cell r="D6">
            <v>53.09</v>
          </cell>
          <cell r="E6">
            <v>-1.35</v>
          </cell>
          <cell r="F6">
            <v>830</v>
          </cell>
          <cell r="G6">
            <v>0.2</v>
          </cell>
          <cell r="I6">
            <v>2.7</v>
          </cell>
          <cell r="K6">
            <v>2.5</v>
          </cell>
          <cell r="L6">
            <v>30.98</v>
          </cell>
          <cell r="N6">
            <v>37.93</v>
          </cell>
          <cell r="P6">
            <v>6.9</v>
          </cell>
          <cell r="Q6">
            <v>16.29</v>
          </cell>
          <cell r="S6">
            <v>20.63</v>
          </cell>
          <cell r="U6">
            <v>4.3</v>
          </cell>
          <cell r="V6">
            <v>19.3</v>
          </cell>
          <cell r="X6">
            <v>52.5</v>
          </cell>
          <cell r="Z6">
            <v>33.200000000000003</v>
          </cell>
          <cell r="AA6">
            <v>1</v>
          </cell>
          <cell r="AC6">
            <v>0.1</v>
          </cell>
          <cell r="AE6">
            <v>-0.9</v>
          </cell>
          <cell r="AF6">
            <v>0.1</v>
          </cell>
          <cell r="AH6">
            <v>4.2</v>
          </cell>
          <cell r="AJ6">
            <v>4.0999999999999996</v>
          </cell>
          <cell r="AK6">
            <v>0.87</v>
          </cell>
          <cell r="AM6">
            <v>4.13</v>
          </cell>
          <cell r="AO6">
            <v>2.7</v>
          </cell>
          <cell r="AP6">
            <v>9</v>
          </cell>
          <cell r="AR6">
            <v>7</v>
          </cell>
          <cell r="AT6">
            <v>-2</v>
          </cell>
          <cell r="AU6">
            <v>11</v>
          </cell>
          <cell r="AW6">
            <v>11</v>
          </cell>
          <cell r="AY6">
            <v>0</v>
          </cell>
          <cell r="AZ6">
            <v>54</v>
          </cell>
          <cell r="BB6">
            <v>68</v>
          </cell>
          <cell r="BD6">
            <v>14</v>
          </cell>
          <cell r="BE6">
            <v>37</v>
          </cell>
          <cell r="BG6">
            <v>45</v>
          </cell>
          <cell r="BI6">
            <v>8</v>
          </cell>
          <cell r="BJ6">
            <v>16</v>
          </cell>
          <cell r="BL6">
            <v>46.3</v>
          </cell>
          <cell r="BN6">
            <v>30.8</v>
          </cell>
          <cell r="BO6">
            <v>-6.82</v>
          </cell>
          <cell r="BP6">
            <v>-28.37</v>
          </cell>
          <cell r="BQ6">
            <v>-21.6</v>
          </cell>
          <cell r="BS6">
            <v>63</v>
          </cell>
          <cell r="BT6">
            <v>25</v>
          </cell>
          <cell r="BV6">
            <v>-80.960999999999999</v>
          </cell>
          <cell r="BW6">
            <v>-70.599999999999994</v>
          </cell>
          <cell r="BY6" t="str">
            <v>No Risk</v>
          </cell>
          <cell r="BZ6" t="str">
            <v>Improbable</v>
          </cell>
          <cell r="CC6" t="str">
            <v>Low</v>
          </cell>
          <cell r="CD6" t="str">
            <v>Medium</v>
          </cell>
          <cell r="CE6" t="str">
            <v>Very low</v>
          </cell>
          <cell r="CF6" t="str">
            <v>Unlikely</v>
          </cell>
          <cell r="CG6" t="str">
            <v>Moderate to Low</v>
          </cell>
        </row>
        <row r="7">
          <cell r="B7" t="str">
            <v>Avonmouth GBR</v>
          </cell>
          <cell r="C7" t="str">
            <v>BS11 9BT</v>
          </cell>
          <cell r="D7">
            <v>51.51</v>
          </cell>
          <cell r="E7">
            <v>-2.7</v>
          </cell>
          <cell r="F7">
            <v>288</v>
          </cell>
          <cell r="G7">
            <v>0.1</v>
          </cell>
          <cell r="I7">
            <v>2.4</v>
          </cell>
          <cell r="K7">
            <v>2.2999999999999998</v>
          </cell>
          <cell r="L7">
            <v>30.88</v>
          </cell>
          <cell r="N7">
            <v>38.1</v>
          </cell>
          <cell r="P7">
            <v>7.2</v>
          </cell>
          <cell r="Q7">
            <v>17.47</v>
          </cell>
          <cell r="S7">
            <v>21.91</v>
          </cell>
          <cell r="U7">
            <v>4.4000000000000004</v>
          </cell>
          <cell r="V7">
            <v>19.8</v>
          </cell>
          <cell r="X7">
            <v>59.2</v>
          </cell>
          <cell r="Z7">
            <v>39.5</v>
          </cell>
          <cell r="AA7">
            <v>1</v>
          </cell>
          <cell r="AC7">
            <v>0.1</v>
          </cell>
          <cell r="AE7">
            <v>-0.9</v>
          </cell>
          <cell r="AF7">
            <v>0.13</v>
          </cell>
          <cell r="AH7">
            <v>2.6</v>
          </cell>
          <cell r="AJ7">
            <v>2.5</v>
          </cell>
          <cell r="AK7">
            <v>0.97</v>
          </cell>
          <cell r="AM7">
            <v>3.3</v>
          </cell>
          <cell r="AO7">
            <v>2.2999999999999998</v>
          </cell>
          <cell r="AP7">
            <v>10</v>
          </cell>
          <cell r="AR7">
            <v>7</v>
          </cell>
          <cell r="AT7">
            <v>-2</v>
          </cell>
          <cell r="AU7">
            <v>12</v>
          </cell>
          <cell r="AW7">
            <v>12</v>
          </cell>
          <cell r="AY7">
            <v>0</v>
          </cell>
          <cell r="AZ7">
            <v>45</v>
          </cell>
          <cell r="BB7">
            <v>60</v>
          </cell>
          <cell r="BD7">
            <v>15</v>
          </cell>
          <cell r="BE7">
            <v>36</v>
          </cell>
          <cell r="BG7">
            <v>51</v>
          </cell>
          <cell r="BI7">
            <v>15</v>
          </cell>
          <cell r="BJ7">
            <v>28</v>
          </cell>
          <cell r="BL7">
            <v>63.3</v>
          </cell>
          <cell r="BN7">
            <v>35.299999999999997</v>
          </cell>
          <cell r="BO7">
            <v>-0.52200000000000002</v>
          </cell>
          <cell r="BP7">
            <v>-3.899</v>
          </cell>
          <cell r="BQ7">
            <v>-3.4</v>
          </cell>
          <cell r="BS7">
            <v>71</v>
          </cell>
          <cell r="BT7">
            <v>33</v>
          </cell>
          <cell r="BV7">
            <v>-80.069999999999993</v>
          </cell>
          <cell r="BW7">
            <v>-70.900000000000006</v>
          </cell>
          <cell r="BY7" t="str">
            <v>High Risk</v>
          </cell>
          <cell r="BZ7" t="str">
            <v>Improbable</v>
          </cell>
          <cell r="CC7" t="str">
            <v>High</v>
          </cell>
          <cell r="CD7" t="str">
            <v>Very low</v>
          </cell>
          <cell r="CE7" t="str">
            <v>Low</v>
          </cell>
          <cell r="CF7" t="str">
            <v>Unlikely</v>
          </cell>
          <cell r="CG7" t="str">
            <v>Moderate to Low</v>
          </cell>
        </row>
        <row r="8">
          <cell r="B8" t="str">
            <v>Avonmouth Rec GBR</v>
          </cell>
          <cell r="C8" t="str">
            <v>BS11 9AF</v>
          </cell>
          <cell r="D8">
            <v>51.52</v>
          </cell>
          <cell r="E8">
            <v>-2.69</v>
          </cell>
          <cell r="F8">
            <v>322</v>
          </cell>
          <cell r="G8">
            <v>0.1</v>
          </cell>
          <cell r="I8">
            <v>2.4</v>
          </cell>
          <cell r="K8">
            <v>2.2999999999999998</v>
          </cell>
          <cell r="L8">
            <v>30.6</v>
          </cell>
          <cell r="N8">
            <v>37.630000000000003</v>
          </cell>
          <cell r="P8">
            <v>7</v>
          </cell>
          <cell r="Q8">
            <v>17.510000000000002</v>
          </cell>
          <cell r="S8">
            <v>21.93</v>
          </cell>
          <cell r="U8">
            <v>4.4000000000000004</v>
          </cell>
          <cell r="V8">
            <v>19.8</v>
          </cell>
          <cell r="X8">
            <v>59.2</v>
          </cell>
          <cell r="Z8">
            <v>39.4</v>
          </cell>
          <cell r="AA8">
            <v>0.6</v>
          </cell>
          <cell r="AC8">
            <v>0.1</v>
          </cell>
          <cell r="AE8">
            <v>-0.5</v>
          </cell>
          <cell r="AF8">
            <v>0.13</v>
          </cell>
          <cell r="AH8">
            <v>2.6</v>
          </cell>
          <cell r="AJ8">
            <v>2.5</v>
          </cell>
          <cell r="AK8">
            <v>0.97</v>
          </cell>
          <cell r="AM8">
            <v>3.3</v>
          </cell>
          <cell r="AO8">
            <v>2.2999999999999998</v>
          </cell>
          <cell r="AP8">
            <v>10</v>
          </cell>
          <cell r="AR8">
            <v>7</v>
          </cell>
          <cell r="AT8">
            <v>-2</v>
          </cell>
          <cell r="AU8">
            <v>12</v>
          </cell>
          <cell r="AW8">
            <v>12</v>
          </cell>
          <cell r="AY8">
            <v>0</v>
          </cell>
          <cell r="AZ8">
            <v>45</v>
          </cell>
          <cell r="BB8">
            <v>60</v>
          </cell>
          <cell r="BD8">
            <v>15</v>
          </cell>
          <cell r="BE8">
            <v>36</v>
          </cell>
          <cell r="BG8">
            <v>51</v>
          </cell>
          <cell r="BI8">
            <v>15</v>
          </cell>
          <cell r="BJ8">
            <v>28</v>
          </cell>
          <cell r="BL8">
            <v>63.3</v>
          </cell>
          <cell r="BN8">
            <v>35.299999999999997</v>
          </cell>
          <cell r="BO8">
            <v>-0.52200000000000002</v>
          </cell>
          <cell r="BP8">
            <v>-3.899</v>
          </cell>
          <cell r="BQ8">
            <v>-3.4</v>
          </cell>
          <cell r="BS8">
            <v>71</v>
          </cell>
          <cell r="BT8">
            <v>33</v>
          </cell>
          <cell r="BV8">
            <v>-80.069999999999993</v>
          </cell>
          <cell r="BW8">
            <v>-70.900000000000006</v>
          </cell>
          <cell r="BY8" t="str">
            <v>High Risk</v>
          </cell>
          <cell r="BZ8" t="str">
            <v>Improbable</v>
          </cell>
          <cell r="CC8" t="str">
            <v>High</v>
          </cell>
          <cell r="CD8" t="str">
            <v>Very low</v>
          </cell>
          <cell r="CE8" t="str">
            <v>Low</v>
          </cell>
          <cell r="CF8" t="str">
            <v>Unlikely</v>
          </cell>
          <cell r="CG8" t="str">
            <v>Moderate to Low</v>
          </cell>
        </row>
        <row r="9">
          <cell r="B9" t="str">
            <v>Barnsley GBR</v>
          </cell>
          <cell r="C9" t="str">
            <v>S71 3HJ</v>
          </cell>
          <cell r="D9">
            <v>53.59</v>
          </cell>
          <cell r="E9">
            <v>-1.43</v>
          </cell>
          <cell r="F9">
            <v>949</v>
          </cell>
          <cell r="G9">
            <v>0.1</v>
          </cell>
          <cell r="I9">
            <v>2</v>
          </cell>
          <cell r="K9">
            <v>1.9</v>
          </cell>
          <cell r="L9">
            <v>30.54</v>
          </cell>
          <cell r="N9">
            <v>37.090000000000003</v>
          </cell>
          <cell r="P9">
            <v>6.5</v>
          </cell>
          <cell r="Q9">
            <v>16.55</v>
          </cell>
          <cell r="S9">
            <v>20.79</v>
          </cell>
          <cell r="U9">
            <v>4.2</v>
          </cell>
          <cell r="V9">
            <v>18.600000000000001</v>
          </cell>
          <cell r="X9">
            <v>51.1</v>
          </cell>
          <cell r="Z9">
            <v>32.5</v>
          </cell>
          <cell r="AA9">
            <v>0.8</v>
          </cell>
          <cell r="AC9">
            <v>0</v>
          </cell>
          <cell r="AE9">
            <v>-0.8</v>
          </cell>
          <cell r="AF9">
            <v>7.0000000000000007E-2</v>
          </cell>
          <cell r="AH9">
            <v>2.63</v>
          </cell>
          <cell r="AJ9">
            <v>2.6</v>
          </cell>
          <cell r="AK9">
            <v>1.67</v>
          </cell>
          <cell r="AM9">
            <v>5.4</v>
          </cell>
          <cell r="AO9">
            <v>2.7</v>
          </cell>
          <cell r="AP9">
            <v>10</v>
          </cell>
          <cell r="AR9">
            <v>7</v>
          </cell>
          <cell r="AT9">
            <v>-2</v>
          </cell>
          <cell r="AU9">
            <v>11</v>
          </cell>
          <cell r="AW9">
            <v>11</v>
          </cell>
          <cell r="AY9">
            <v>0</v>
          </cell>
          <cell r="AZ9">
            <v>65</v>
          </cell>
          <cell r="BB9">
            <v>72</v>
          </cell>
          <cell r="BD9">
            <v>7</v>
          </cell>
          <cell r="BE9">
            <v>38</v>
          </cell>
          <cell r="BG9">
            <v>44</v>
          </cell>
          <cell r="BI9">
            <v>6</v>
          </cell>
          <cell r="BJ9">
            <v>25</v>
          </cell>
          <cell r="BL9">
            <v>68.3</v>
          </cell>
          <cell r="BN9">
            <v>43</v>
          </cell>
          <cell r="BO9">
            <v>-0.752</v>
          </cell>
          <cell r="BP9">
            <v>4.2329999999999997</v>
          </cell>
          <cell r="BQ9">
            <v>5</v>
          </cell>
          <cell r="BS9">
            <v>60</v>
          </cell>
          <cell r="BT9">
            <v>24</v>
          </cell>
          <cell r="BV9">
            <v>-66.340999999999994</v>
          </cell>
          <cell r="BW9">
            <v>-58.8</v>
          </cell>
          <cell r="BY9" t="str">
            <v>No Risk</v>
          </cell>
          <cell r="BZ9" t="str">
            <v>Improbable</v>
          </cell>
          <cell r="CC9" t="str">
            <v>Low</v>
          </cell>
          <cell r="CD9" t="str">
            <v>Low</v>
          </cell>
          <cell r="CE9" t="str">
            <v>Medium</v>
          </cell>
          <cell r="CF9" t="str">
            <v>Unlikely</v>
          </cell>
          <cell r="CG9" t="str">
            <v>Moderate to Low</v>
          </cell>
        </row>
        <row r="10">
          <cell r="B10" t="str">
            <v>Bodmin GBR</v>
          </cell>
          <cell r="C10" t="str">
            <v>PL31 1EZ</v>
          </cell>
          <cell r="D10">
            <v>50.46</v>
          </cell>
          <cell r="E10">
            <v>-4.7</v>
          </cell>
          <cell r="F10">
            <v>35</v>
          </cell>
          <cell r="G10">
            <v>0</v>
          </cell>
          <cell r="I10">
            <v>1</v>
          </cell>
          <cell r="K10">
            <v>1</v>
          </cell>
          <cell r="L10">
            <v>28.28</v>
          </cell>
          <cell r="N10">
            <v>34.96</v>
          </cell>
          <cell r="P10">
            <v>6.7</v>
          </cell>
          <cell r="Q10">
            <v>16.350000000000001</v>
          </cell>
          <cell r="S10">
            <v>20.399999999999999</v>
          </cell>
          <cell r="U10">
            <v>4.0999999999999996</v>
          </cell>
          <cell r="V10">
            <v>10.1</v>
          </cell>
          <cell r="X10">
            <v>38.799999999999997</v>
          </cell>
          <cell r="Z10">
            <v>28.8</v>
          </cell>
          <cell r="AA10">
            <v>0.3</v>
          </cell>
          <cell r="AC10">
            <v>0</v>
          </cell>
          <cell r="AE10">
            <v>-0.3</v>
          </cell>
          <cell r="AF10">
            <v>0</v>
          </cell>
          <cell r="AH10">
            <v>0.9</v>
          </cell>
          <cell r="AJ10">
            <v>0.9</v>
          </cell>
          <cell r="AK10">
            <v>0.63</v>
          </cell>
          <cell r="AM10">
            <v>2.33</v>
          </cell>
          <cell r="AO10">
            <v>1.4</v>
          </cell>
          <cell r="AP10">
            <v>12</v>
          </cell>
          <cell r="AR10">
            <v>8</v>
          </cell>
          <cell r="AT10">
            <v>-3</v>
          </cell>
          <cell r="AU10">
            <v>16</v>
          </cell>
          <cell r="AW10">
            <v>16</v>
          </cell>
          <cell r="AY10">
            <v>0</v>
          </cell>
          <cell r="AZ10">
            <v>62</v>
          </cell>
          <cell r="BB10">
            <v>60</v>
          </cell>
          <cell r="BD10">
            <v>-2</v>
          </cell>
          <cell r="BE10">
            <v>49</v>
          </cell>
          <cell r="BG10">
            <v>62</v>
          </cell>
          <cell r="BI10">
            <v>13</v>
          </cell>
          <cell r="BJ10">
            <v>5</v>
          </cell>
          <cell r="BL10">
            <v>14.8</v>
          </cell>
          <cell r="BN10">
            <v>9.6999999999999993</v>
          </cell>
          <cell r="BO10">
            <v>-0.52200000000000002</v>
          </cell>
          <cell r="BP10">
            <v>-3.899</v>
          </cell>
          <cell r="BQ10">
            <v>-3.4</v>
          </cell>
          <cell r="BS10">
            <v>74</v>
          </cell>
          <cell r="BT10">
            <v>31</v>
          </cell>
          <cell r="BV10">
            <v>-80.069999999999993</v>
          </cell>
          <cell r="BW10">
            <v>-70.900000000000006</v>
          </cell>
          <cell r="BY10" t="str">
            <v>No Risk</v>
          </cell>
          <cell r="BZ10" t="str">
            <v>Improbable</v>
          </cell>
          <cell r="CC10" t="str">
            <v>Low</v>
          </cell>
          <cell r="CD10" t="str">
            <v>Low</v>
          </cell>
          <cell r="CE10" t="str">
            <v>Very low</v>
          </cell>
          <cell r="CF10" t="str">
            <v>Unlikely</v>
          </cell>
          <cell r="CG10" t="str">
            <v>Moderate to Low</v>
          </cell>
        </row>
        <row r="11">
          <cell r="B11" t="str">
            <v>Bristol GBR</v>
          </cell>
          <cell r="C11" t="str">
            <v>BS2 9SH</v>
          </cell>
          <cell r="D11">
            <v>51.47</v>
          </cell>
          <cell r="E11">
            <v>-2.57</v>
          </cell>
          <cell r="F11">
            <v>289</v>
          </cell>
          <cell r="G11">
            <v>0.2</v>
          </cell>
          <cell r="I11">
            <v>3.5</v>
          </cell>
          <cell r="K11">
            <v>3.3</v>
          </cell>
          <cell r="L11">
            <v>31.34</v>
          </cell>
          <cell r="N11">
            <v>38.71</v>
          </cell>
          <cell r="P11">
            <v>7.4</v>
          </cell>
          <cell r="Q11">
            <v>17.48</v>
          </cell>
          <cell r="S11">
            <v>21.94</v>
          </cell>
          <cell r="U11">
            <v>4.5</v>
          </cell>
          <cell r="V11">
            <v>23.5</v>
          </cell>
          <cell r="X11">
            <v>68</v>
          </cell>
          <cell r="Z11">
            <v>44.6</v>
          </cell>
          <cell r="AA11">
            <v>0.9</v>
          </cell>
          <cell r="AC11">
            <v>0.1</v>
          </cell>
          <cell r="AE11">
            <v>-0.8</v>
          </cell>
          <cell r="AF11">
            <v>0.2</v>
          </cell>
          <cell r="AH11">
            <v>3.7</v>
          </cell>
          <cell r="AJ11">
            <v>3.5</v>
          </cell>
          <cell r="AK11">
            <v>0.83</v>
          </cell>
          <cell r="AM11">
            <v>4</v>
          </cell>
          <cell r="AO11">
            <v>2.7</v>
          </cell>
          <cell r="AP11">
            <v>10</v>
          </cell>
          <cell r="AR11">
            <v>7</v>
          </cell>
          <cell r="AT11">
            <v>-2</v>
          </cell>
          <cell r="AU11">
            <v>12</v>
          </cell>
          <cell r="AW11">
            <v>12</v>
          </cell>
          <cell r="AY11">
            <v>0</v>
          </cell>
          <cell r="AZ11">
            <v>52</v>
          </cell>
          <cell r="BB11">
            <v>64</v>
          </cell>
          <cell r="BD11">
            <v>12</v>
          </cell>
          <cell r="BE11">
            <v>35</v>
          </cell>
          <cell r="BG11">
            <v>45</v>
          </cell>
          <cell r="BI11">
            <v>10</v>
          </cell>
          <cell r="BJ11">
            <v>22</v>
          </cell>
          <cell r="BL11">
            <v>62.3</v>
          </cell>
          <cell r="BN11">
            <v>39.9</v>
          </cell>
          <cell r="BO11">
            <v>-0.52200000000000002</v>
          </cell>
          <cell r="BP11">
            <v>-3.899</v>
          </cell>
          <cell r="BQ11">
            <v>-3.4</v>
          </cell>
          <cell r="BS11">
            <v>71</v>
          </cell>
          <cell r="BT11">
            <v>33</v>
          </cell>
          <cell r="BV11">
            <v>-80.069999999999993</v>
          </cell>
          <cell r="BW11">
            <v>-70.900000000000006</v>
          </cell>
          <cell r="BY11" t="str">
            <v>No Risk</v>
          </cell>
          <cell r="BZ11" t="str">
            <v>Improbable</v>
          </cell>
          <cell r="CC11" t="str">
            <v>Low</v>
          </cell>
          <cell r="CD11" t="str">
            <v>High</v>
          </cell>
          <cell r="CE11" t="str">
            <v>Very low</v>
          </cell>
          <cell r="CF11" t="str">
            <v>Unlikely</v>
          </cell>
          <cell r="CG11" t="str">
            <v>Moderate to Low</v>
          </cell>
        </row>
        <row r="12">
          <cell r="B12" t="str">
            <v>Cardiff GBR Tremorfa</v>
          </cell>
          <cell r="C12" t="str">
            <v>CF24 5SD</v>
          </cell>
          <cell r="D12">
            <v>51.47</v>
          </cell>
          <cell r="E12">
            <v>-3.14</v>
          </cell>
          <cell r="F12">
            <v>285</v>
          </cell>
          <cell r="G12">
            <v>0.1</v>
          </cell>
          <cell r="I12">
            <v>2.1</v>
          </cell>
          <cell r="K12">
            <v>2</v>
          </cell>
          <cell r="L12">
            <v>30.42</v>
          </cell>
          <cell r="N12">
            <v>37.58</v>
          </cell>
          <cell r="P12">
            <v>7.2</v>
          </cell>
          <cell r="Q12">
            <v>17.34</v>
          </cell>
          <cell r="S12">
            <v>21.71</v>
          </cell>
          <cell r="U12">
            <v>4.4000000000000004</v>
          </cell>
          <cell r="V12">
            <v>18.100000000000001</v>
          </cell>
          <cell r="X12">
            <v>57</v>
          </cell>
          <cell r="Z12">
            <v>38.9</v>
          </cell>
          <cell r="AA12">
            <v>0.6</v>
          </cell>
          <cell r="AC12">
            <v>0</v>
          </cell>
          <cell r="AE12">
            <v>-0.6</v>
          </cell>
          <cell r="AF12">
            <v>0.17</v>
          </cell>
          <cell r="AH12">
            <v>3.4</v>
          </cell>
          <cell r="AJ12">
            <v>3.2</v>
          </cell>
          <cell r="AK12">
            <v>1.17</v>
          </cell>
          <cell r="AM12">
            <v>4.57</v>
          </cell>
          <cell r="AO12">
            <v>2.7</v>
          </cell>
          <cell r="AP12">
            <v>12</v>
          </cell>
          <cell r="AR12">
            <v>8</v>
          </cell>
          <cell r="AT12">
            <v>-3</v>
          </cell>
          <cell r="AU12">
            <v>16</v>
          </cell>
          <cell r="AW12">
            <v>16</v>
          </cell>
          <cell r="AY12">
            <v>0</v>
          </cell>
          <cell r="AZ12">
            <v>57</v>
          </cell>
          <cell r="BB12">
            <v>77</v>
          </cell>
          <cell r="BD12">
            <v>20</v>
          </cell>
          <cell r="BE12">
            <v>53</v>
          </cell>
          <cell r="BG12">
            <v>76</v>
          </cell>
          <cell r="BI12">
            <v>23</v>
          </cell>
          <cell r="BJ12">
            <v>12</v>
          </cell>
          <cell r="BL12">
            <v>33.700000000000003</v>
          </cell>
          <cell r="BN12">
            <v>21.8</v>
          </cell>
          <cell r="BO12">
            <v>0.746</v>
          </cell>
          <cell r="BP12">
            <v>19.876000000000001</v>
          </cell>
          <cell r="BQ12">
            <v>19.100000000000001</v>
          </cell>
          <cell r="BS12">
            <v>110</v>
          </cell>
          <cell r="BT12">
            <v>90</v>
          </cell>
          <cell r="BV12">
            <v>-76.325000000000003</v>
          </cell>
          <cell r="BW12">
            <v>-64.400000000000006</v>
          </cell>
          <cell r="BY12" t="str">
            <v>High Risk</v>
          </cell>
          <cell r="BZ12" t="str">
            <v>Improbable</v>
          </cell>
          <cell r="CC12" t="str">
            <v>Low</v>
          </cell>
          <cell r="CD12" t="str">
            <v>Low</v>
          </cell>
          <cell r="CE12" t="str">
            <v>Medium</v>
          </cell>
          <cell r="CF12" t="str">
            <v>Unlikely</v>
          </cell>
          <cell r="CG12" t="str">
            <v>Moderate to Low</v>
          </cell>
        </row>
        <row r="13">
          <cell r="B13" t="str">
            <v>Castleford GBR</v>
          </cell>
          <cell r="C13" t="str">
            <v>WF10 2JU</v>
          </cell>
          <cell r="D13">
            <v>53.73</v>
          </cell>
          <cell r="E13">
            <v>-1.35</v>
          </cell>
          <cell r="F13">
            <v>968</v>
          </cell>
          <cell r="G13">
            <v>0.1</v>
          </cell>
          <cell r="I13">
            <v>2</v>
          </cell>
          <cell r="K13">
            <v>2</v>
          </cell>
          <cell r="L13">
            <v>30.6</v>
          </cell>
          <cell r="N13">
            <v>37.11</v>
          </cell>
          <cell r="P13">
            <v>6.5</v>
          </cell>
          <cell r="Q13">
            <v>16.739999999999998</v>
          </cell>
          <cell r="S13">
            <v>20.99</v>
          </cell>
          <cell r="U13">
            <v>4.3</v>
          </cell>
          <cell r="V13">
            <v>19.8</v>
          </cell>
          <cell r="X13">
            <v>54.4</v>
          </cell>
          <cell r="Z13">
            <v>34.6</v>
          </cell>
          <cell r="AA13">
            <v>0.6</v>
          </cell>
          <cell r="AC13">
            <v>0</v>
          </cell>
          <cell r="AE13">
            <v>-0.6</v>
          </cell>
          <cell r="AF13">
            <v>7.0000000000000007E-2</v>
          </cell>
          <cell r="AH13">
            <v>2.63</v>
          </cell>
          <cell r="AJ13">
            <v>2.6</v>
          </cell>
          <cell r="AK13">
            <v>1.67</v>
          </cell>
          <cell r="AM13">
            <v>5.4</v>
          </cell>
          <cell r="AO13">
            <v>2.7</v>
          </cell>
          <cell r="AP13">
            <v>9</v>
          </cell>
          <cell r="AR13">
            <v>7</v>
          </cell>
          <cell r="AT13">
            <v>-2</v>
          </cell>
          <cell r="AU13">
            <v>10</v>
          </cell>
          <cell r="AW13">
            <v>10</v>
          </cell>
          <cell r="AY13">
            <v>0</v>
          </cell>
          <cell r="AZ13">
            <v>59</v>
          </cell>
          <cell r="BB13">
            <v>65</v>
          </cell>
          <cell r="BD13">
            <v>6</v>
          </cell>
          <cell r="BE13">
            <v>32</v>
          </cell>
          <cell r="BG13">
            <v>36</v>
          </cell>
          <cell r="BI13">
            <v>4</v>
          </cell>
          <cell r="BJ13">
            <v>25</v>
          </cell>
          <cell r="BL13">
            <v>69.2</v>
          </cell>
          <cell r="BN13">
            <v>43.9</v>
          </cell>
          <cell r="BO13">
            <v>-0.752</v>
          </cell>
          <cell r="BP13">
            <v>4.2329999999999997</v>
          </cell>
          <cell r="BQ13">
            <v>5</v>
          </cell>
          <cell r="BS13">
            <v>51</v>
          </cell>
          <cell r="BT13">
            <v>20</v>
          </cell>
          <cell r="BV13">
            <v>-66.340999999999994</v>
          </cell>
          <cell r="BW13">
            <v>-58.8</v>
          </cell>
          <cell r="BY13" t="str">
            <v>No Risk</v>
          </cell>
          <cell r="BZ13" t="str">
            <v>Improbable</v>
          </cell>
          <cell r="CC13" t="str">
            <v>High</v>
          </cell>
          <cell r="CD13" t="str">
            <v>Very low</v>
          </cell>
          <cell r="CE13" t="str">
            <v>Medium</v>
          </cell>
          <cell r="CF13" t="str">
            <v>Unlikely</v>
          </cell>
          <cell r="CG13" t="str">
            <v>Moderate to Low</v>
          </cell>
        </row>
        <row r="14">
          <cell r="B14" t="str">
            <v>Derby GBR</v>
          </cell>
          <cell r="C14" t="str">
            <v>DE21 4AW</v>
          </cell>
          <cell r="D14">
            <v>52.94</v>
          </cell>
          <cell r="E14">
            <v>-1.47</v>
          </cell>
          <cell r="F14">
            <v>798</v>
          </cell>
          <cell r="G14">
            <v>0.2</v>
          </cell>
          <cell r="I14">
            <v>3</v>
          </cell>
          <cell r="K14">
            <v>2.9</v>
          </cell>
          <cell r="L14">
            <v>31.2</v>
          </cell>
          <cell r="N14">
            <v>38.1</v>
          </cell>
          <cell r="P14">
            <v>6.9</v>
          </cell>
          <cell r="Q14">
            <v>16.55</v>
          </cell>
          <cell r="S14">
            <v>20.92</v>
          </cell>
          <cell r="U14">
            <v>4.4000000000000004</v>
          </cell>
          <cell r="V14">
            <v>21.7</v>
          </cell>
          <cell r="X14">
            <v>57.2</v>
          </cell>
          <cell r="Z14">
            <v>35.6</v>
          </cell>
          <cell r="AA14">
            <v>1</v>
          </cell>
          <cell r="AC14">
            <v>0.1</v>
          </cell>
          <cell r="AE14">
            <v>-0.9</v>
          </cell>
          <cell r="AF14">
            <v>0.1</v>
          </cell>
          <cell r="AH14">
            <v>4.17</v>
          </cell>
          <cell r="AJ14">
            <v>4.0999999999999996</v>
          </cell>
          <cell r="AK14">
            <v>0.83</v>
          </cell>
          <cell r="AM14">
            <v>4.33</v>
          </cell>
          <cell r="AO14">
            <v>2.9</v>
          </cell>
          <cell r="AP14">
            <v>9</v>
          </cell>
          <cell r="AR14">
            <v>7</v>
          </cell>
          <cell r="AT14">
            <v>-2</v>
          </cell>
          <cell r="AU14">
            <v>11</v>
          </cell>
          <cell r="AW14">
            <v>11</v>
          </cell>
          <cell r="AY14">
            <v>0</v>
          </cell>
          <cell r="AZ14">
            <v>62</v>
          </cell>
          <cell r="BB14">
            <v>70</v>
          </cell>
          <cell r="BD14">
            <v>8</v>
          </cell>
          <cell r="BE14">
            <v>31</v>
          </cell>
          <cell r="BG14">
            <v>44</v>
          </cell>
          <cell r="BI14">
            <v>13</v>
          </cell>
          <cell r="BJ14">
            <v>17</v>
          </cell>
          <cell r="BL14">
            <v>50.8</v>
          </cell>
          <cell r="BN14">
            <v>33.6</v>
          </cell>
          <cell r="BO14">
            <v>-1.349</v>
          </cell>
          <cell r="BP14">
            <v>-4.2910000000000004</v>
          </cell>
          <cell r="BQ14">
            <v>-2.9</v>
          </cell>
          <cell r="BS14">
            <v>63</v>
          </cell>
          <cell r="BT14">
            <v>25</v>
          </cell>
          <cell r="BV14">
            <v>-80.960999999999999</v>
          </cell>
          <cell r="BW14">
            <v>-70.599999999999994</v>
          </cell>
          <cell r="BY14" t="str">
            <v>No Risk</v>
          </cell>
          <cell r="BZ14" t="str">
            <v>Improbable</v>
          </cell>
          <cell r="CC14" t="str">
            <v>Medium</v>
          </cell>
          <cell r="CD14" t="str">
            <v>Medium</v>
          </cell>
          <cell r="CE14" t="str">
            <v>Low</v>
          </cell>
          <cell r="CF14" t="str">
            <v>Unlikely**</v>
          </cell>
          <cell r="CG14" t="str">
            <v>Moderate to Low</v>
          </cell>
        </row>
        <row r="15">
          <cell r="B15" t="str">
            <v>Dumfries SLS GBR</v>
          </cell>
          <cell r="C15" t="str">
            <v>DG2 0NR</v>
          </cell>
          <cell r="D15">
            <v>55.09</v>
          </cell>
          <cell r="E15">
            <v>-3.65</v>
          </cell>
          <cell r="F15">
            <v>1335</v>
          </cell>
          <cell r="G15">
            <v>0</v>
          </cell>
          <cell r="I15">
            <v>0.5</v>
          </cell>
          <cell r="K15">
            <v>0.5</v>
          </cell>
          <cell r="L15">
            <v>28.16</v>
          </cell>
          <cell r="N15">
            <v>34.36</v>
          </cell>
          <cell r="P15">
            <v>6.2</v>
          </cell>
          <cell r="Q15">
            <v>15.02</v>
          </cell>
          <cell r="S15">
            <v>18.84</v>
          </cell>
          <cell r="U15">
            <v>3.8</v>
          </cell>
          <cell r="V15">
            <v>8.5</v>
          </cell>
          <cell r="X15">
            <v>23.9</v>
          </cell>
          <cell r="Z15">
            <v>15.5</v>
          </cell>
          <cell r="AA15">
            <v>0.8</v>
          </cell>
          <cell r="AC15">
            <v>0.2</v>
          </cell>
          <cell r="AE15">
            <v>-0.6</v>
          </cell>
          <cell r="AF15">
            <v>0</v>
          </cell>
          <cell r="AH15">
            <v>0.56999999999999995</v>
          </cell>
          <cell r="AJ15">
            <v>0.6</v>
          </cell>
          <cell r="AK15">
            <v>0.67</v>
          </cell>
          <cell r="AM15">
            <v>2</v>
          </cell>
          <cell r="AO15">
            <v>1.1000000000000001</v>
          </cell>
          <cell r="AP15">
            <v>13</v>
          </cell>
          <cell r="AR15">
            <v>10</v>
          </cell>
          <cell r="AT15">
            <v>-2</v>
          </cell>
          <cell r="AU15">
            <v>15</v>
          </cell>
          <cell r="AW15">
            <v>15</v>
          </cell>
          <cell r="AY15">
            <v>0</v>
          </cell>
          <cell r="AZ15">
            <v>52</v>
          </cell>
          <cell r="BB15">
            <v>60</v>
          </cell>
          <cell r="BD15">
            <v>8</v>
          </cell>
          <cell r="BE15">
            <v>56</v>
          </cell>
          <cell r="BG15">
            <v>72</v>
          </cell>
          <cell r="BI15">
            <v>16</v>
          </cell>
          <cell r="BJ15">
            <v>3</v>
          </cell>
          <cell r="BL15">
            <v>7.9</v>
          </cell>
          <cell r="BN15">
            <v>4.5999999999999996</v>
          </cell>
          <cell r="BO15">
            <v>0.28299999999999997</v>
          </cell>
          <cell r="BP15">
            <v>18.789000000000001</v>
          </cell>
          <cell r="BQ15">
            <v>18.5</v>
          </cell>
          <cell r="BS15">
            <v>53</v>
          </cell>
          <cell r="BT15">
            <v>33</v>
          </cell>
          <cell r="BV15">
            <v>-56.877000000000002</v>
          </cell>
          <cell r="BW15">
            <v>-51.5</v>
          </cell>
          <cell r="BY15" t="str">
            <v>No Risk</v>
          </cell>
          <cell r="BZ15" t="str">
            <v>Improbable</v>
          </cell>
          <cell r="CC15" t="str">
            <v>Low</v>
          </cell>
          <cell r="CD15" t="str">
            <v>Very low</v>
          </cell>
          <cell r="CE15" t="str">
            <v>Very low</v>
          </cell>
          <cell r="CF15" t="str">
            <v>Unlikely</v>
          </cell>
          <cell r="CG15" t="str">
            <v>Moderate to Low</v>
          </cell>
        </row>
        <row r="16">
          <cell r="B16" t="str">
            <v>Exeter GBR</v>
          </cell>
          <cell r="C16" t="str">
            <v>EX2 8QT</v>
          </cell>
          <cell r="D16">
            <v>50.71</v>
          </cell>
          <cell r="E16">
            <v>-3.53</v>
          </cell>
          <cell r="F16">
            <v>69</v>
          </cell>
          <cell r="G16">
            <v>0</v>
          </cell>
          <cell r="I16">
            <v>1.6</v>
          </cell>
          <cell r="K16">
            <v>1.6</v>
          </cell>
          <cell r="L16">
            <v>29.42</v>
          </cell>
          <cell r="N16">
            <v>36.39</v>
          </cell>
          <cell r="P16">
            <v>7</v>
          </cell>
          <cell r="Q16">
            <v>17.010000000000002</v>
          </cell>
          <cell r="S16">
            <v>21.37</v>
          </cell>
          <cell r="U16">
            <v>4.4000000000000004</v>
          </cell>
          <cell r="V16">
            <v>15.9</v>
          </cell>
          <cell r="X16">
            <v>62.7</v>
          </cell>
          <cell r="Z16">
            <v>46.8</v>
          </cell>
          <cell r="AA16">
            <v>0.6</v>
          </cell>
          <cell r="AC16">
            <v>0</v>
          </cell>
          <cell r="AE16">
            <v>-0.5</v>
          </cell>
          <cell r="AF16">
            <v>0.1</v>
          </cell>
          <cell r="AH16">
            <v>2.4</v>
          </cell>
          <cell r="AJ16">
            <v>2.2999999999999998</v>
          </cell>
          <cell r="AK16">
            <v>1.2</v>
          </cell>
          <cell r="AM16">
            <v>5.13</v>
          </cell>
          <cell r="AO16">
            <v>2.8</v>
          </cell>
          <cell r="AP16">
            <v>9</v>
          </cell>
          <cell r="AR16">
            <v>6</v>
          </cell>
          <cell r="AT16">
            <v>-2</v>
          </cell>
          <cell r="AU16">
            <v>14</v>
          </cell>
          <cell r="AW16">
            <v>14</v>
          </cell>
          <cell r="AY16">
            <v>0</v>
          </cell>
          <cell r="AZ16">
            <v>46</v>
          </cell>
          <cell r="BB16">
            <v>52</v>
          </cell>
          <cell r="BD16">
            <v>6</v>
          </cell>
          <cell r="BE16">
            <v>49</v>
          </cell>
          <cell r="BG16">
            <v>59</v>
          </cell>
          <cell r="BI16">
            <v>10</v>
          </cell>
          <cell r="BJ16">
            <v>16</v>
          </cell>
          <cell r="BL16">
            <v>47.5</v>
          </cell>
          <cell r="BN16">
            <v>31.8</v>
          </cell>
          <cell r="BO16">
            <v>-0.52200000000000002</v>
          </cell>
          <cell r="BP16">
            <v>-3.899</v>
          </cell>
          <cell r="BQ16">
            <v>-3.4</v>
          </cell>
          <cell r="BS16">
            <v>96</v>
          </cell>
          <cell r="BT16">
            <v>41</v>
          </cell>
          <cell r="BV16">
            <v>-80.069999999999993</v>
          </cell>
          <cell r="BW16">
            <v>-70.900000000000006</v>
          </cell>
          <cell r="BY16" t="str">
            <v>Low Risk</v>
          </cell>
          <cell r="BZ16" t="str">
            <v>Improbable</v>
          </cell>
          <cell r="CC16" t="str">
            <v>High</v>
          </cell>
          <cell r="CD16" t="str">
            <v>Low</v>
          </cell>
          <cell r="CE16" t="str">
            <v>Medium</v>
          </cell>
          <cell r="CF16" t="str">
            <v>Unlikely**</v>
          </cell>
          <cell r="CG16" t="str">
            <v>Moderate to Low</v>
          </cell>
        </row>
        <row r="17">
          <cell r="B17" t="str">
            <v>Halesowen GBR</v>
          </cell>
          <cell r="C17" t="str">
            <v>B63 2QT</v>
          </cell>
          <cell r="D17">
            <v>52.46</v>
          </cell>
          <cell r="E17">
            <v>-2.1</v>
          </cell>
          <cell r="F17">
            <v>616</v>
          </cell>
          <cell r="G17">
            <v>0.2</v>
          </cell>
          <cell r="I17">
            <v>4</v>
          </cell>
          <cell r="K17">
            <v>3.7</v>
          </cell>
          <cell r="L17">
            <v>31.74</v>
          </cell>
          <cell r="N17">
            <v>39.08</v>
          </cell>
          <cell r="P17">
            <v>7.3</v>
          </cell>
          <cell r="Q17">
            <v>17.02</v>
          </cell>
          <cell r="S17">
            <v>21.46</v>
          </cell>
          <cell r="U17">
            <v>4.4000000000000004</v>
          </cell>
          <cell r="V17">
            <v>26.8</v>
          </cell>
          <cell r="X17">
            <v>65.8</v>
          </cell>
          <cell r="Z17">
            <v>39</v>
          </cell>
          <cell r="AA17">
            <v>1.1000000000000001</v>
          </cell>
          <cell r="AC17">
            <v>0.1</v>
          </cell>
          <cell r="AE17">
            <v>-1</v>
          </cell>
          <cell r="AF17">
            <v>0.03</v>
          </cell>
          <cell r="AH17">
            <v>4.0999999999999996</v>
          </cell>
          <cell r="AJ17">
            <v>4.0999999999999996</v>
          </cell>
          <cell r="AK17">
            <v>1.2</v>
          </cell>
          <cell r="AM17">
            <v>4.7300000000000004</v>
          </cell>
          <cell r="AO17">
            <v>3.1</v>
          </cell>
          <cell r="AP17">
            <v>9</v>
          </cell>
          <cell r="AR17">
            <v>6</v>
          </cell>
          <cell r="AT17">
            <v>-2</v>
          </cell>
          <cell r="AU17">
            <v>14</v>
          </cell>
          <cell r="AW17">
            <v>14</v>
          </cell>
          <cell r="AY17">
            <v>0</v>
          </cell>
          <cell r="AZ17">
            <v>46</v>
          </cell>
          <cell r="BB17">
            <v>52</v>
          </cell>
          <cell r="BD17">
            <v>6</v>
          </cell>
          <cell r="BE17">
            <v>49</v>
          </cell>
          <cell r="BG17">
            <v>59</v>
          </cell>
          <cell r="BI17">
            <v>10</v>
          </cell>
          <cell r="BJ17">
            <v>16</v>
          </cell>
          <cell r="BL17">
            <v>53.5</v>
          </cell>
          <cell r="BN17">
            <v>37.9</v>
          </cell>
          <cell r="BO17">
            <v>-0.55500000000000005</v>
          </cell>
          <cell r="BP17">
            <v>3.6659999999999999</v>
          </cell>
          <cell r="BQ17">
            <v>4.2</v>
          </cell>
          <cell r="BS17">
            <v>67</v>
          </cell>
          <cell r="BT17">
            <v>29</v>
          </cell>
          <cell r="BV17">
            <v>-76.36</v>
          </cell>
          <cell r="BW17">
            <v>-65.400000000000006</v>
          </cell>
          <cell r="BY17" t="str">
            <v>No Risk</v>
          </cell>
          <cell r="BZ17" t="str">
            <v>Improbable</v>
          </cell>
          <cell r="CC17" t="str">
            <v>Low</v>
          </cell>
          <cell r="CD17" t="str">
            <v>Very low</v>
          </cell>
          <cell r="CE17" t="str">
            <v>Very low</v>
          </cell>
          <cell r="CF17" t="str">
            <v>Unlikely</v>
          </cell>
          <cell r="CG17" t="str">
            <v>Moderate to Low</v>
          </cell>
        </row>
        <row r="18">
          <cell r="B18" t="str">
            <v>Hartlepool GBR</v>
          </cell>
          <cell r="C18" t="str">
            <v>TS25 1NX</v>
          </cell>
          <cell r="D18">
            <v>54.67</v>
          </cell>
          <cell r="E18">
            <v>-1.21</v>
          </cell>
          <cell r="F18">
            <v>1220</v>
          </cell>
          <cell r="G18">
            <v>0</v>
          </cell>
          <cell r="I18">
            <v>0.3</v>
          </cell>
          <cell r="K18">
            <v>0.3</v>
          </cell>
          <cell r="L18">
            <v>28.28</v>
          </cell>
          <cell r="N18">
            <v>34.39</v>
          </cell>
          <cell r="P18">
            <v>6.1</v>
          </cell>
          <cell r="Q18">
            <v>15.62</v>
          </cell>
          <cell r="S18">
            <v>19.54</v>
          </cell>
          <cell r="U18">
            <v>3.9</v>
          </cell>
          <cell r="V18">
            <v>7.4</v>
          </cell>
          <cell r="X18">
            <v>32.299999999999997</v>
          </cell>
          <cell r="Z18">
            <v>24.9</v>
          </cell>
          <cell r="AA18">
            <v>0.4</v>
          </cell>
          <cell r="AC18">
            <v>0</v>
          </cell>
          <cell r="AE18">
            <v>-0.4</v>
          </cell>
          <cell r="AF18">
            <v>0.03</v>
          </cell>
          <cell r="AH18">
            <v>1</v>
          </cell>
          <cell r="AJ18">
            <v>1</v>
          </cell>
          <cell r="AK18">
            <v>0.9</v>
          </cell>
          <cell r="AM18">
            <v>4.5999999999999996</v>
          </cell>
          <cell r="AO18">
            <v>2.9</v>
          </cell>
          <cell r="AP18">
            <v>10</v>
          </cell>
          <cell r="AR18">
            <v>8</v>
          </cell>
          <cell r="AT18">
            <v>-1</v>
          </cell>
          <cell r="AU18">
            <v>11</v>
          </cell>
          <cell r="AW18">
            <v>11</v>
          </cell>
          <cell r="AY18">
            <v>0</v>
          </cell>
          <cell r="AZ18">
            <v>60</v>
          </cell>
          <cell r="BB18">
            <v>71</v>
          </cell>
          <cell r="BD18">
            <v>11</v>
          </cell>
          <cell r="BE18">
            <v>31</v>
          </cell>
          <cell r="BG18">
            <v>35</v>
          </cell>
          <cell r="BI18">
            <v>4</v>
          </cell>
          <cell r="BJ18">
            <v>33</v>
          </cell>
          <cell r="BL18">
            <v>62.8</v>
          </cell>
          <cell r="BN18">
            <v>29.7</v>
          </cell>
          <cell r="BO18">
            <v>-1.006</v>
          </cell>
          <cell r="BP18">
            <v>3.12</v>
          </cell>
          <cell r="BQ18">
            <v>4.0999999999999996</v>
          </cell>
          <cell r="BS18">
            <v>61</v>
          </cell>
          <cell r="BT18">
            <v>20</v>
          </cell>
          <cell r="BV18">
            <v>-54.741</v>
          </cell>
          <cell r="BW18">
            <v>-45.4</v>
          </cell>
          <cell r="BY18" t="str">
            <v>High Risk</v>
          </cell>
          <cell r="BZ18" t="str">
            <v>Improbable</v>
          </cell>
          <cell r="CC18" t="str">
            <v>Low</v>
          </cell>
          <cell r="CD18" t="str">
            <v>Very low</v>
          </cell>
          <cell r="CE18" t="str">
            <v>Very low</v>
          </cell>
          <cell r="CF18" t="str">
            <v>Unlikely</v>
          </cell>
          <cell r="CG18" t="str">
            <v>Moderate to Low</v>
          </cell>
        </row>
        <row r="19">
          <cell r="B19" t="str">
            <v>Huddersfield GBR</v>
          </cell>
          <cell r="C19" t="str">
            <v>HD5 9BG</v>
          </cell>
          <cell r="D19">
            <v>53.64</v>
          </cell>
          <cell r="E19">
            <v>-1.77</v>
          </cell>
          <cell r="F19">
            <v>947</v>
          </cell>
          <cell r="G19">
            <v>0</v>
          </cell>
          <cell r="I19">
            <v>1.2</v>
          </cell>
          <cell r="K19">
            <v>1.2</v>
          </cell>
          <cell r="L19">
            <v>29.55</v>
          </cell>
          <cell r="N19">
            <v>36.24</v>
          </cell>
          <cell r="P19">
            <v>6.7</v>
          </cell>
          <cell r="Q19">
            <v>15.76</v>
          </cell>
          <cell r="S19">
            <v>19.95</v>
          </cell>
          <cell r="U19">
            <v>4.2</v>
          </cell>
          <cell r="V19">
            <v>12.4</v>
          </cell>
          <cell r="X19">
            <v>38.299999999999997</v>
          </cell>
          <cell r="Z19">
            <v>25.9</v>
          </cell>
          <cell r="AA19">
            <v>1.2</v>
          </cell>
          <cell r="AC19">
            <v>0.1</v>
          </cell>
          <cell r="AE19">
            <v>-1.1000000000000001</v>
          </cell>
          <cell r="AF19">
            <v>7.0000000000000007E-2</v>
          </cell>
          <cell r="AH19">
            <v>1.73</v>
          </cell>
          <cell r="AJ19">
            <v>1.7</v>
          </cell>
          <cell r="AK19">
            <v>1.27</v>
          </cell>
          <cell r="AM19">
            <v>4.4000000000000004</v>
          </cell>
          <cell r="AO19">
            <v>2.6</v>
          </cell>
          <cell r="AP19">
            <v>12</v>
          </cell>
          <cell r="AR19">
            <v>9</v>
          </cell>
          <cell r="AT19">
            <v>-2</v>
          </cell>
          <cell r="AU19">
            <v>14</v>
          </cell>
          <cell r="AW19">
            <v>14</v>
          </cell>
          <cell r="AY19">
            <v>0</v>
          </cell>
          <cell r="AZ19">
            <v>61</v>
          </cell>
          <cell r="BB19">
            <v>76</v>
          </cell>
          <cell r="BD19">
            <v>15</v>
          </cell>
          <cell r="BE19">
            <v>53</v>
          </cell>
          <cell r="BG19">
            <v>61</v>
          </cell>
          <cell r="BI19">
            <v>8</v>
          </cell>
          <cell r="BJ19">
            <v>17</v>
          </cell>
          <cell r="BL19">
            <v>47</v>
          </cell>
          <cell r="BN19">
            <v>29.7</v>
          </cell>
          <cell r="BO19">
            <v>-0.752</v>
          </cell>
          <cell r="BP19">
            <v>4.2329999999999997</v>
          </cell>
          <cell r="BQ19">
            <v>5</v>
          </cell>
          <cell r="BS19">
            <v>51</v>
          </cell>
          <cell r="BT19">
            <v>20</v>
          </cell>
          <cell r="BV19">
            <v>-66.340999999999994</v>
          </cell>
          <cell r="BW19">
            <v>-58.8</v>
          </cell>
          <cell r="BY19" t="str">
            <v>No Risk</v>
          </cell>
          <cell r="BZ19" t="str">
            <v>Improbable</v>
          </cell>
          <cell r="CC19" t="str">
            <v>Low</v>
          </cell>
          <cell r="CD19" t="str">
            <v>Very low</v>
          </cell>
          <cell r="CE19" t="str">
            <v>Low</v>
          </cell>
          <cell r="CF19" t="str">
            <v>Unlikely</v>
          </cell>
          <cell r="CG19" t="str">
            <v>Moderate to Low</v>
          </cell>
        </row>
        <row r="20">
          <cell r="B20" t="str">
            <v>Hull GBR</v>
          </cell>
          <cell r="C20" t="str">
            <v>HU9 5PB</v>
          </cell>
          <cell r="D20">
            <v>53.74</v>
          </cell>
          <cell r="E20">
            <v>-0.26</v>
          </cell>
          <cell r="F20">
            <v>974</v>
          </cell>
          <cell r="G20">
            <v>0.1</v>
          </cell>
          <cell r="I20">
            <v>0.8</v>
          </cell>
          <cell r="K20">
            <v>0.7</v>
          </cell>
          <cell r="L20">
            <v>30.24</v>
          </cell>
          <cell r="N20">
            <v>36.229999999999997</v>
          </cell>
          <cell r="P20">
            <v>6</v>
          </cell>
          <cell r="Q20">
            <v>16.7</v>
          </cell>
          <cell r="S20">
            <v>20.78</v>
          </cell>
          <cell r="U20">
            <v>4.0999999999999996</v>
          </cell>
          <cell r="V20">
            <v>15.8</v>
          </cell>
          <cell r="X20">
            <v>52.4</v>
          </cell>
          <cell r="Z20">
            <v>36.700000000000003</v>
          </cell>
          <cell r="AA20">
            <v>0.3</v>
          </cell>
          <cell r="AC20">
            <v>0</v>
          </cell>
          <cell r="AE20">
            <v>-0.3</v>
          </cell>
          <cell r="AF20">
            <v>0.03</v>
          </cell>
          <cell r="AH20">
            <v>2.9</v>
          </cell>
          <cell r="AJ20">
            <v>2.9</v>
          </cell>
          <cell r="AK20">
            <v>0.9</v>
          </cell>
          <cell r="AM20">
            <v>4.83</v>
          </cell>
          <cell r="AO20">
            <v>3.2</v>
          </cell>
          <cell r="AP20">
            <v>9</v>
          </cell>
          <cell r="AR20">
            <v>7</v>
          </cell>
          <cell r="AT20">
            <v>-2</v>
          </cell>
          <cell r="AU20">
            <v>10</v>
          </cell>
          <cell r="AW20">
            <v>10</v>
          </cell>
          <cell r="AY20">
            <v>0</v>
          </cell>
          <cell r="AZ20">
            <v>65</v>
          </cell>
          <cell r="BB20">
            <v>66</v>
          </cell>
          <cell r="BD20">
            <v>1</v>
          </cell>
          <cell r="BE20">
            <v>31</v>
          </cell>
          <cell r="BG20">
            <v>42</v>
          </cell>
          <cell r="BI20">
            <v>11</v>
          </cell>
          <cell r="BJ20">
            <v>32</v>
          </cell>
          <cell r="BL20">
            <v>65.8</v>
          </cell>
          <cell r="BN20">
            <v>33.4</v>
          </cell>
          <cell r="BO20">
            <v>-0.752</v>
          </cell>
          <cell r="BP20">
            <v>4.2329999999999997</v>
          </cell>
          <cell r="BQ20">
            <v>5</v>
          </cell>
          <cell r="BS20">
            <v>66</v>
          </cell>
          <cell r="BT20">
            <v>29</v>
          </cell>
          <cell r="BV20">
            <v>-66.340999999999994</v>
          </cell>
          <cell r="BW20">
            <v>-58.8</v>
          </cell>
          <cell r="BY20" t="str">
            <v>High Risk</v>
          </cell>
          <cell r="BZ20" t="str">
            <v>Improbable</v>
          </cell>
          <cell r="CC20" t="str">
            <v>Medium</v>
          </cell>
          <cell r="CD20" t="str">
            <v>Very low</v>
          </cell>
          <cell r="CE20" t="str">
            <v>Medium</v>
          </cell>
          <cell r="CF20" t="str">
            <v>Unlikely</v>
          </cell>
          <cell r="CG20" t="str">
            <v>Moderate to Low</v>
          </cell>
        </row>
        <row r="21">
          <cell r="B21" t="str">
            <v>Hull GBR Reservoir Road</v>
          </cell>
          <cell r="C21" t="str">
            <v>HU6 7QH</v>
          </cell>
          <cell r="D21">
            <v>53.77</v>
          </cell>
          <cell r="E21">
            <v>-0.33</v>
          </cell>
          <cell r="F21">
            <v>974</v>
          </cell>
          <cell r="G21">
            <v>0.1</v>
          </cell>
          <cell r="I21">
            <v>0.8</v>
          </cell>
          <cell r="K21">
            <v>0.7</v>
          </cell>
          <cell r="L21">
            <v>30.24</v>
          </cell>
          <cell r="N21">
            <v>36.229999999999997</v>
          </cell>
          <cell r="P21">
            <v>6</v>
          </cell>
          <cell r="Q21">
            <v>16.7</v>
          </cell>
          <cell r="S21">
            <v>20.78</v>
          </cell>
          <cell r="U21">
            <v>4.0999999999999996</v>
          </cell>
          <cell r="V21">
            <v>15.8</v>
          </cell>
          <cell r="X21">
            <v>52.4</v>
          </cell>
          <cell r="Z21">
            <v>36.6</v>
          </cell>
          <cell r="AA21">
            <v>0.3</v>
          </cell>
          <cell r="AC21">
            <v>0</v>
          </cell>
          <cell r="AE21">
            <v>-0.3</v>
          </cell>
          <cell r="AF21">
            <v>0.03</v>
          </cell>
          <cell r="AH21">
            <v>2.9</v>
          </cell>
          <cell r="AJ21">
            <v>2.9</v>
          </cell>
          <cell r="AK21">
            <v>0.9</v>
          </cell>
          <cell r="AM21">
            <v>4.83</v>
          </cell>
          <cell r="AO21">
            <v>3.2</v>
          </cell>
          <cell r="AP21">
            <v>9</v>
          </cell>
          <cell r="AR21">
            <v>7</v>
          </cell>
          <cell r="AT21">
            <v>-2</v>
          </cell>
          <cell r="AU21">
            <v>10</v>
          </cell>
          <cell r="AW21">
            <v>10</v>
          </cell>
          <cell r="AY21">
            <v>0</v>
          </cell>
          <cell r="AZ21">
            <v>65</v>
          </cell>
          <cell r="BB21">
            <v>66</v>
          </cell>
          <cell r="BD21">
            <v>1</v>
          </cell>
          <cell r="BE21">
            <v>31</v>
          </cell>
          <cell r="BG21">
            <v>42</v>
          </cell>
          <cell r="BI21">
            <v>11</v>
          </cell>
          <cell r="BJ21">
            <v>32</v>
          </cell>
          <cell r="BL21">
            <v>65.8</v>
          </cell>
          <cell r="BN21">
            <v>33.4</v>
          </cell>
          <cell r="BO21">
            <v>-0.752</v>
          </cell>
          <cell r="BP21">
            <v>4.2329999999999997</v>
          </cell>
          <cell r="BQ21">
            <v>5</v>
          </cell>
          <cell r="BS21">
            <v>66</v>
          </cell>
          <cell r="BT21">
            <v>29</v>
          </cell>
          <cell r="BV21">
            <v>-66.340999999999994</v>
          </cell>
          <cell r="BW21">
            <v>-58.8</v>
          </cell>
          <cell r="BY21" t="str">
            <v>High Risk</v>
          </cell>
          <cell r="BZ21" t="str">
            <v>Improbable</v>
          </cell>
          <cell r="CC21" t="str">
            <v>High</v>
          </cell>
          <cell r="CD21" t="str">
            <v>Low</v>
          </cell>
          <cell r="CE21" t="str">
            <v>Low</v>
          </cell>
          <cell r="CF21" t="str">
            <v>Unlikely</v>
          </cell>
          <cell r="CG21" t="str">
            <v>Moderate to Low</v>
          </cell>
        </row>
        <row r="22">
          <cell r="B22" t="str">
            <v>Hunslet GBR</v>
          </cell>
          <cell r="C22" t="str">
            <v>LS10 2RU</v>
          </cell>
          <cell r="D22">
            <v>53.77</v>
          </cell>
          <cell r="E22">
            <v>-1.52</v>
          </cell>
          <cell r="F22">
            <v>967</v>
          </cell>
          <cell r="G22">
            <v>0.1</v>
          </cell>
          <cell r="I22">
            <v>1.6</v>
          </cell>
          <cell r="K22">
            <v>1.5</v>
          </cell>
          <cell r="L22">
            <v>30.09</v>
          </cell>
          <cell r="N22">
            <v>36.619999999999997</v>
          </cell>
          <cell r="P22">
            <v>6.5</v>
          </cell>
          <cell r="Q22">
            <v>16.36</v>
          </cell>
          <cell r="S22">
            <v>20.6</v>
          </cell>
          <cell r="U22">
            <v>4.2</v>
          </cell>
          <cell r="V22">
            <v>16.5</v>
          </cell>
          <cell r="X22">
            <v>47</v>
          </cell>
          <cell r="Z22">
            <v>30.5</v>
          </cell>
          <cell r="AA22">
            <v>0.7</v>
          </cell>
          <cell r="AC22">
            <v>0.1</v>
          </cell>
          <cell r="AE22">
            <v>-0.6</v>
          </cell>
          <cell r="AF22">
            <v>7.0000000000000007E-2</v>
          </cell>
          <cell r="AH22">
            <v>2.1</v>
          </cell>
          <cell r="AJ22">
            <v>2</v>
          </cell>
          <cell r="AK22">
            <v>1.63</v>
          </cell>
          <cell r="AM22">
            <v>4.7</v>
          </cell>
          <cell r="AO22">
            <v>2.6</v>
          </cell>
          <cell r="AP22">
            <v>9</v>
          </cell>
          <cell r="AR22">
            <v>7</v>
          </cell>
          <cell r="AT22">
            <v>-2</v>
          </cell>
          <cell r="AU22">
            <v>10</v>
          </cell>
          <cell r="AW22">
            <v>10</v>
          </cell>
          <cell r="AY22">
            <v>0</v>
          </cell>
          <cell r="AZ22">
            <v>65</v>
          </cell>
          <cell r="BB22">
            <v>66</v>
          </cell>
          <cell r="BD22">
            <v>1</v>
          </cell>
          <cell r="BE22">
            <v>31</v>
          </cell>
          <cell r="BG22">
            <v>42</v>
          </cell>
          <cell r="BI22">
            <v>11</v>
          </cell>
          <cell r="BJ22">
            <v>27</v>
          </cell>
          <cell r="BL22">
            <v>61.4</v>
          </cell>
          <cell r="BN22">
            <v>34.799999999999997</v>
          </cell>
          <cell r="BO22">
            <v>-0.752</v>
          </cell>
          <cell r="BP22">
            <v>4.2329999999999997</v>
          </cell>
          <cell r="BQ22">
            <v>5</v>
          </cell>
          <cell r="BS22">
            <v>51</v>
          </cell>
          <cell r="BT22">
            <v>20</v>
          </cell>
          <cell r="BV22">
            <v>-66.340999999999994</v>
          </cell>
          <cell r="BW22">
            <v>-58.8</v>
          </cell>
          <cell r="BY22" t="str">
            <v>No Risk</v>
          </cell>
          <cell r="BZ22" t="str">
            <v>Improbable</v>
          </cell>
          <cell r="CC22" t="str">
            <v>Low</v>
          </cell>
          <cell r="CD22" t="str">
            <v>Very low</v>
          </cell>
          <cell r="CE22" t="str">
            <v>Very low</v>
          </cell>
          <cell r="CF22" t="str">
            <v>Unlikely</v>
          </cell>
          <cell r="CG22" t="str">
            <v>Moderate to Low</v>
          </cell>
        </row>
        <row r="23">
          <cell r="B23" t="str">
            <v>Long Marston ASR GBR</v>
          </cell>
          <cell r="C23" t="str">
            <v>CV37 8AQ</v>
          </cell>
          <cell r="D23">
            <v>52.11</v>
          </cell>
          <cell r="E23">
            <v>-1.78</v>
          </cell>
          <cell r="F23">
            <v>514</v>
          </cell>
          <cell r="G23">
            <v>0.3</v>
          </cell>
          <cell r="I23">
            <v>4.7</v>
          </cell>
          <cell r="K23">
            <v>4.5</v>
          </cell>
          <cell r="L23">
            <v>31.91</v>
          </cell>
          <cell r="N23">
            <v>39.409999999999997</v>
          </cell>
          <cell r="P23">
            <v>7.5</v>
          </cell>
          <cell r="Q23">
            <v>17.059999999999999</v>
          </cell>
          <cell r="S23">
            <v>21.5</v>
          </cell>
          <cell r="U23">
            <v>4.4000000000000004</v>
          </cell>
          <cell r="V23">
            <v>27.1</v>
          </cell>
          <cell r="X23">
            <v>72.900000000000006</v>
          </cell>
          <cell r="Z23">
            <v>45.8</v>
          </cell>
          <cell r="AA23">
            <v>1.6</v>
          </cell>
          <cell r="AC23">
            <v>0.3</v>
          </cell>
          <cell r="AE23">
            <v>-1.3</v>
          </cell>
          <cell r="AF23">
            <v>0.23</v>
          </cell>
          <cell r="AH23">
            <v>4.97</v>
          </cell>
          <cell r="AJ23">
            <v>4.7</v>
          </cell>
          <cell r="AK23">
            <v>1.1000000000000001</v>
          </cell>
          <cell r="AM23">
            <v>4.87</v>
          </cell>
          <cell r="AO23">
            <v>3</v>
          </cell>
          <cell r="AP23">
            <v>9</v>
          </cell>
          <cell r="AR23">
            <v>6</v>
          </cell>
          <cell r="AT23">
            <v>-2</v>
          </cell>
          <cell r="AU23">
            <v>10</v>
          </cell>
          <cell r="AW23">
            <v>10</v>
          </cell>
          <cell r="AY23">
            <v>0</v>
          </cell>
          <cell r="AZ23">
            <v>80</v>
          </cell>
          <cell r="BB23">
            <v>74</v>
          </cell>
          <cell r="BD23">
            <v>-6</v>
          </cell>
          <cell r="BE23">
            <v>36</v>
          </cell>
          <cell r="BG23">
            <v>51</v>
          </cell>
          <cell r="BI23">
            <v>15</v>
          </cell>
          <cell r="BJ23">
            <v>27</v>
          </cell>
          <cell r="BL23">
            <v>68.8</v>
          </cell>
          <cell r="BN23">
            <v>42</v>
          </cell>
          <cell r="BO23">
            <v>-1.349</v>
          </cell>
          <cell r="BP23">
            <v>-4.2910000000000004</v>
          </cell>
          <cell r="BQ23">
            <v>-2.9</v>
          </cell>
          <cell r="BS23">
            <v>59</v>
          </cell>
          <cell r="BT23">
            <v>28</v>
          </cell>
          <cell r="BV23">
            <v>-76.36</v>
          </cell>
          <cell r="BW23">
            <v>-65.400000000000006</v>
          </cell>
          <cell r="BY23" t="str">
            <v>No Risk</v>
          </cell>
          <cell r="BZ23" t="str">
            <v>Improbable</v>
          </cell>
          <cell r="CC23" t="str">
            <v>Low</v>
          </cell>
          <cell r="CD23" t="str">
            <v>Very low</v>
          </cell>
          <cell r="CE23" t="str">
            <v>Very low</v>
          </cell>
          <cell r="CF23" t="str">
            <v>Unlikely</v>
          </cell>
          <cell r="CG23" t="str">
            <v>Moderate to Low</v>
          </cell>
        </row>
        <row r="24">
          <cell r="B24" t="str">
            <v>Manchester GBR</v>
          </cell>
          <cell r="C24" t="str">
            <v>M12 6BF</v>
          </cell>
          <cell r="D24">
            <v>53.47</v>
          </cell>
          <cell r="E24">
            <v>-2.21</v>
          </cell>
          <cell r="F24">
            <v>926</v>
          </cell>
          <cell r="G24">
            <v>0.1</v>
          </cell>
          <cell r="I24">
            <v>1.1000000000000001</v>
          </cell>
          <cell r="K24">
            <v>1</v>
          </cell>
          <cell r="L24">
            <v>30.08</v>
          </cell>
          <cell r="N24">
            <v>36.130000000000003</v>
          </cell>
          <cell r="P24">
            <v>6.1</v>
          </cell>
          <cell r="Q24">
            <v>16.52</v>
          </cell>
          <cell r="S24">
            <v>20.7</v>
          </cell>
          <cell r="U24">
            <v>4.2</v>
          </cell>
          <cell r="V24">
            <v>14</v>
          </cell>
          <cell r="X24">
            <v>40</v>
          </cell>
          <cell r="Z24">
            <v>26</v>
          </cell>
          <cell r="AA24">
            <v>0.4</v>
          </cell>
          <cell r="AC24">
            <v>0</v>
          </cell>
          <cell r="AE24">
            <v>-0.4</v>
          </cell>
          <cell r="AF24">
            <v>0.13</v>
          </cell>
          <cell r="AH24">
            <v>2.17</v>
          </cell>
          <cell r="AJ24">
            <v>2</v>
          </cell>
          <cell r="AK24">
            <v>1.47</v>
          </cell>
          <cell r="AM24">
            <v>4.7699999999999996</v>
          </cell>
          <cell r="AO24">
            <v>2.5</v>
          </cell>
          <cell r="AP24">
            <v>12</v>
          </cell>
          <cell r="AR24">
            <v>9</v>
          </cell>
          <cell r="AT24">
            <v>-3</v>
          </cell>
          <cell r="AU24">
            <v>14</v>
          </cell>
          <cell r="AW24">
            <v>14</v>
          </cell>
          <cell r="AY24">
            <v>0</v>
          </cell>
          <cell r="AZ24">
            <v>47</v>
          </cell>
          <cell r="BB24">
            <v>59</v>
          </cell>
          <cell r="BD24">
            <v>12</v>
          </cell>
          <cell r="BE24">
            <v>38</v>
          </cell>
          <cell r="BG24">
            <v>48</v>
          </cell>
          <cell r="BI24">
            <v>10</v>
          </cell>
          <cell r="BJ24">
            <v>12</v>
          </cell>
          <cell r="BL24">
            <v>28.9</v>
          </cell>
          <cell r="BN24">
            <v>16.600000000000001</v>
          </cell>
          <cell r="BO24">
            <v>0.19800000000000001</v>
          </cell>
          <cell r="BP24">
            <v>17.55</v>
          </cell>
          <cell r="BQ24">
            <v>17.399999999999999</v>
          </cell>
          <cell r="BS24">
            <v>75</v>
          </cell>
          <cell r="BT24">
            <v>32</v>
          </cell>
          <cell r="BV24">
            <v>-60.034999999999997</v>
          </cell>
          <cell r="BW24">
            <v>-52.4</v>
          </cell>
          <cell r="BY24" t="str">
            <v>No Risk</v>
          </cell>
          <cell r="BZ24" t="str">
            <v>Improbable</v>
          </cell>
          <cell r="CC24" t="str">
            <v>Low</v>
          </cell>
          <cell r="CD24" t="str">
            <v>Low</v>
          </cell>
          <cell r="CE24" t="str">
            <v>Very low</v>
          </cell>
          <cell r="CF24" t="str">
            <v>Unlikely**</v>
          </cell>
          <cell r="CG24" t="str">
            <v>Moderate to Low</v>
          </cell>
        </row>
        <row r="25">
          <cell r="B25" t="str">
            <v>Newport GBR Fridge Plant</v>
          </cell>
          <cell r="C25" t="str">
            <v>NP20 2WE</v>
          </cell>
          <cell r="D25">
            <v>51.56</v>
          </cell>
          <cell r="E25">
            <v>-2.99</v>
          </cell>
          <cell r="F25">
            <v>320</v>
          </cell>
          <cell r="G25">
            <v>0.1</v>
          </cell>
          <cell r="I25">
            <v>3</v>
          </cell>
          <cell r="K25">
            <v>2.9</v>
          </cell>
          <cell r="L25">
            <v>32.799999999999997</v>
          </cell>
          <cell r="N25">
            <v>34.4</v>
          </cell>
          <cell r="P25">
            <v>1.6</v>
          </cell>
          <cell r="Q25">
            <v>17.45</v>
          </cell>
          <cell r="S25">
            <v>21.91</v>
          </cell>
          <cell r="U25">
            <v>4.5</v>
          </cell>
          <cell r="V25">
            <v>22.6</v>
          </cell>
          <cell r="X25">
            <v>65.7</v>
          </cell>
          <cell r="Z25">
            <v>43.1</v>
          </cell>
          <cell r="AA25">
            <v>0.5</v>
          </cell>
          <cell r="AC25">
            <v>0</v>
          </cell>
          <cell r="AE25">
            <v>-0.5</v>
          </cell>
          <cell r="AF25">
            <v>0.2</v>
          </cell>
          <cell r="AH25">
            <v>3.23</v>
          </cell>
          <cell r="AJ25">
            <v>3</v>
          </cell>
          <cell r="AK25">
            <v>1.23</v>
          </cell>
          <cell r="AM25">
            <v>4.8</v>
          </cell>
          <cell r="AO25">
            <v>2.9</v>
          </cell>
          <cell r="AP25">
            <v>11</v>
          </cell>
          <cell r="AR25">
            <v>8</v>
          </cell>
          <cell r="AT25">
            <v>-2</v>
          </cell>
          <cell r="AU25">
            <v>14</v>
          </cell>
          <cell r="AW25">
            <v>14</v>
          </cell>
          <cell r="AY25">
            <v>0</v>
          </cell>
          <cell r="AZ25">
            <v>55</v>
          </cell>
          <cell r="BB25">
            <v>71</v>
          </cell>
          <cell r="BD25">
            <v>16</v>
          </cell>
          <cell r="BE25">
            <v>54</v>
          </cell>
          <cell r="BG25">
            <v>73</v>
          </cell>
          <cell r="BI25">
            <v>19</v>
          </cell>
          <cell r="BJ25">
            <v>15</v>
          </cell>
          <cell r="BL25">
            <v>64</v>
          </cell>
          <cell r="BN25">
            <v>49.1</v>
          </cell>
          <cell r="BO25">
            <v>0.746</v>
          </cell>
          <cell r="BP25">
            <v>19.876000000000001</v>
          </cell>
          <cell r="BQ25">
            <v>19.100000000000001</v>
          </cell>
          <cell r="BS25">
            <v>110</v>
          </cell>
          <cell r="BT25">
            <v>90</v>
          </cell>
          <cell r="BV25">
            <v>-76.325000000000003</v>
          </cell>
          <cell r="BW25">
            <v>-64.400000000000006</v>
          </cell>
          <cell r="BY25" t="str">
            <v>High Risk</v>
          </cell>
          <cell r="BZ25" t="str">
            <v>Improbable</v>
          </cell>
          <cell r="CC25" t="str">
            <v>Medium</v>
          </cell>
          <cell r="CD25" t="str">
            <v>Low</v>
          </cell>
          <cell r="CE25" t="str">
            <v>High</v>
          </cell>
          <cell r="CF25" t="str">
            <v>Unlikely</v>
          </cell>
          <cell r="CG25" t="str">
            <v>Moderate to Low</v>
          </cell>
        </row>
        <row r="26">
          <cell r="B26" t="str">
            <v>Newport GBR Yard</v>
          </cell>
          <cell r="C26" t="str">
            <v>NP20 2WE</v>
          </cell>
          <cell r="D26">
            <v>51.56</v>
          </cell>
          <cell r="E26">
            <v>-2.99</v>
          </cell>
          <cell r="F26">
            <v>320</v>
          </cell>
          <cell r="G26">
            <v>0.1</v>
          </cell>
          <cell r="I26">
            <v>3</v>
          </cell>
          <cell r="K26">
            <v>2.9</v>
          </cell>
          <cell r="L26">
            <v>32.799999999999997</v>
          </cell>
          <cell r="N26">
            <v>34.4</v>
          </cell>
          <cell r="P26">
            <v>1.6</v>
          </cell>
          <cell r="Q26">
            <v>17.45</v>
          </cell>
          <cell r="S26">
            <v>21.91</v>
          </cell>
          <cell r="U26">
            <v>4.5</v>
          </cell>
          <cell r="V26">
            <v>22.6</v>
          </cell>
          <cell r="X26">
            <v>65.7</v>
          </cell>
          <cell r="Z26">
            <v>43.1</v>
          </cell>
          <cell r="AA26">
            <v>0.5</v>
          </cell>
          <cell r="AC26">
            <v>0</v>
          </cell>
          <cell r="AE26">
            <v>-0.5</v>
          </cell>
          <cell r="AF26">
            <v>0.2</v>
          </cell>
          <cell r="AH26">
            <v>3.23</v>
          </cell>
          <cell r="AJ26">
            <v>3</v>
          </cell>
          <cell r="AK26">
            <v>1.23</v>
          </cell>
          <cell r="AM26">
            <v>4.8</v>
          </cell>
          <cell r="AO26">
            <v>2.9</v>
          </cell>
          <cell r="AP26">
            <v>11</v>
          </cell>
          <cell r="AR26">
            <v>8</v>
          </cell>
          <cell r="AT26">
            <v>-2</v>
          </cell>
          <cell r="AU26">
            <v>14</v>
          </cell>
          <cell r="AW26">
            <v>14</v>
          </cell>
          <cell r="AY26">
            <v>0</v>
          </cell>
          <cell r="AZ26">
            <v>55</v>
          </cell>
          <cell r="BB26">
            <v>71</v>
          </cell>
          <cell r="BD26">
            <v>16</v>
          </cell>
          <cell r="BE26">
            <v>54</v>
          </cell>
          <cell r="BG26">
            <v>73</v>
          </cell>
          <cell r="BI26">
            <v>19</v>
          </cell>
          <cell r="BJ26">
            <v>15</v>
          </cell>
          <cell r="BL26">
            <v>64</v>
          </cell>
          <cell r="BN26">
            <v>49.1</v>
          </cell>
          <cell r="BO26">
            <v>0.746</v>
          </cell>
          <cell r="BP26">
            <v>19.876000000000001</v>
          </cell>
          <cell r="BQ26">
            <v>19.100000000000001</v>
          </cell>
          <cell r="BS26">
            <v>110</v>
          </cell>
          <cell r="BT26">
            <v>90</v>
          </cell>
          <cell r="BV26">
            <v>-76.325000000000003</v>
          </cell>
          <cell r="BW26">
            <v>-64.400000000000006</v>
          </cell>
          <cell r="BY26" t="str">
            <v>High Risk</v>
          </cell>
          <cell r="BZ26" t="str">
            <v>Improbable</v>
          </cell>
          <cell r="CC26" t="str">
            <v>Medium</v>
          </cell>
          <cell r="CD26" t="str">
            <v>Low</v>
          </cell>
          <cell r="CE26" t="str">
            <v>High</v>
          </cell>
          <cell r="CF26" t="str">
            <v>Unlikely</v>
          </cell>
          <cell r="CG26" t="str">
            <v>Moderate to Low</v>
          </cell>
        </row>
        <row r="27">
          <cell r="B27" t="str">
            <v>Nottingham GBR</v>
          </cell>
          <cell r="C27" t="str">
            <v>NG7 2SD</v>
          </cell>
          <cell r="D27">
            <v>52.93</v>
          </cell>
          <cell r="E27">
            <v>-1.18</v>
          </cell>
          <cell r="F27">
            <v>799</v>
          </cell>
          <cell r="G27">
            <v>0.3</v>
          </cell>
          <cell r="I27">
            <v>3.6</v>
          </cell>
          <cell r="K27">
            <v>3.3</v>
          </cell>
          <cell r="L27">
            <v>31.71</v>
          </cell>
          <cell r="N27">
            <v>38.56</v>
          </cell>
          <cell r="P27">
            <v>6.9</v>
          </cell>
          <cell r="Q27">
            <v>16.93</v>
          </cell>
          <cell r="S27">
            <v>21.34</v>
          </cell>
          <cell r="U27">
            <v>4.4000000000000004</v>
          </cell>
          <cell r="V27">
            <v>23.6</v>
          </cell>
          <cell r="X27">
            <v>61.5</v>
          </cell>
          <cell r="Z27">
            <v>38</v>
          </cell>
          <cell r="AA27">
            <v>0.9</v>
          </cell>
          <cell r="AC27">
            <v>0.1</v>
          </cell>
          <cell r="AE27">
            <v>-0.8</v>
          </cell>
          <cell r="AF27">
            <v>0.1</v>
          </cell>
          <cell r="AH27">
            <v>4.5999999999999996</v>
          </cell>
          <cell r="AJ27">
            <v>4.5</v>
          </cell>
          <cell r="AK27">
            <v>0.87</v>
          </cell>
          <cell r="AM27">
            <v>4.43</v>
          </cell>
          <cell r="AO27">
            <v>2.9</v>
          </cell>
          <cell r="AP27">
            <v>9</v>
          </cell>
          <cell r="AR27">
            <v>6</v>
          </cell>
          <cell r="AT27">
            <v>-2</v>
          </cell>
          <cell r="AU27">
            <v>10</v>
          </cell>
          <cell r="AW27">
            <v>10</v>
          </cell>
          <cell r="AY27">
            <v>0</v>
          </cell>
          <cell r="AZ27">
            <v>58</v>
          </cell>
          <cell r="BB27">
            <v>67</v>
          </cell>
          <cell r="BD27">
            <v>9</v>
          </cell>
          <cell r="BE27">
            <v>30</v>
          </cell>
          <cell r="BG27">
            <v>41</v>
          </cell>
          <cell r="BI27">
            <v>11</v>
          </cell>
          <cell r="BJ27">
            <v>16</v>
          </cell>
          <cell r="BL27">
            <v>60.5</v>
          </cell>
          <cell r="BN27">
            <v>45</v>
          </cell>
          <cell r="BO27">
            <v>-1.349</v>
          </cell>
          <cell r="BP27">
            <v>-4.2910000000000004</v>
          </cell>
          <cell r="BQ27">
            <v>-2.9</v>
          </cell>
          <cell r="BS27">
            <v>62</v>
          </cell>
          <cell r="BT27">
            <v>24</v>
          </cell>
          <cell r="BV27">
            <v>-80.960999999999999</v>
          </cell>
          <cell r="BW27">
            <v>-70.599999999999994</v>
          </cell>
          <cell r="BY27" t="str">
            <v>No Risk</v>
          </cell>
          <cell r="BZ27" t="str">
            <v>Improbable</v>
          </cell>
          <cell r="CC27" t="str">
            <v>High</v>
          </cell>
          <cell r="CD27" t="str">
            <v>Very low</v>
          </cell>
          <cell r="CE27" t="str">
            <v>Low</v>
          </cell>
          <cell r="CF27" t="str">
            <v>Unlikely**</v>
          </cell>
          <cell r="CG27" t="str">
            <v>Moderate to Low</v>
          </cell>
        </row>
        <row r="28">
          <cell r="B28" t="str">
            <v>Peterborough GBR</v>
          </cell>
          <cell r="C28" t="str">
            <v>PE1 5UR</v>
          </cell>
          <cell r="D28">
            <v>52.58</v>
          </cell>
          <cell r="E28">
            <v>-0.21</v>
          </cell>
          <cell r="F28">
            <v>661</v>
          </cell>
          <cell r="G28">
            <v>0.5</v>
          </cell>
          <cell r="I28">
            <v>5.6</v>
          </cell>
          <cell r="K28">
            <v>5.0999999999999996</v>
          </cell>
          <cell r="L28">
            <v>32.770000000000003</v>
          </cell>
          <cell r="N28">
            <v>40.01</v>
          </cell>
          <cell r="P28">
            <v>7.2</v>
          </cell>
          <cell r="Q28">
            <v>17.47</v>
          </cell>
          <cell r="S28">
            <v>21.9</v>
          </cell>
          <cell r="U28">
            <v>4.4000000000000004</v>
          </cell>
          <cell r="V28">
            <v>32.9</v>
          </cell>
          <cell r="X28">
            <v>80.599999999999994</v>
          </cell>
          <cell r="Z28">
            <v>47.7</v>
          </cell>
          <cell r="AA28">
            <v>1.1000000000000001</v>
          </cell>
          <cell r="AC28">
            <v>0</v>
          </cell>
          <cell r="AE28">
            <v>-1</v>
          </cell>
          <cell r="AF28">
            <v>0.23</v>
          </cell>
          <cell r="AH28">
            <v>7.03</v>
          </cell>
          <cell r="AJ28">
            <v>6.8</v>
          </cell>
          <cell r="AK28">
            <v>1.9</v>
          </cell>
          <cell r="AM28">
            <v>5.7</v>
          </cell>
          <cell r="AO28">
            <v>3.1</v>
          </cell>
          <cell r="AP28">
            <v>9</v>
          </cell>
          <cell r="AR28">
            <v>6</v>
          </cell>
          <cell r="AT28">
            <v>-2</v>
          </cell>
          <cell r="AU28">
            <v>9</v>
          </cell>
          <cell r="AW28">
            <v>9</v>
          </cell>
          <cell r="AY28">
            <v>0</v>
          </cell>
          <cell r="AZ28">
            <v>55</v>
          </cell>
          <cell r="BB28">
            <v>68</v>
          </cell>
          <cell r="BD28">
            <v>13</v>
          </cell>
          <cell r="BE28">
            <v>28</v>
          </cell>
          <cell r="BG28">
            <v>41</v>
          </cell>
          <cell r="BI28">
            <v>13</v>
          </cell>
          <cell r="BJ28">
            <v>42</v>
          </cell>
          <cell r="BL28">
            <v>82.6</v>
          </cell>
          <cell r="BN28">
            <v>40.799999999999997</v>
          </cell>
          <cell r="BO28">
            <v>-2.1930000000000001</v>
          </cell>
          <cell r="BP28">
            <v>-17.222000000000001</v>
          </cell>
          <cell r="BQ28">
            <v>-15</v>
          </cell>
          <cell r="BS28">
            <v>36</v>
          </cell>
          <cell r="BT28">
            <v>19</v>
          </cell>
          <cell r="BV28">
            <v>-87.111999999999995</v>
          </cell>
          <cell r="BW28">
            <v>-75.400000000000006</v>
          </cell>
          <cell r="BY28" t="str">
            <v>High Risk</v>
          </cell>
          <cell r="BZ28" t="str">
            <v>Possible</v>
          </cell>
          <cell r="CC28" t="str">
            <v>Medium</v>
          </cell>
          <cell r="CD28" t="str">
            <v>Low</v>
          </cell>
          <cell r="CE28" t="str">
            <v>Low</v>
          </cell>
          <cell r="CF28" t="str">
            <v>Unlikely</v>
          </cell>
          <cell r="CG28" t="str">
            <v>Moderate to Low</v>
          </cell>
        </row>
        <row r="29">
          <cell r="B29" t="str">
            <v>Plymouth GBR</v>
          </cell>
          <cell r="C29" t="str">
            <v>PL4 0HN</v>
          </cell>
          <cell r="D29">
            <v>50.37</v>
          </cell>
          <cell r="E29">
            <v>-4.13</v>
          </cell>
          <cell r="F29">
            <v>27</v>
          </cell>
          <cell r="G29">
            <v>0</v>
          </cell>
          <cell r="I29">
            <v>0.9</v>
          </cell>
          <cell r="K29">
            <v>0.9</v>
          </cell>
          <cell r="L29">
            <v>28.4</v>
          </cell>
          <cell r="N29">
            <v>34.880000000000003</v>
          </cell>
          <cell r="P29">
            <v>6.5</v>
          </cell>
          <cell r="Q29">
            <v>16.91</v>
          </cell>
          <cell r="S29">
            <v>21.19</v>
          </cell>
          <cell r="U29">
            <v>4.3</v>
          </cell>
          <cell r="V29">
            <v>11</v>
          </cell>
          <cell r="X29">
            <v>44.1</v>
          </cell>
          <cell r="Z29">
            <v>33.1</v>
          </cell>
          <cell r="AA29">
            <v>0.3</v>
          </cell>
          <cell r="AC29">
            <v>0</v>
          </cell>
          <cell r="AE29">
            <v>-0.3</v>
          </cell>
          <cell r="AF29">
            <v>0</v>
          </cell>
          <cell r="AH29">
            <v>0.93</v>
          </cell>
          <cell r="AJ29">
            <v>0.9</v>
          </cell>
          <cell r="AK29">
            <v>0.73</v>
          </cell>
          <cell r="AM29">
            <v>3.13</v>
          </cell>
          <cell r="AO29">
            <v>1.9</v>
          </cell>
          <cell r="AP29">
            <v>11</v>
          </cell>
          <cell r="AR29">
            <v>8</v>
          </cell>
          <cell r="AT29">
            <v>-2</v>
          </cell>
          <cell r="AU29">
            <v>16</v>
          </cell>
          <cell r="AW29">
            <v>16</v>
          </cell>
          <cell r="AY29">
            <v>0</v>
          </cell>
          <cell r="AZ29">
            <v>54</v>
          </cell>
          <cell r="BB29">
            <v>78</v>
          </cell>
          <cell r="BD29">
            <v>24</v>
          </cell>
          <cell r="BE29">
            <v>66</v>
          </cell>
          <cell r="BG29">
            <v>75</v>
          </cell>
          <cell r="BI29">
            <v>9</v>
          </cell>
          <cell r="BJ29">
            <v>8</v>
          </cell>
          <cell r="BL29">
            <v>18</v>
          </cell>
          <cell r="BN29">
            <v>9.6</v>
          </cell>
          <cell r="BO29">
            <v>-0.52200000000000002</v>
          </cell>
          <cell r="BP29">
            <v>-3.899</v>
          </cell>
          <cell r="BQ29">
            <v>-3.4</v>
          </cell>
          <cell r="BS29">
            <v>81</v>
          </cell>
          <cell r="BT29">
            <v>36</v>
          </cell>
          <cell r="BV29">
            <v>-80.069999999999993</v>
          </cell>
          <cell r="BW29">
            <v>-70.900000000000006</v>
          </cell>
          <cell r="BY29" t="str">
            <v>High Risk</v>
          </cell>
          <cell r="BZ29" t="str">
            <v>Improbable</v>
          </cell>
          <cell r="CC29" t="str">
            <v>Low</v>
          </cell>
          <cell r="CD29" t="str">
            <v>Very low</v>
          </cell>
          <cell r="CE29" t="str">
            <v>Very low</v>
          </cell>
          <cell r="CF29" t="str">
            <v>Unlikely</v>
          </cell>
          <cell r="CG29" t="str">
            <v>Moderate to Low</v>
          </cell>
        </row>
        <row r="30">
          <cell r="B30" t="str">
            <v>Sheerness GBR</v>
          </cell>
          <cell r="C30" t="str">
            <v>ME12 1RS</v>
          </cell>
          <cell r="D30">
            <v>51.44</v>
          </cell>
          <cell r="E30">
            <v>0.76</v>
          </cell>
          <cell r="F30">
            <v>308</v>
          </cell>
          <cell r="G30">
            <v>0.1</v>
          </cell>
          <cell r="I30">
            <v>1.5</v>
          </cell>
          <cell r="K30">
            <v>1.4</v>
          </cell>
          <cell r="L30">
            <v>30.96</v>
          </cell>
          <cell r="N30">
            <v>37.99</v>
          </cell>
          <cell r="P30">
            <v>7</v>
          </cell>
          <cell r="Q30">
            <v>18</v>
          </cell>
          <cell r="S30">
            <v>22.3</v>
          </cell>
          <cell r="U30">
            <v>4.3</v>
          </cell>
          <cell r="V30">
            <v>23.5</v>
          </cell>
          <cell r="X30">
            <v>68</v>
          </cell>
          <cell r="Z30">
            <v>44.5</v>
          </cell>
          <cell r="AA30">
            <v>0.9</v>
          </cell>
          <cell r="AC30">
            <v>0.1</v>
          </cell>
          <cell r="AE30">
            <v>-0.8</v>
          </cell>
          <cell r="AF30">
            <v>0.27</v>
          </cell>
          <cell r="AH30">
            <v>5.97</v>
          </cell>
          <cell r="AJ30">
            <v>5.7</v>
          </cell>
          <cell r="AK30">
            <v>0.9</v>
          </cell>
          <cell r="AM30">
            <v>4.7699999999999996</v>
          </cell>
          <cell r="AO30">
            <v>3</v>
          </cell>
          <cell r="AP30">
            <v>8</v>
          </cell>
          <cell r="AR30">
            <v>5</v>
          </cell>
          <cell r="AT30">
            <v>-2</v>
          </cell>
          <cell r="AU30">
            <v>11</v>
          </cell>
          <cell r="AW30">
            <v>11</v>
          </cell>
          <cell r="AY30">
            <v>0</v>
          </cell>
          <cell r="AZ30">
            <v>49</v>
          </cell>
          <cell r="BB30">
            <v>52</v>
          </cell>
          <cell r="BD30">
            <v>3</v>
          </cell>
          <cell r="BE30">
            <v>36</v>
          </cell>
          <cell r="BG30">
            <v>49</v>
          </cell>
          <cell r="BI30">
            <v>13</v>
          </cell>
          <cell r="BJ30">
            <v>27</v>
          </cell>
          <cell r="BL30">
            <v>80.2</v>
          </cell>
          <cell r="BN30">
            <v>53.1</v>
          </cell>
          <cell r="BO30">
            <v>-1.048</v>
          </cell>
          <cell r="BP30">
            <v>-11.265000000000001</v>
          </cell>
          <cell r="BQ30">
            <v>-10.199999999999999</v>
          </cell>
          <cell r="BS30">
            <v>67</v>
          </cell>
          <cell r="BT30">
            <v>31</v>
          </cell>
          <cell r="BV30">
            <v>-79.765000000000001</v>
          </cell>
          <cell r="BW30">
            <v>-72</v>
          </cell>
          <cell r="BY30" t="str">
            <v>High Risk</v>
          </cell>
          <cell r="BZ30" t="str">
            <v>Probable</v>
          </cell>
          <cell r="CC30" t="str">
            <v>High</v>
          </cell>
          <cell r="CD30" t="str">
            <v>Low risk</v>
          </cell>
          <cell r="CE30" t="str">
            <v>High</v>
          </cell>
          <cell r="CF30" t="str">
            <v>Unlikely</v>
          </cell>
          <cell r="CG30" t="str">
            <v>Moderate to Low</v>
          </cell>
        </row>
        <row r="31">
          <cell r="B31" t="str">
            <v>Sittingbourne GBR</v>
          </cell>
          <cell r="C31" t="str">
            <v>ME10 3SY</v>
          </cell>
          <cell r="D31">
            <v>51.35</v>
          </cell>
          <cell r="E31">
            <v>0.75</v>
          </cell>
          <cell r="F31">
            <v>277</v>
          </cell>
          <cell r="G31">
            <v>0.2</v>
          </cell>
          <cell r="I31">
            <v>2.7</v>
          </cell>
          <cell r="K31">
            <v>2.5</v>
          </cell>
          <cell r="L31">
            <v>31.72</v>
          </cell>
          <cell r="N31">
            <v>39.04</v>
          </cell>
          <cell r="P31">
            <v>7.3</v>
          </cell>
          <cell r="Q31">
            <v>17.68</v>
          </cell>
          <cell r="S31">
            <v>21.97</v>
          </cell>
          <cell r="U31">
            <v>4.3</v>
          </cell>
          <cell r="V31">
            <v>26.6</v>
          </cell>
          <cell r="X31">
            <v>71.400000000000006</v>
          </cell>
          <cell r="Z31">
            <v>44.9</v>
          </cell>
          <cell r="AA31">
            <v>1</v>
          </cell>
          <cell r="AC31">
            <v>0.2</v>
          </cell>
          <cell r="AE31">
            <v>-0.8</v>
          </cell>
          <cell r="AF31">
            <v>0.27</v>
          </cell>
          <cell r="AH31">
            <v>5.97</v>
          </cell>
          <cell r="AJ31">
            <v>5.7</v>
          </cell>
          <cell r="AK31">
            <v>0.9</v>
          </cell>
          <cell r="AM31">
            <v>4.7699999999999996</v>
          </cell>
          <cell r="AO31">
            <v>3</v>
          </cell>
          <cell r="AP31">
            <v>8</v>
          </cell>
          <cell r="AR31">
            <v>5</v>
          </cell>
          <cell r="AT31">
            <v>-2</v>
          </cell>
          <cell r="AU31">
            <v>11</v>
          </cell>
          <cell r="AW31">
            <v>11</v>
          </cell>
          <cell r="AY31">
            <v>0</v>
          </cell>
          <cell r="AZ31">
            <v>49</v>
          </cell>
          <cell r="BB31">
            <v>52</v>
          </cell>
          <cell r="BD31">
            <v>3</v>
          </cell>
          <cell r="BE31">
            <v>36</v>
          </cell>
          <cell r="BG31">
            <v>49</v>
          </cell>
          <cell r="BI31">
            <v>13</v>
          </cell>
          <cell r="BJ31">
            <v>27</v>
          </cell>
          <cell r="BL31">
            <v>80.2</v>
          </cell>
          <cell r="BN31">
            <v>53.1</v>
          </cell>
          <cell r="BO31">
            <v>-1.048</v>
          </cell>
          <cell r="BP31">
            <v>-11.265000000000001</v>
          </cell>
          <cell r="BQ31">
            <v>-10.199999999999999</v>
          </cell>
          <cell r="BS31">
            <v>67</v>
          </cell>
          <cell r="BT31">
            <v>31</v>
          </cell>
          <cell r="BV31">
            <v>-79.765000000000001</v>
          </cell>
          <cell r="BW31">
            <v>-72</v>
          </cell>
          <cell r="BY31" t="str">
            <v>High Risk</v>
          </cell>
          <cell r="BZ31" t="str">
            <v>Possible</v>
          </cell>
          <cell r="CC31" t="str">
            <v>High</v>
          </cell>
          <cell r="CD31" t="str">
            <v>Medium</v>
          </cell>
          <cell r="CE31" t="str">
            <v>High</v>
          </cell>
          <cell r="CF31" t="str">
            <v>Unlikely</v>
          </cell>
          <cell r="CG31" t="str">
            <v>Moderate to Low</v>
          </cell>
        </row>
        <row r="32">
          <cell r="B32" t="str">
            <v>Skewen GBR</v>
          </cell>
          <cell r="C32" t="str">
            <v>SA10 6BL</v>
          </cell>
          <cell r="D32">
            <v>51.65</v>
          </cell>
          <cell r="E32">
            <v>-3.84</v>
          </cell>
          <cell r="F32">
            <v>350</v>
          </cell>
          <cell r="G32">
            <v>0</v>
          </cell>
          <cell r="I32">
            <v>1.6</v>
          </cell>
          <cell r="K32">
            <v>1.5</v>
          </cell>
          <cell r="L32">
            <v>30.01</v>
          </cell>
          <cell r="N32">
            <v>36.43</v>
          </cell>
          <cell r="P32">
            <v>6.4</v>
          </cell>
          <cell r="Q32">
            <v>17</v>
          </cell>
          <cell r="S32">
            <v>21.25</v>
          </cell>
          <cell r="U32">
            <v>4.3</v>
          </cell>
          <cell r="V32">
            <v>17</v>
          </cell>
          <cell r="X32">
            <v>48</v>
          </cell>
          <cell r="Z32">
            <v>31</v>
          </cell>
          <cell r="AA32">
            <v>0.5</v>
          </cell>
          <cell r="AC32">
            <v>0</v>
          </cell>
          <cell r="AE32">
            <v>-0.5</v>
          </cell>
          <cell r="AF32">
            <v>7.0000000000000007E-2</v>
          </cell>
          <cell r="AH32">
            <v>1.9</v>
          </cell>
          <cell r="AJ32">
            <v>1.8</v>
          </cell>
          <cell r="AK32">
            <v>1.23</v>
          </cell>
          <cell r="AM32">
            <v>4.7699999999999996</v>
          </cell>
          <cell r="AO32">
            <v>2.8</v>
          </cell>
          <cell r="AP32">
            <v>13</v>
          </cell>
          <cell r="AR32">
            <v>10</v>
          </cell>
          <cell r="AT32">
            <v>-2</v>
          </cell>
          <cell r="AU32">
            <v>16</v>
          </cell>
          <cell r="AW32">
            <v>16</v>
          </cell>
          <cell r="AY32">
            <v>0</v>
          </cell>
          <cell r="AZ32">
            <v>60</v>
          </cell>
          <cell r="BB32">
            <v>76</v>
          </cell>
          <cell r="BD32">
            <v>16</v>
          </cell>
          <cell r="BE32">
            <v>59</v>
          </cell>
          <cell r="BG32">
            <v>85</v>
          </cell>
          <cell r="BI32">
            <v>26</v>
          </cell>
          <cell r="BJ32">
            <v>8</v>
          </cell>
          <cell r="BL32">
            <v>23.1</v>
          </cell>
          <cell r="BN32">
            <v>15</v>
          </cell>
          <cell r="BO32">
            <v>0.746</v>
          </cell>
          <cell r="BP32">
            <v>19.876000000000001</v>
          </cell>
          <cell r="BQ32">
            <v>19.100000000000001</v>
          </cell>
          <cell r="BS32">
            <v>84</v>
          </cell>
          <cell r="BT32">
            <v>64</v>
          </cell>
          <cell r="BV32">
            <v>-76.325000000000003</v>
          </cell>
          <cell r="BW32">
            <v>-64.400000000000006</v>
          </cell>
          <cell r="BY32" t="str">
            <v>No Risk</v>
          </cell>
          <cell r="BZ32" t="str">
            <v>Improbable</v>
          </cell>
          <cell r="CC32" t="str">
            <v>Medium</v>
          </cell>
          <cell r="CD32" t="str">
            <v>Medium</v>
          </cell>
          <cell r="CE32" t="str">
            <v>High</v>
          </cell>
          <cell r="CF32" t="str">
            <v>Unlikely</v>
          </cell>
          <cell r="CG32" t="str">
            <v>Moderate to Low</v>
          </cell>
        </row>
        <row r="33">
          <cell r="B33" t="str">
            <v>Smethwick GBR Rabone Lane</v>
          </cell>
          <cell r="C33" t="str">
            <v>B66 2LF</v>
          </cell>
          <cell r="D33">
            <v>52.5</v>
          </cell>
          <cell r="E33">
            <v>-1.95</v>
          </cell>
          <cell r="F33">
            <v>651</v>
          </cell>
          <cell r="G33">
            <v>0.1</v>
          </cell>
          <cell r="I33">
            <v>3.1</v>
          </cell>
          <cell r="K33">
            <v>3</v>
          </cell>
          <cell r="L33">
            <v>31.35</v>
          </cell>
          <cell r="N33">
            <v>38.22</v>
          </cell>
          <cell r="P33">
            <v>6.9</v>
          </cell>
          <cell r="Q33">
            <v>17.100000000000001</v>
          </cell>
          <cell r="S33">
            <v>21.58</v>
          </cell>
          <cell r="U33">
            <v>4.5</v>
          </cell>
          <cell r="V33">
            <v>23.3</v>
          </cell>
          <cell r="X33">
            <v>60.5</v>
          </cell>
          <cell r="Z33">
            <v>37.200000000000003</v>
          </cell>
          <cell r="AA33">
            <v>1.5</v>
          </cell>
          <cell r="AC33">
            <v>0.1</v>
          </cell>
          <cell r="AE33">
            <v>-1.4</v>
          </cell>
          <cell r="AF33">
            <v>0.03</v>
          </cell>
          <cell r="AH33">
            <v>3.77</v>
          </cell>
          <cell r="AJ33">
            <v>3.7</v>
          </cell>
          <cell r="AK33">
            <v>0.77</v>
          </cell>
          <cell r="AM33">
            <v>4.5</v>
          </cell>
          <cell r="AO33">
            <v>3</v>
          </cell>
          <cell r="AP33">
            <v>10</v>
          </cell>
          <cell r="AR33">
            <v>7</v>
          </cell>
          <cell r="AT33">
            <v>-2</v>
          </cell>
          <cell r="AU33">
            <v>11</v>
          </cell>
          <cell r="AW33">
            <v>11</v>
          </cell>
          <cell r="AY33">
            <v>0</v>
          </cell>
          <cell r="AZ33">
            <v>58</v>
          </cell>
          <cell r="BB33">
            <v>64</v>
          </cell>
          <cell r="BD33">
            <v>6</v>
          </cell>
          <cell r="BE33">
            <v>38</v>
          </cell>
          <cell r="BG33">
            <v>46</v>
          </cell>
          <cell r="BI33">
            <v>8</v>
          </cell>
          <cell r="BJ33">
            <v>18</v>
          </cell>
          <cell r="BL33">
            <v>56.9</v>
          </cell>
          <cell r="BN33">
            <v>39</v>
          </cell>
          <cell r="BO33">
            <v>-6.82</v>
          </cell>
          <cell r="BP33">
            <v>-28.37</v>
          </cell>
          <cell r="BQ33">
            <v>-21.6</v>
          </cell>
          <cell r="BS33">
            <v>51</v>
          </cell>
          <cell r="BT33">
            <v>21</v>
          </cell>
          <cell r="BV33">
            <v>-76.36</v>
          </cell>
          <cell r="BW33">
            <v>-65.400000000000006</v>
          </cell>
          <cell r="BY33" t="str">
            <v>No Risk</v>
          </cell>
          <cell r="BZ33" t="str">
            <v>Improbable</v>
          </cell>
          <cell r="CC33" t="str">
            <v>Medium</v>
          </cell>
          <cell r="CD33" t="str">
            <v>Medium</v>
          </cell>
          <cell r="CE33" t="str">
            <v>Very low</v>
          </cell>
          <cell r="CF33" t="str">
            <v>Unlikely</v>
          </cell>
          <cell r="CG33" t="str">
            <v>Moderate to Low</v>
          </cell>
        </row>
        <row r="34">
          <cell r="B34" t="str">
            <v>Smethwick Rail Head</v>
          </cell>
          <cell r="C34" t="str">
            <v>B21 0RW</v>
          </cell>
          <cell r="D34">
            <v>52.5</v>
          </cell>
          <cell r="E34">
            <v>-1.94</v>
          </cell>
          <cell r="F34">
            <v>585</v>
          </cell>
          <cell r="G34">
            <v>0.1</v>
          </cell>
          <cell r="I34">
            <v>3.1</v>
          </cell>
          <cell r="K34">
            <v>3</v>
          </cell>
          <cell r="L34">
            <v>31.35</v>
          </cell>
          <cell r="N34">
            <v>38.22</v>
          </cell>
          <cell r="P34">
            <v>6.9</v>
          </cell>
          <cell r="Q34">
            <v>17.100000000000001</v>
          </cell>
          <cell r="S34">
            <v>21.58</v>
          </cell>
          <cell r="U34">
            <v>4.5</v>
          </cell>
          <cell r="V34">
            <v>23.3</v>
          </cell>
          <cell r="X34">
            <v>60.5</v>
          </cell>
          <cell r="Z34">
            <v>37.200000000000003</v>
          </cell>
          <cell r="AA34">
            <v>1.5</v>
          </cell>
          <cell r="AC34">
            <v>0.1</v>
          </cell>
          <cell r="AE34">
            <v>-1.4</v>
          </cell>
          <cell r="AF34">
            <v>0.03</v>
          </cell>
          <cell r="AH34">
            <v>3.77</v>
          </cell>
          <cell r="AJ34">
            <v>3.7</v>
          </cell>
          <cell r="AK34">
            <v>0.77</v>
          </cell>
          <cell r="AM34">
            <v>4.5</v>
          </cell>
          <cell r="AO34">
            <v>3</v>
          </cell>
          <cell r="AP34">
            <v>10</v>
          </cell>
          <cell r="AR34">
            <v>7</v>
          </cell>
          <cell r="AT34">
            <v>-2</v>
          </cell>
          <cell r="AU34">
            <v>11</v>
          </cell>
          <cell r="AW34">
            <v>11</v>
          </cell>
          <cell r="AY34">
            <v>0</v>
          </cell>
          <cell r="AZ34">
            <v>58</v>
          </cell>
          <cell r="BB34">
            <v>64</v>
          </cell>
          <cell r="BD34">
            <v>6</v>
          </cell>
          <cell r="BE34">
            <v>38</v>
          </cell>
          <cell r="BG34">
            <v>46</v>
          </cell>
          <cell r="BI34">
            <v>8</v>
          </cell>
          <cell r="BJ34">
            <v>18</v>
          </cell>
          <cell r="BL34">
            <v>56.9</v>
          </cell>
          <cell r="BN34">
            <v>39</v>
          </cell>
          <cell r="BO34">
            <v>-0.55500000000000005</v>
          </cell>
          <cell r="BP34">
            <v>3.6659999999999999</v>
          </cell>
          <cell r="BQ34">
            <v>4.2</v>
          </cell>
          <cell r="BS34">
            <v>51</v>
          </cell>
          <cell r="BT34">
            <v>21</v>
          </cell>
          <cell r="BV34">
            <v>-76.36</v>
          </cell>
          <cell r="BW34">
            <v>-65.400000000000006</v>
          </cell>
          <cell r="BY34" t="str">
            <v>No Risk</v>
          </cell>
          <cell r="BZ34" t="str">
            <v>Improbable</v>
          </cell>
          <cell r="CC34" t="str">
            <v>Low</v>
          </cell>
          <cell r="CD34" t="str">
            <v>Very low</v>
          </cell>
          <cell r="CE34" t="str">
            <v>Very low</v>
          </cell>
          <cell r="CF34" t="str">
            <v>Unlikely</v>
          </cell>
          <cell r="CG34" t="str">
            <v>Moderate to Low</v>
          </cell>
        </row>
        <row r="35">
          <cell r="B35" t="str">
            <v>Yateley GBR</v>
          </cell>
          <cell r="C35" t="str">
            <v>GU46 6ED</v>
          </cell>
          <cell r="D35">
            <v>51.33</v>
          </cell>
          <cell r="E35">
            <v>-0.83</v>
          </cell>
          <cell r="F35">
            <v>268</v>
          </cell>
          <cell r="G35">
            <v>0.2</v>
          </cell>
          <cell r="I35">
            <v>3.9</v>
          </cell>
          <cell r="K35">
            <v>3.7</v>
          </cell>
          <cell r="L35">
            <v>31.61</v>
          </cell>
          <cell r="N35">
            <v>38.880000000000003</v>
          </cell>
          <cell r="P35">
            <v>7.3</v>
          </cell>
          <cell r="Q35">
            <v>16.75</v>
          </cell>
          <cell r="S35">
            <v>21.17</v>
          </cell>
          <cell r="U35">
            <v>4.4000000000000004</v>
          </cell>
          <cell r="V35">
            <v>30.4</v>
          </cell>
          <cell r="X35">
            <v>76.2</v>
          </cell>
          <cell r="Z35">
            <v>45.8</v>
          </cell>
          <cell r="AA35">
            <v>1.7</v>
          </cell>
          <cell r="AC35">
            <v>0.2</v>
          </cell>
          <cell r="AE35">
            <v>-1.5</v>
          </cell>
          <cell r="AF35">
            <v>0.37</v>
          </cell>
          <cell r="AH35">
            <v>5.57</v>
          </cell>
          <cell r="AJ35">
            <v>5.2</v>
          </cell>
          <cell r="AK35">
            <v>1.23</v>
          </cell>
          <cell r="AM35">
            <v>5.47</v>
          </cell>
          <cell r="AO35">
            <v>3.2</v>
          </cell>
          <cell r="AP35">
            <v>8</v>
          </cell>
          <cell r="AR35">
            <v>5</v>
          </cell>
          <cell r="AT35">
            <v>-2</v>
          </cell>
          <cell r="AU35">
            <v>11</v>
          </cell>
          <cell r="AW35">
            <v>11</v>
          </cell>
          <cell r="AY35">
            <v>0</v>
          </cell>
          <cell r="AZ35">
            <v>44</v>
          </cell>
          <cell r="BB35">
            <v>50</v>
          </cell>
          <cell r="BD35">
            <v>6</v>
          </cell>
          <cell r="BE35">
            <v>38</v>
          </cell>
          <cell r="BG35">
            <v>45</v>
          </cell>
          <cell r="BI35">
            <v>7</v>
          </cell>
          <cell r="BJ35">
            <v>21</v>
          </cell>
          <cell r="BL35">
            <v>70.099999999999994</v>
          </cell>
          <cell r="BN35">
            <v>49.1</v>
          </cell>
          <cell r="BO35">
            <v>-1.048</v>
          </cell>
          <cell r="BP35">
            <v>-11.265000000000001</v>
          </cell>
          <cell r="BQ35">
            <v>-10.199999999999999</v>
          </cell>
          <cell r="BS35">
            <v>46</v>
          </cell>
          <cell r="BT35">
            <v>21</v>
          </cell>
          <cell r="BV35">
            <v>-79.765000000000001</v>
          </cell>
          <cell r="BW35">
            <v>-72</v>
          </cell>
          <cell r="BY35" t="str">
            <v>No Risk</v>
          </cell>
          <cell r="BZ35" t="str">
            <v>Improbable</v>
          </cell>
          <cell r="CC35" t="str">
            <v>Low</v>
          </cell>
          <cell r="CD35" t="str">
            <v>Very low</v>
          </cell>
          <cell r="CE35" t="str">
            <v>Very low</v>
          </cell>
          <cell r="CF35" t="str">
            <v>Unlikely</v>
          </cell>
          <cell r="CG35" t="str">
            <v>Moderate to Low</v>
          </cell>
        </row>
        <row r="36">
          <cell r="B36" t="str">
            <v>Smethwick Unit 60</v>
          </cell>
          <cell r="C36" t="str">
            <v>B66 2NZ</v>
          </cell>
          <cell r="D36">
            <v>52.49</v>
          </cell>
          <cell r="E36">
            <v>-1.95</v>
          </cell>
          <cell r="F36"/>
          <cell r="G36">
            <v>0.1</v>
          </cell>
          <cell r="I36">
            <v>3.1</v>
          </cell>
          <cell r="K36">
            <v>3</v>
          </cell>
          <cell r="L36">
            <v>31.35</v>
          </cell>
          <cell r="N36">
            <v>38.22</v>
          </cell>
          <cell r="P36">
            <v>6.9</v>
          </cell>
          <cell r="Q36">
            <v>17.100000000000001</v>
          </cell>
          <cell r="S36">
            <v>21.58</v>
          </cell>
          <cell r="U36">
            <v>4.5</v>
          </cell>
          <cell r="V36">
            <v>23.3</v>
          </cell>
          <cell r="X36">
            <v>60.5</v>
          </cell>
          <cell r="Z36">
            <v>37.200000000000003</v>
          </cell>
          <cell r="AA36">
            <v>1.5</v>
          </cell>
          <cell r="AC36">
            <v>0.1</v>
          </cell>
          <cell r="AE36">
            <v>-1.4</v>
          </cell>
          <cell r="AF36">
            <v>0.03</v>
          </cell>
          <cell r="AH36">
            <v>3.77</v>
          </cell>
          <cell r="AJ36">
            <v>3.7</v>
          </cell>
          <cell r="AK36">
            <v>0.77</v>
          </cell>
          <cell r="AM36">
            <v>4.5</v>
          </cell>
          <cell r="AO36">
            <v>3</v>
          </cell>
          <cell r="AP36">
            <v>10</v>
          </cell>
          <cell r="AR36">
            <v>7</v>
          </cell>
          <cell r="AT36">
            <v>-2</v>
          </cell>
          <cell r="AU36">
            <v>11</v>
          </cell>
          <cell r="AW36">
            <v>11</v>
          </cell>
          <cell r="AY36">
            <v>0</v>
          </cell>
          <cell r="AZ36">
            <v>58</v>
          </cell>
          <cell r="BB36">
            <v>64</v>
          </cell>
          <cell r="BD36">
            <v>6</v>
          </cell>
          <cell r="BE36">
            <v>38</v>
          </cell>
          <cell r="BG36">
            <v>46</v>
          </cell>
          <cell r="BI36">
            <v>8</v>
          </cell>
          <cell r="BJ36">
            <v>18</v>
          </cell>
          <cell r="BL36">
            <v>56.9</v>
          </cell>
          <cell r="BN36">
            <v>39</v>
          </cell>
          <cell r="BO36">
            <v>-6.82</v>
          </cell>
          <cell r="BP36">
            <v>-28.37</v>
          </cell>
          <cell r="BQ36">
            <v>-21.6</v>
          </cell>
          <cell r="BS36">
            <v>51</v>
          </cell>
          <cell r="BT36">
            <v>21</v>
          </cell>
          <cell r="BV36">
            <v>-76.36</v>
          </cell>
          <cell r="BW36">
            <v>-65.400000000000006</v>
          </cell>
          <cell r="BY36" t="str">
            <v>No Risk</v>
          </cell>
          <cell r="BZ36" t="str">
            <v>Improbable</v>
          </cell>
          <cell r="CC36" t="str">
            <v>Medium</v>
          </cell>
          <cell r="CD36" t="str">
            <v>Medium</v>
          </cell>
          <cell r="CE36" t="str">
            <v>Very low</v>
          </cell>
          <cell r="CF36" t="str">
            <v>Unlikely</v>
          </cell>
          <cell r="CG36" t="str">
            <v>Moderate to Low</v>
          </cell>
        </row>
        <row r="37">
          <cell r="B37" t="str">
            <v>Smethwick Wash Plant</v>
          </cell>
          <cell r="C37" t="str">
            <v>B66 2LF</v>
          </cell>
          <cell r="D37">
            <v>52.497999999999998</v>
          </cell>
          <cell r="E37">
            <v>-1.95</v>
          </cell>
          <cell r="F37">
            <v>585</v>
          </cell>
          <cell r="G37">
            <v>0.1</v>
          </cell>
          <cell r="I37">
            <v>3.1</v>
          </cell>
          <cell r="K37">
            <v>3</v>
          </cell>
          <cell r="L37">
            <v>31.35</v>
          </cell>
          <cell r="N37">
            <v>38.22</v>
          </cell>
          <cell r="P37">
            <v>6.9</v>
          </cell>
          <cell r="Q37">
            <v>17.100000000000001</v>
          </cell>
          <cell r="S37">
            <v>21.58</v>
          </cell>
          <cell r="U37">
            <v>4.5</v>
          </cell>
          <cell r="V37">
            <v>23.3</v>
          </cell>
          <cell r="X37">
            <v>60.5</v>
          </cell>
          <cell r="Z37">
            <v>37.200000000000003</v>
          </cell>
          <cell r="AA37">
            <v>1.5</v>
          </cell>
          <cell r="AC37">
            <v>0.1</v>
          </cell>
          <cell r="AE37">
            <v>-1.4</v>
          </cell>
          <cell r="AF37">
            <v>0.03</v>
          </cell>
          <cell r="AH37">
            <v>3.77</v>
          </cell>
          <cell r="AJ37">
            <v>3.7</v>
          </cell>
          <cell r="AK37">
            <v>0.77</v>
          </cell>
          <cell r="AM37">
            <v>4.5</v>
          </cell>
          <cell r="AO37">
            <v>3</v>
          </cell>
          <cell r="AP37">
            <v>10</v>
          </cell>
          <cell r="AR37">
            <v>7</v>
          </cell>
          <cell r="AT37">
            <v>-2</v>
          </cell>
          <cell r="AU37">
            <v>11</v>
          </cell>
          <cell r="AW37">
            <v>11</v>
          </cell>
          <cell r="AY37">
            <v>0</v>
          </cell>
          <cell r="AZ37">
            <v>58</v>
          </cell>
          <cell r="BB37">
            <v>64</v>
          </cell>
          <cell r="BD37">
            <v>6</v>
          </cell>
          <cell r="BE37">
            <v>38</v>
          </cell>
          <cell r="BG37">
            <v>46</v>
          </cell>
          <cell r="BI37">
            <v>8</v>
          </cell>
          <cell r="BJ37">
            <v>18</v>
          </cell>
          <cell r="BL37">
            <v>56.9</v>
          </cell>
          <cell r="BN37">
            <v>39</v>
          </cell>
          <cell r="BO37">
            <v>-0.55500000000000005</v>
          </cell>
          <cell r="BP37">
            <v>3.6659999999999999</v>
          </cell>
          <cell r="BQ37">
            <v>4.2</v>
          </cell>
          <cell r="BS37">
            <v>51</v>
          </cell>
          <cell r="BT37">
            <v>21</v>
          </cell>
          <cell r="BV37">
            <v>-76.36</v>
          </cell>
          <cell r="BW37">
            <v>-65.400000000000006</v>
          </cell>
          <cell r="BY37" t="str">
            <v>No Risk</v>
          </cell>
          <cell r="BZ37" t="str">
            <v>Improbable</v>
          </cell>
          <cell r="CC37" t="str">
            <v>Low</v>
          </cell>
          <cell r="CD37" t="str">
            <v>Very low</v>
          </cell>
          <cell r="CE37" t="str">
            <v>Very low</v>
          </cell>
          <cell r="CF37" t="str">
            <v>Unlikely</v>
          </cell>
          <cell r="CG37" t="str">
            <v>Moderate to Low</v>
          </cell>
        </row>
        <row r="38">
          <cell r="B38" t="str">
            <v>Stalybridge SLS GBR</v>
          </cell>
          <cell r="C38" t="str">
            <v>SK15 3BY</v>
          </cell>
          <cell r="D38">
            <v>53.49</v>
          </cell>
          <cell r="E38">
            <v>-2.0499999999999998</v>
          </cell>
          <cell r="F38">
            <v>927</v>
          </cell>
          <cell r="G38">
            <v>0.3</v>
          </cell>
          <cell r="I38">
            <v>4.5</v>
          </cell>
          <cell r="K38">
            <v>4.2</v>
          </cell>
          <cell r="L38">
            <v>32.090000000000003</v>
          </cell>
          <cell r="N38">
            <v>39.630000000000003</v>
          </cell>
          <cell r="P38">
            <v>7.5</v>
          </cell>
          <cell r="Q38">
            <v>17.43</v>
          </cell>
          <cell r="S38">
            <v>22.12</v>
          </cell>
          <cell r="U38">
            <v>4.7</v>
          </cell>
          <cell r="V38">
            <v>7</v>
          </cell>
          <cell r="X38">
            <v>25.6</v>
          </cell>
          <cell r="Z38">
            <v>18.600000000000001</v>
          </cell>
          <cell r="AA38">
            <v>1.3</v>
          </cell>
          <cell r="AC38">
            <v>0.1</v>
          </cell>
          <cell r="AE38">
            <v>-1.2</v>
          </cell>
          <cell r="AF38">
            <v>0.1</v>
          </cell>
          <cell r="AH38">
            <v>2.4</v>
          </cell>
          <cell r="AJ38">
            <v>2.2999999999999998</v>
          </cell>
          <cell r="AK38">
            <v>1.4</v>
          </cell>
          <cell r="AM38">
            <v>5.0999999999999996</v>
          </cell>
          <cell r="AO38">
            <v>2.9</v>
          </cell>
          <cell r="AP38">
            <v>13</v>
          </cell>
          <cell r="AR38">
            <v>10</v>
          </cell>
          <cell r="AT38">
            <v>-2</v>
          </cell>
          <cell r="AU38">
            <v>16</v>
          </cell>
          <cell r="AW38">
            <v>16</v>
          </cell>
          <cell r="AY38">
            <v>0</v>
          </cell>
          <cell r="AZ38">
            <v>63</v>
          </cell>
          <cell r="BB38">
            <v>69</v>
          </cell>
          <cell r="BD38">
            <v>6</v>
          </cell>
          <cell r="BE38">
            <v>55</v>
          </cell>
          <cell r="BG38">
            <v>63</v>
          </cell>
          <cell r="BI38">
            <v>8</v>
          </cell>
          <cell r="BJ38">
            <v>10</v>
          </cell>
          <cell r="BL38">
            <v>28.5</v>
          </cell>
          <cell r="BN38">
            <v>18.100000000000001</v>
          </cell>
          <cell r="BO38">
            <v>-6.82</v>
          </cell>
          <cell r="BP38">
            <v>-28.37</v>
          </cell>
          <cell r="BQ38">
            <v>-21.6</v>
          </cell>
          <cell r="BS38">
            <v>85</v>
          </cell>
          <cell r="BT38">
            <v>34</v>
          </cell>
          <cell r="BV38">
            <v>-60.034999999999997</v>
          </cell>
          <cell r="BW38">
            <v>-52.4</v>
          </cell>
          <cell r="BY38" t="str">
            <v>No Risk</v>
          </cell>
          <cell r="BZ38" t="str">
            <v>Improbable</v>
          </cell>
          <cell r="CC38" t="str">
            <v>Medium</v>
          </cell>
          <cell r="CD38" t="str">
            <v>Low</v>
          </cell>
          <cell r="CE38" t="str">
            <v>Low</v>
          </cell>
          <cell r="CF38" t="str">
            <v>Unlikely</v>
          </cell>
          <cell r="CG38" t="str">
            <v>Moderate to Low</v>
          </cell>
        </row>
        <row r="39">
          <cell r="B39" t="str">
            <v>Stockton GBR</v>
          </cell>
          <cell r="C39" t="str">
            <v>TS18 2PF</v>
          </cell>
          <cell r="D39">
            <v>54.57</v>
          </cell>
          <cell r="E39">
            <v>-1.28</v>
          </cell>
          <cell r="F39">
            <v>1186</v>
          </cell>
        </row>
        <row r="41">
          <cell r="K41">
            <v>2.3444444444444446</v>
          </cell>
          <cell r="P41">
            <v>6.3750000000000009</v>
          </cell>
          <cell r="U41">
            <v>4.2166666666666659</v>
          </cell>
          <cell r="Z41">
            <v>35.313888888888897</v>
          </cell>
          <cell r="AE41">
            <v>-0.8027777777777777</v>
          </cell>
          <cell r="AJ41">
            <v>3.0722222222222224</v>
          </cell>
          <cell r="AO41">
            <v>2.6750000000000003</v>
          </cell>
          <cell r="AT41">
            <v>-1.9722222222222223</v>
          </cell>
          <cell r="AY41">
            <v>0</v>
          </cell>
          <cell r="BD41">
            <v>8.4444444444444446</v>
          </cell>
          <cell r="BI41">
            <v>10.972222222222221</v>
          </cell>
          <cell r="BQ41">
            <v>-0.22777777777777772</v>
          </cell>
          <cell r="BT41">
            <v>32.222222222222221</v>
          </cell>
        </row>
        <row r="42">
          <cell r="K42">
            <v>5.0999999999999996</v>
          </cell>
          <cell r="P42">
            <v>7.6</v>
          </cell>
          <cell r="U42">
            <v>4.7</v>
          </cell>
          <cell r="Z42">
            <v>47.7</v>
          </cell>
          <cell r="AE42">
            <v>-0.3</v>
          </cell>
          <cell r="AJ42">
            <v>6.8</v>
          </cell>
          <cell r="AO42">
            <v>3.3</v>
          </cell>
          <cell r="AT42">
            <v>-1</v>
          </cell>
          <cell r="AY42">
            <v>0</v>
          </cell>
          <cell r="BD42">
            <v>24</v>
          </cell>
          <cell r="BI42">
            <v>26</v>
          </cell>
          <cell r="BQ42">
            <v>19.100000000000001</v>
          </cell>
          <cell r="BT42">
            <v>90</v>
          </cell>
          <cell r="BW42">
            <v>-45.4</v>
          </cell>
        </row>
        <row r="43">
          <cell r="K43">
            <v>0.3</v>
          </cell>
          <cell r="P43">
            <v>1.6</v>
          </cell>
          <cell r="U43">
            <v>3.8</v>
          </cell>
          <cell r="Z43">
            <v>15.5</v>
          </cell>
          <cell r="AE43">
            <v>-1.5</v>
          </cell>
          <cell r="AJ43">
            <v>0.6</v>
          </cell>
          <cell r="AO43">
            <v>1.1000000000000001</v>
          </cell>
          <cell r="AT43">
            <v>-3</v>
          </cell>
          <cell r="AY43">
            <v>0</v>
          </cell>
          <cell r="BD43">
            <v>-6</v>
          </cell>
          <cell r="BI43">
            <v>4</v>
          </cell>
          <cell r="BQ43">
            <v>-21.6</v>
          </cell>
          <cell r="BT43">
            <v>19</v>
          </cell>
          <cell r="BW43">
            <v>-75.400000000000006</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structions"/>
      <sheetName val="Site Specific RA"/>
      <sheetName val="Overall RA"/>
      <sheetName val="Appendices"/>
      <sheetName val="Indicators"/>
    </sheetNames>
    <sheetDataSet>
      <sheetData sheetId="0">
        <row r="53">
          <cell r="E53" t="str">
            <v>Improbable</v>
          </cell>
          <cell r="F53" t="str">
            <v>Very low</v>
          </cell>
        </row>
      </sheetData>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FD2DDE-8304-442C-BAC7-4145A190FF21}" name="Table242" displayName="Table242" ref="A21:O56" totalsRowShown="0" headerRowDxfId="66" dataDxfId="65">
  <autoFilter ref="A21:O56" xr:uid="{E0FD2DDE-8304-442C-BAC7-4145A190FF21}"/>
  <sortState xmlns:xlrd2="http://schemas.microsoft.com/office/spreadsheetml/2017/richdata2" ref="A22:O56">
    <sortCondition descending="1" ref="O21:O56"/>
  </sortState>
  <tableColumns count="15">
    <tableColumn id="1" xr3:uid="{8659CC8B-E4C5-4113-9598-AEA848D0A662}" name="CATEGORY" dataDxfId="64"/>
    <tableColumn id="2" xr3:uid="{A78840C1-82F5-41D3-8A40-FF4323A54DAD}" name="RISK TITLE" dataDxfId="63"/>
    <tableColumn id="3" xr3:uid="{799754F4-ADDB-43A8-B68D-C38942E3B56E}" name="Short" dataDxfId="62"/>
    <tableColumn id="4" xr3:uid="{930DA252-627B-49A0-A371-8117365118F8}" name="RISK AREAS ON SITE" dataDxfId="61"/>
    <tableColumn id="5" xr3:uid="{4CC204E5-4B53-47BA-8D18-4407462C62A9}" name="CURRENT MEASURES" dataDxfId="60"/>
    <tableColumn id="6" xr3:uid="{DDF1306C-E8E9-46FB-AB7E-6587A9F9D2DC}" name="LIKELIHOOD" dataDxfId="59"/>
    <tableColumn id="7" xr3:uid="{576362D6-83DA-42D2-BD7C-A3B810EC672D}" name="SEVERITY" dataDxfId="58"/>
    <tableColumn id="8" xr3:uid="{7EBA9232-4E46-4565-8BA3-7D06F672AAF2}" name="SCORE" dataDxfId="57">
      <calculatedColumnFormula>G22*F22</calculatedColumnFormula>
    </tableColumn>
    <tableColumn id="9" xr3:uid="{5630442E-E066-4504-9C1D-945E97515213}" name="MITIGATION/ ADAPTATION PLAN" dataDxfId="56"/>
    <tableColumn id="10" xr3:uid="{36F73BEF-990C-464D-A413-49E8CBBF6E09}" name="LIKELIHOOD AFTER" dataDxfId="55"/>
    <tableColumn id="11" xr3:uid="{A4ACDD52-C1D2-41DB-9B6E-3C981BD4D3E7}" name="SEVERITY AFTER" dataDxfId="54"/>
    <tableColumn id="12" xr3:uid="{D28BE0E4-4693-4A67-A908-41B3E9839BD2}" name="SCORE AFTER" dataDxfId="53">
      <calculatedColumnFormula>K22*J22</calculatedColumnFormula>
    </tableColumn>
    <tableColumn id="13" xr3:uid="{EF642060-D494-48CF-8A5F-F2E9BB1AA30D}" name="LIKELIHOOD REDUCTION" dataDxfId="52">
      <calculatedColumnFormula>Table242[[#This Row],[LIKELIHOOD AFTER]]</calculatedColumnFormula>
    </tableColumn>
    <tableColumn id="15" xr3:uid="{DB7CAC20-AF7E-4B32-B6AC-9A58904FD3DE}" name="SEVERITY REDUCTION" dataDxfId="51">
      <calculatedColumnFormula>Table242[[#This Row],[SEVERITY AFTER]]</calculatedColumnFormula>
    </tableColumn>
    <tableColumn id="14" xr3:uid="{D9BF3D6A-3031-4C96-9D82-E81DD3BB5135}" name="PRIORITY LEVEL" dataDxfId="50">
      <calculatedColumnFormula>Table242[[#This Row],[LIKELIHOOD REDUCTION]]+Table242[[#This Row],[SEVERITY REDUCTION]]</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6B388E6-CD23-4FED-8437-7311DF23C57E}" name="Table15" displayName="Table15" ref="A4:CK39" totalsRowShown="0" headerRowDxfId="49" tableBorderDxfId="48">
  <autoFilter ref="A4:CK39" xr:uid="{56B388E6-CD23-4FED-8437-7311DF23C57E}"/>
  <sortState xmlns:xlrd2="http://schemas.microsoft.com/office/spreadsheetml/2017/richdata2" ref="A5:CK38">
    <sortCondition ref="B4:B38"/>
  </sortState>
  <tableColumns count="89">
    <tableColumn id="1" xr3:uid="{5C4C573E-E994-4515-BC2A-396F928EDBE5}" name="Site Id" dataDxfId="47"/>
    <tableColumn id="2" xr3:uid="{5382789F-E135-4F32-9804-AAA0A56C9D4C}" name="Site Name" dataDxfId="46"/>
    <tableColumn id="3" xr3:uid="{FC56F6C4-620E-4B31-A31D-583C84FEA1D1}" name="Postal Code" dataDxfId="45"/>
    <tableColumn id="4" xr3:uid="{BE5B2FE4-38EF-44A8-8BA8-5CF39594BA95}" name="Latitude" dataDxfId="44"/>
    <tableColumn id="5" xr3:uid="{D206C629-8282-4F07-837A-BCEE1ECC655C}" name="Longitude" dataDxfId="43"/>
    <tableColumn id="6" xr3:uid="{5880AB57-EA75-443E-8C2C-48B8690304FC}" name="Object Id" dataDxfId="42"/>
    <tableColumn id="7" xr3:uid="{93D6A461-04E3-4C10-AAF9-C5924CB14B51}" name="CESD Now"/>
    <tableColumn id="8" xr3:uid="{3DE73402-D58C-47A9-829F-0604D11BFAA1}" name="CESD 2 °C"/>
    <tableColumn id="9" xr3:uid="{AD96EB26-E3A5-44D5-B1C0-373D812F9C6D}" name="CESD 4 °C"/>
    <tableColumn id="10" xr3:uid="{52E398ED-FE94-47C2-AC09-5BD96FADB14D}" name="CESD Change 2 °C"/>
    <tableColumn id="11" xr3:uid="{891B8F47-EE2D-4CF5-8676-C6EDFBD1D6B1}" name="CESD Change 4 °C"/>
    <tableColumn id="12" xr3:uid="{D5FB6328-DADA-4388-A55D-6FFD92FFE657}" name="SMTC Now"/>
    <tableColumn id="13" xr3:uid="{40665F66-9007-4B07-884B-A33B6172ABE5}" name="SMTC 2 °C"/>
    <tableColumn id="14" xr3:uid="{A74AF23C-2BB5-4898-BC66-2E5DAAEA5123}" name="SMTC 4 °C"/>
    <tableColumn id="15" xr3:uid="{C9F32E71-8876-4E3A-AB2F-850540FB7680}" name="CESD Change 2 °C2"/>
    <tableColumn id="16" xr3:uid="{1D5CB3F0-8BDA-49E4-94E7-51B5AB343072}" name="CESD Change 4 °C3"/>
    <tableColumn id="17" xr3:uid="{33D01230-CC3F-487C-8C6C-8D40AA98A223}" name="SAT Now"/>
    <tableColumn id="18" xr3:uid="{8A056EA2-AE46-4E8D-A375-8BAA5546C9CA}" name="SAT 2 °C"/>
    <tableColumn id="19" xr3:uid="{59F9F5C5-E3E6-4B2F-BB5C-6569E9A5ADBD}" name="SAT 4 °C"/>
    <tableColumn id="20" xr3:uid="{07A9227D-1E01-492B-AF7E-B7830BE91B63}" name="SAT Change 2 °C"/>
    <tableColumn id="21" xr3:uid="{38368FEA-BAC1-434F-99CE-B5E2DFEC700E}" name="SAT Change 4 °C"/>
    <tableColumn id="22" xr3:uid="{16B6BE45-A0A4-45E6-B43E-9E8DC072F7D2}" name="ACSD Now"/>
    <tableColumn id="23" xr3:uid="{1DE0F929-C7F7-4D56-B350-8CCB50008F0C}" name="ACSD 2 °C"/>
    <tableColumn id="24" xr3:uid="{FD949F6D-64B4-4D3A-8CA9-3C5CBA6E4956}" name="ACSD 4 °C"/>
    <tableColumn id="25" xr3:uid="{8F0C626A-284C-4B57-A71E-B592D0E8390F}" name="ACSD Change 2 °C"/>
    <tableColumn id="26" xr3:uid="{5CA54C25-5413-4957-AD78-28A645AA8275}" name="ACSD Change 4 °C"/>
    <tableColumn id="27" xr3:uid="{6D29F028-7F70-4F25-B665-4C5F6640BAE1}" name="ICD Now"/>
    <tableColumn id="28" xr3:uid="{944378AF-1F88-4D45-A18B-52AC9989B3A5}" name="ICD 2 °C"/>
    <tableColumn id="29" xr3:uid="{651627D6-1B25-4C29-9071-63802F2EF8DB}" name="ICD 4 °C" dataDxfId="41"/>
    <tableColumn id="30" xr3:uid="{F7355AA8-FF2C-4D87-AE5B-6DCA1EA152D4}" name="ICD Change 2 °C"/>
    <tableColumn id="31" xr3:uid="{65C751C5-353C-4EE0-97D1-63377F925CD2}" name="ICD Change 4 °C"/>
    <tableColumn id="32" xr3:uid="{8C9D5D05-7286-421C-91EA-FE00BC0D9890}" name="HS Now" dataDxfId="40"/>
    <tableColumn id="33" xr3:uid="{6E9C9CFE-E2A4-4953-8C64-684DA0C05237}" name="HS 2 °C"/>
    <tableColumn id="34" xr3:uid="{3C33E905-4592-4270-8DA7-8BCC132F90A9}" name="HS 4 °C"/>
    <tableColumn id="35" xr3:uid="{687B1BC7-1388-4E07-94D9-777136FCB33D}" name="HS Change 2 °C"/>
    <tableColumn id="36" xr3:uid="{0B7FB7B6-9654-4F83-B4B2-3DDBED04B253}" name="HS Change 4 °C"/>
    <tableColumn id="37" xr3:uid="{4A8A6654-294F-40A3-BA16-08C99A45D4BA}" name="HW Now"/>
    <tableColumn id="38" xr3:uid="{801894D3-14CB-4384-A6F7-C670AF463E09}" name="HW 2 °C"/>
    <tableColumn id="39" xr3:uid="{832723E9-3C0F-4DC2-B2B5-88B29F931ECD}" name="HW 4 °C"/>
    <tableColumn id="40" xr3:uid="{35F2C596-2B09-473A-B001-D108DE165B2E}" name="HW Change 2 °C"/>
    <tableColumn id="41" xr3:uid="{07481C1D-4FB2-4834-AAFA-E5A92F130C84}" name="HW Change 4 °C"/>
    <tableColumn id="42" xr3:uid="{CBA2F334-1C51-408A-B02C-49C37AB6EFC4}" name="SRD Now" dataDxfId="39"/>
    <tableColumn id="43" xr3:uid="{4CDEBAEE-B2AD-46A5-B43E-344213F394A7}" name="SRD 2 °C" dataDxfId="38"/>
    <tableColumn id="44" xr3:uid="{D9C07E3D-4FC5-4302-9847-DE1C32E98412}" name="SRD 4 °C"/>
    <tableColumn id="45" xr3:uid="{975D91F3-6E37-4F28-A197-CC27075E72DF}" name="SRD Change 2 °C" dataDxfId="37"/>
    <tableColumn id="46" xr3:uid="{9F7F6979-562A-4FA6-A42D-4AE37620D5FC}" name="SRD Change 4 °C" dataDxfId="36"/>
    <tableColumn id="47" xr3:uid="{EDFE0702-BA33-477D-AB5B-40042A64192E}" name="WRD Now" dataDxfId="35"/>
    <tableColumn id="48" xr3:uid="{B869BC45-2F46-4E0A-B340-852BC17E25D0}" name="WRD 2 °C" dataDxfId="34"/>
    <tableColumn id="49" xr3:uid="{E11F0B13-802B-4171-A13B-81C8DD2D2CFA}" name="WRD 4 °C" dataDxfId="33"/>
    <tableColumn id="50" xr3:uid="{D2C86A31-BBBA-47E1-AEC9-7AD73DE6EBAB}" name="WRD Change 2 °C" dataDxfId="32"/>
    <tableColumn id="51" xr3:uid="{B5A4092F-A6D3-4961-9646-D9B98C7D35E5}" name="WRD Change 4 °C" dataDxfId="31"/>
    <tableColumn id="52" xr3:uid="{D5A18589-A5B1-47BD-93D6-56F572B50F6E}" name="SWD Now"/>
    <tableColumn id="53" xr3:uid="{DF24E30E-A99D-4976-A0BC-49438957DF71}" name="SWD 2 °C" dataDxfId="30"/>
    <tableColumn id="54" xr3:uid="{95C4A8F2-D29F-4A09-B955-EFDD9F9921F9}" name="SWD 4 °C"/>
    <tableColumn id="55" xr3:uid="{CDA84A31-2CC4-4BFC-A1FB-A7808B773087}" name="SWD Change 2 °C" dataDxfId="29"/>
    <tableColumn id="56" xr3:uid="{7B6D2C23-458A-4BE3-9910-B54A98056022}" name="SWD Change 4 °C" dataDxfId="28"/>
    <tableColumn id="57" xr3:uid="{3798BC24-65B6-477A-A2FD-B45812E98B33}" name="WWD Now" dataDxfId="27"/>
    <tableColumn id="58" xr3:uid="{771D4F63-0EEA-4AFE-ACB2-B37D735266AB}" name="WWD 2 °C"/>
    <tableColumn id="59" xr3:uid="{88092DE1-6A61-4B4C-8DCE-C5A40350ED38}" name="WWD 4 °C"/>
    <tableColumn id="60" xr3:uid="{D6CE029C-94DA-4EC7-938B-C87F0B76F99F}" name="WWD Change 2 °C"/>
    <tableColumn id="61" xr3:uid="{15893652-6D1D-44BF-ABA8-DB4441E9DE97}" name="WWD Change 4 °C" dataDxfId="26"/>
    <tableColumn id="62" xr3:uid="{53097DB3-4EC3-40D7-A279-BFFB08021124}" name="WF Now"/>
    <tableColumn id="63" xr3:uid="{53363583-1C87-4D99-B3A3-402B75331C28}" name="WF 2 °C"/>
    <tableColumn id="64" xr3:uid="{AF0D19DC-A9BB-41D2-99DC-3A87B97A2BD1}" name="WF 4 °C"/>
    <tableColumn id="65" xr3:uid="{F2C6F13E-FE00-48E2-BDC1-D9CCBBCF19D3}" name="WF Change 2 °C"/>
    <tableColumn id="66" xr3:uid="{5C97DE9C-C726-434F-818D-ECC027937572}" name="WF Change 4 °C"/>
    <tableColumn id="67" xr3:uid="{884C3963-BBDB-4DB2-9D43-1C62C1A67932}" name="RCP8.5 - Now" dataDxfId="25"/>
    <tableColumn id="68" xr3:uid="{7FCF8F31-A035-486F-981C-71F9B94F17A5}" name="RCP8.5 - 2100"/>
    <tableColumn id="69" xr3:uid="{65D79F49-C678-40AE-9103-9B3A541BEBFC}" name="RR Change 4 °C"/>
    <tableColumn id="70" xr3:uid="{C617BF66-3884-4781-BF47-1E11E11AA823}" name="By 2050"/>
    <tableColumn id="71" xr3:uid="{2DC0D20E-7051-4582-9D0F-CBF206509E52}" name="By 2100"/>
    <tableColumn id="72" xr3:uid="{04FA8F1D-1074-459B-9F7A-FDD1D9D4FB06}" name="PRF Change 4 °C" dataDxfId="24"/>
    <tableColumn id="73" xr3:uid="{F68D37FC-50E0-40E4-AD39-303F52E82184}" name="Now"/>
    <tableColumn id="74" xr3:uid="{B27CACAA-AADC-4A17-939C-7B2B45962668}" name="8.5"/>
    <tableColumn id="75" xr3:uid="{34C44CAF-48DD-4A66-AD65-0842F45EAF46}" name="LRF Change 4 °C"/>
    <tableColumn id="76" xr3:uid="{7217E767-12C1-4FF3-A7AA-7EC902021BA6}" name="Now4" dataDxfId="23"/>
    <tableColumn id="77" xr3:uid="{0121F8E6-B961-4A71-9D60-323C5FBD3103}" name="4 °C" dataDxfId="22"/>
    <tableColumn id="78" xr3:uid="{D5A203F8-B445-4141-937F-6E730E048DA3}" name="Now5" dataDxfId="21"/>
    <tableColumn id="79" xr3:uid="{D9A59D2D-DEF4-4345-BE51-1AF7111FAA7A}" name="2 °C" dataDxfId="20"/>
    <tableColumn id="80" xr3:uid="{8CCF7A90-8320-4DD0-9846-6D26BC3F1763}" name="4 °C6" dataDxfId="19"/>
    <tableColumn id="81" xr3:uid="{7A40085A-BE1F-4240-9031-7C6A1CA61B52}" name="River and Marine flood Now" dataDxfId="18"/>
    <tableColumn id="82" xr3:uid="{CC7372B1-38B1-4826-8169-DDE59AB91B36}" name="Surface water 4 °C" dataDxfId="17"/>
    <tableColumn id="83" xr3:uid="{A622F20C-D40F-4343-923D-8184BA120DC7}" name="Riverine and marine 4 °C" dataDxfId="16"/>
    <tableColumn id="84" xr3:uid="{811ECF44-5324-47BD-B28D-95A30EBD2490}" name="Others* 4 °C" dataDxfId="15"/>
    <tableColumn id="85" xr3:uid="{A512D4A8-F138-42AB-A3C9-298F2F5426E7}" name="4 °C7" dataDxfId="14"/>
    <tableColumn id="86" xr3:uid="{F19ECE97-35A3-41AF-9E6C-5F0EDD2A7AB2}" name="Elevation (lowest)" dataDxfId="13"/>
    <tableColumn id="87" xr3:uid="{856520AE-D128-4170-862A-1017C9FA26C4}" name="Note: UK Geography" dataDxfId="12"/>
    <tableColumn id="88" xr3:uid="{3E7031B7-8104-4BB0-B75B-0182BEB6590E}" name="Note: Site Specifics" dataDxfId="11"/>
    <tableColumn id="89" xr3:uid="{D058ACAC-C17E-4CCC-A149-1387AB24212A}" name="Flood Capacity??" dataDxfId="10"/>
  </tableColumns>
  <tableStyleInfo name="TableStyleLight1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gov.uk/guidance/climate-change-risk-assessment-and-adaptation-planning-in-your-management-system" TargetMode="External"/><Relationship Id="rId2" Type="http://schemas.openxmlformats.org/officeDocument/2006/relationships/hyperlink" Target="https://urban-water.co.uk/flood-zones/" TargetMode="External"/><Relationship Id="rId1" Type="http://schemas.openxmlformats.org/officeDocument/2006/relationships/hyperlink" Target="https://check-long-term-flood-risk.service.gov.uk/risk" TargetMode="External"/><Relationship Id="rId6" Type="http://schemas.openxmlformats.org/officeDocument/2006/relationships/drawing" Target="../drawings/drawing2.xml"/><Relationship Id="rId5" Type="http://schemas.openxmlformats.org/officeDocument/2006/relationships/hyperlink" Target="https://www.gov.uk/government/publications/preparing-for-flooding-a-guide-for-regulated-sites" TargetMode="External"/><Relationship Id="rId4" Type="http://schemas.openxmlformats.org/officeDocument/2006/relationships/hyperlink" Target="https://uk-cri.org/"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coastal.climatecentral.org/map/11/-2.9581/51.5639/?theme=sea_level_rise&amp;map_type=year&amp;basemap=roadmap&amp;contiguous=true&amp;elevation_model=best_available&amp;forecast_year=2100&amp;pathway=rcp45&amp;percentile=p50&amp;refresh=true&amp;return_level=return_level_0&amp;rl_model=coast_rp&amp;slr_model=kopp_2017"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5E07-BECF-4799-BBC1-4FABF8C26AF5}">
  <sheetPr>
    <tabColor rgb="FFC00000"/>
  </sheetPr>
  <dimension ref="A1:Y97"/>
  <sheetViews>
    <sheetView tabSelected="1" zoomScale="48" zoomScaleNormal="40" workbookViewId="0">
      <selection activeCell="L14" sqref="L14"/>
    </sheetView>
  </sheetViews>
  <sheetFormatPr defaultColWidth="0" defaultRowHeight="15" zeroHeight="1"/>
  <cols>
    <col min="1" max="1" width="8.7109375" customWidth="1"/>
    <col min="2" max="2" width="19.85546875" style="784" bestFit="1" customWidth="1"/>
    <col min="3" max="3" width="59.28515625" customWidth="1"/>
    <col min="4" max="4" width="12.28515625" bestFit="1" customWidth="1"/>
    <col min="5" max="5" width="16.42578125" customWidth="1"/>
    <col min="6" max="6" width="18.140625" customWidth="1"/>
    <col min="7" max="7" width="15.85546875" style="752" customWidth="1"/>
    <col min="8" max="8" width="19.85546875" bestFit="1" customWidth="1"/>
    <col min="9" max="10" width="10" hidden="1" customWidth="1"/>
    <col min="11" max="11" width="13.85546875" hidden="1" customWidth="1"/>
    <col min="12" max="12" width="13.85546875" customWidth="1"/>
    <col min="13" max="13" width="3.5703125" customWidth="1"/>
    <col min="14" max="14" width="41.140625" customWidth="1"/>
    <col min="15" max="15" width="10.85546875" customWidth="1"/>
    <col min="16" max="16" width="25.5703125" customWidth="1"/>
    <col min="17" max="17" width="4.85546875" customWidth="1"/>
    <col min="18" max="21" width="8.7109375" customWidth="1"/>
    <col min="22" max="25" width="0" hidden="1" customWidth="1"/>
    <col min="26" max="16384" width="8.7109375" hidden="1"/>
  </cols>
  <sheetData>
    <row r="1" spans="1:21">
      <c r="A1" s="752"/>
      <c r="B1" s="782"/>
      <c r="C1" s="752"/>
      <c r="D1" s="752"/>
      <c r="E1" s="752"/>
      <c r="F1" s="752"/>
      <c r="H1" s="752"/>
      <c r="I1" s="752"/>
      <c r="J1" s="752"/>
      <c r="K1" s="752"/>
      <c r="L1" s="752"/>
      <c r="M1" s="752"/>
      <c r="N1" s="752"/>
      <c r="O1" s="752"/>
      <c r="P1" s="752"/>
      <c r="Q1" s="752"/>
      <c r="R1" s="752"/>
      <c r="S1" s="752"/>
      <c r="T1" s="752"/>
      <c r="U1" s="752"/>
    </row>
    <row r="2" spans="1:21">
      <c r="A2" s="752"/>
      <c r="B2" s="782"/>
      <c r="C2" s="752"/>
      <c r="D2" s="752"/>
      <c r="E2" s="752"/>
      <c r="F2" s="752"/>
      <c r="H2" s="752"/>
      <c r="I2" s="752"/>
      <c r="J2" s="752"/>
      <c r="K2" s="752"/>
      <c r="L2" s="752"/>
      <c r="M2" s="752"/>
      <c r="N2" s="752"/>
      <c r="O2" s="752"/>
      <c r="P2" s="752"/>
      <c r="Q2" s="752"/>
      <c r="R2" s="752"/>
      <c r="S2" s="752"/>
      <c r="T2" s="752"/>
      <c r="U2" s="752"/>
    </row>
    <row r="3" spans="1:21">
      <c r="A3" s="752"/>
      <c r="B3" s="782"/>
      <c r="C3" s="752"/>
      <c r="D3" s="752"/>
      <c r="E3" s="752"/>
      <c r="F3" s="752"/>
      <c r="H3" s="752"/>
      <c r="I3" s="752"/>
      <c r="J3" s="752"/>
      <c r="K3" s="752"/>
      <c r="L3" s="752"/>
      <c r="M3" s="752"/>
      <c r="N3" s="752"/>
      <c r="O3" s="752"/>
      <c r="P3" s="752"/>
      <c r="Q3" s="752"/>
      <c r="R3" s="752"/>
      <c r="S3" s="752"/>
      <c r="T3" s="752"/>
      <c r="U3" s="752"/>
    </row>
    <row r="4" spans="1:21" ht="18.75">
      <c r="A4" s="752"/>
      <c r="B4" s="782"/>
      <c r="C4" s="758" t="s">
        <v>205</v>
      </c>
      <c r="D4" s="752"/>
      <c r="E4" s="752"/>
      <c r="F4" s="752"/>
      <c r="H4" s="752"/>
      <c r="I4" s="752"/>
      <c r="J4" s="752"/>
      <c r="K4" s="752"/>
      <c r="L4" s="752"/>
      <c r="M4" s="752"/>
      <c r="N4" s="752"/>
      <c r="O4" s="752"/>
      <c r="P4" s="752"/>
      <c r="Q4" s="752"/>
      <c r="R4" s="752"/>
      <c r="S4" s="752"/>
      <c r="T4" s="752"/>
      <c r="U4" s="752"/>
    </row>
    <row r="5" spans="1:21" ht="26.45" customHeight="1">
      <c r="A5" s="752"/>
      <c r="B5" s="782"/>
      <c r="C5" s="759" t="s">
        <v>207</v>
      </c>
      <c r="D5" s="752"/>
      <c r="E5" s="752"/>
      <c r="F5" s="752"/>
      <c r="H5" s="752"/>
      <c r="I5" s="752"/>
      <c r="J5" s="752"/>
      <c r="K5" s="752"/>
      <c r="L5" s="752"/>
      <c r="M5" s="752"/>
      <c r="N5" s="752"/>
      <c r="O5" s="752"/>
      <c r="P5" s="752"/>
      <c r="Q5" s="752"/>
      <c r="R5" s="752"/>
      <c r="S5" s="752"/>
      <c r="T5" s="752"/>
      <c r="U5" s="752"/>
    </row>
    <row r="6" spans="1:21">
      <c r="A6" s="752"/>
      <c r="B6" s="782"/>
      <c r="D6" s="752"/>
      <c r="E6" s="752"/>
      <c r="F6" s="752"/>
      <c r="H6" s="752"/>
      <c r="I6" s="752"/>
      <c r="J6" s="752"/>
      <c r="K6" s="752"/>
      <c r="L6" s="752"/>
      <c r="M6" s="752"/>
      <c r="N6" s="752"/>
      <c r="O6" s="752"/>
      <c r="P6" s="752"/>
      <c r="Q6" s="752"/>
      <c r="R6" s="752"/>
      <c r="S6" s="752"/>
      <c r="T6" s="752"/>
      <c r="U6" s="752"/>
    </row>
    <row r="7" spans="1:21" ht="17.45" customHeight="1">
      <c r="A7" s="752"/>
      <c r="B7" s="782"/>
      <c r="C7" s="760"/>
      <c r="D7" s="752"/>
      <c r="E7" s="752"/>
      <c r="F7" s="752"/>
      <c r="H7" s="752"/>
      <c r="I7" s="752"/>
      <c r="J7" s="752"/>
      <c r="K7" s="752"/>
      <c r="L7" s="752"/>
      <c r="M7" s="752"/>
      <c r="N7" s="752"/>
      <c r="O7" s="752"/>
      <c r="P7" s="752"/>
      <c r="Q7" s="752"/>
      <c r="R7" s="752"/>
      <c r="S7" s="752"/>
      <c r="T7" s="752"/>
      <c r="U7" s="752"/>
    </row>
    <row r="8" spans="1:21" ht="21.95" customHeight="1">
      <c r="A8" s="752"/>
      <c r="B8" s="783" t="s">
        <v>52</v>
      </c>
      <c r="C8" s="781" t="s">
        <v>803</v>
      </c>
      <c r="D8" s="752"/>
      <c r="E8" s="752"/>
      <c r="F8" s="752"/>
      <c r="H8" s="752"/>
      <c r="I8" s="752"/>
      <c r="J8" s="752"/>
      <c r="K8" s="752"/>
      <c r="L8" s="752"/>
      <c r="M8" s="752"/>
      <c r="N8" s="752"/>
      <c r="O8" s="752"/>
      <c r="P8" s="752"/>
      <c r="Q8" s="752"/>
      <c r="R8" s="752"/>
      <c r="S8" s="752"/>
      <c r="T8" s="752"/>
      <c r="U8" s="752"/>
    </row>
    <row r="9" spans="1:21" ht="21.95" customHeight="1">
      <c r="A9" s="752"/>
      <c r="B9" s="783" t="s">
        <v>259</v>
      </c>
      <c r="C9" s="810" t="str">
        <f>VLOOKUP(C8,[1]Indicators!B5:F39,2,FALSE)</f>
        <v>NG7 2SD</v>
      </c>
      <c r="D9" s="752"/>
      <c r="E9" s="752"/>
      <c r="F9" s="752"/>
      <c r="H9" s="752"/>
      <c r="I9" s="752"/>
      <c r="J9" s="752"/>
      <c r="K9" s="752"/>
      <c r="L9" s="752"/>
      <c r="M9" s="752"/>
      <c r="N9" s="752"/>
      <c r="O9" s="752"/>
      <c r="P9" s="752"/>
      <c r="Q9" s="752"/>
      <c r="R9" s="752"/>
      <c r="S9" s="752"/>
      <c r="T9" s="752"/>
      <c r="U9" s="752"/>
    </row>
    <row r="10" spans="1:21" ht="21.95" customHeight="1">
      <c r="A10" s="752"/>
      <c r="B10" s="783" t="s">
        <v>743</v>
      </c>
      <c r="C10" s="810"/>
      <c r="D10" s="752"/>
      <c r="E10" s="752"/>
      <c r="F10" s="752"/>
      <c r="H10" s="752"/>
      <c r="I10" s="752"/>
      <c r="J10" s="752"/>
      <c r="K10" s="752"/>
      <c r="L10" s="752"/>
      <c r="M10" s="752"/>
      <c r="N10" s="752"/>
      <c r="O10" s="752"/>
      <c r="P10" s="752"/>
      <c r="Q10" s="752"/>
      <c r="R10" s="752"/>
      <c r="S10" s="752"/>
      <c r="T10" s="752"/>
      <c r="U10" s="752"/>
    </row>
    <row r="11" spans="1:21" ht="21.95" customHeight="1">
      <c r="B11" s="783" t="s">
        <v>54</v>
      </c>
      <c r="C11" s="810">
        <f>VLOOKUP(C8,[1]Indicators!B5:F39,3,FALSE)</f>
        <v>52.93</v>
      </c>
      <c r="D11" s="752"/>
      <c r="E11" s="752"/>
      <c r="F11" s="752"/>
      <c r="H11" s="752"/>
      <c r="I11" s="752"/>
      <c r="J11" s="752"/>
      <c r="K11" s="752"/>
      <c r="L11" s="752"/>
      <c r="M11" s="752"/>
      <c r="N11" s="752"/>
      <c r="O11" s="752"/>
      <c r="P11" s="752"/>
      <c r="Q11" s="752"/>
      <c r="R11" s="752"/>
      <c r="S11" s="752"/>
      <c r="T11" s="752"/>
      <c r="U11" s="752"/>
    </row>
    <row r="12" spans="1:21" ht="21.95" customHeight="1">
      <c r="A12" s="752"/>
      <c r="B12" s="783" t="s">
        <v>55</v>
      </c>
      <c r="C12" s="810">
        <f>VLOOKUP(C8,[1]Indicators!B5:F39,4,FALSE)</f>
        <v>-1.18</v>
      </c>
      <c r="D12" s="752"/>
      <c r="E12" s="752"/>
      <c r="F12" s="752"/>
      <c r="H12" s="752"/>
      <c r="I12" s="752"/>
      <c r="J12" s="752"/>
      <c r="K12" s="752"/>
      <c r="L12" s="752"/>
      <c r="M12" s="752"/>
      <c r="N12" s="752"/>
      <c r="O12" s="752"/>
      <c r="P12" s="752"/>
      <c r="Q12" s="752"/>
      <c r="R12" s="752"/>
      <c r="S12" s="752"/>
      <c r="T12" s="752"/>
      <c r="U12" s="752"/>
    </row>
    <row r="13" spans="1:21">
      <c r="B13" s="782"/>
      <c r="C13" s="752"/>
      <c r="D13" s="752"/>
      <c r="E13" s="752"/>
      <c r="F13" s="752"/>
      <c r="H13" s="752"/>
      <c r="I13" s="752"/>
      <c r="J13" s="752"/>
      <c r="K13" s="752"/>
      <c r="L13" s="752"/>
      <c r="M13" s="752"/>
      <c r="N13" s="752"/>
      <c r="O13" s="752"/>
      <c r="P13" s="752"/>
      <c r="Q13" s="752"/>
      <c r="R13" s="752"/>
      <c r="S13" s="752"/>
      <c r="T13" s="752"/>
      <c r="U13" s="752"/>
    </row>
    <row r="14" spans="1:21" ht="130.5" customHeight="1">
      <c r="A14" s="752"/>
      <c r="B14" s="785" t="s">
        <v>260</v>
      </c>
      <c r="C14" s="1008" t="str">
        <f>_xlfn.CONCAT("",$C$8," hottest summer day site could reach ",$F$25, "°C.
",$G$25,"°C"," hotter than average between 1991 to 2020. 
Summer average temperature is expected to increase by ~ ",$G$26,"°C. 
",$F$24," days p.a. where temperatures will exceed 25°C. 
", $G$23, " more days p.a. where maximum daily temperature is above 35°C.")&amp; "
Number of icing days through the year are expected to decrease. 
Heat-stress, heatwave, and wildfires events, which are expected to increase in frequency and magnitude."</f>
        <v>NOTTINGHAM GBR hottest summer day site could reach 21.3°C.
4.4°C hotter than average between 1991 to 2020. 
Summer average temperature is expected to increase by ~ -0.8°C. 
38.6 days p.a. where temperatures will exceed 25°C. 
37.9 more days p.a. where maximum daily temperature is above 35°C.
Number of icing days through the year are expected to decrease. 
Heat-stress, heatwave, and wildfires events, which are expected to increase in frequency and magnitude.</v>
      </c>
      <c r="D14" s="1008"/>
      <c r="E14" s="1008"/>
      <c r="F14" s="1008"/>
      <c r="G14" s="1008"/>
      <c r="H14" s="1008"/>
      <c r="I14" s="752"/>
      <c r="J14" s="752"/>
      <c r="K14" s="752"/>
      <c r="L14" s="752"/>
      <c r="M14" s="752"/>
      <c r="N14" s="752"/>
      <c r="O14" s="752"/>
      <c r="P14" s="752"/>
      <c r="Q14" s="752"/>
      <c r="R14" s="752"/>
      <c r="S14" s="752"/>
      <c r="T14" s="752"/>
      <c r="U14" s="752"/>
    </row>
    <row r="15" spans="1:21" ht="72.599999999999994" customHeight="1">
      <c r="A15" s="752"/>
      <c r="B15" s="786" t="s">
        <v>261</v>
      </c>
      <c r="C15" s="1009" t="str">
        <f>CONCATENATE("Summer rainy days decrease from ",$E$31," per month currently, to ", $F$31, " per month.
Intensity of rain to ", IF($G$33&gt;0," increase"," decrease"),", additional ",$G$33," mm"," on summer wettest day.
Intensity of rain to ", IF($G$34&gt;0," increase"," decrease"),  ", additional ",$G$34," mm"," on winter wettest day.")</f>
        <v>Summer rainy days decrease from 9 per month currently, to 6 per month.
Intensity of rain to  increase, additional 9 mm on summer wettest day.
Intensity of rain to  increase, additional 11 mm on winter wettest day.</v>
      </c>
      <c r="D15" s="1009"/>
      <c r="E15" s="1009"/>
      <c r="F15" s="1009"/>
      <c r="G15" s="1009"/>
      <c r="H15" s="1009"/>
      <c r="I15" s="752"/>
      <c r="J15" s="752"/>
      <c r="K15" s="752"/>
      <c r="L15" s="752"/>
      <c r="M15" s="752"/>
      <c r="N15" s="752"/>
      <c r="O15" s="752"/>
      <c r="P15" s="752"/>
      <c r="Q15" s="752"/>
      <c r="R15" s="752"/>
      <c r="S15" s="752"/>
      <c r="T15" s="752"/>
      <c r="U15" s="752"/>
    </row>
    <row r="16" spans="1:21" ht="98.1" customHeight="1">
      <c r="A16" s="752"/>
      <c r="B16" s="785" t="s">
        <v>262</v>
      </c>
      <c r="C16" s="1008" t="str">
        <f>CONCATENATE(" Climate Change poses a significant risk to river flow, with extreme high and low flows potentially presenting a hazard for the identified vulnerable elements. Trends across ",$C$8,"'s management catchment area:
Peak river flows expected to ",IF($G$39&gt;0,"increase","decrease")," by up to ",$G$39,"%, contributing to an increase in flooding risk. 
Low flows could decrease by up to ",G40*-1,"% below current levels, which could result in a corresponding increase in hydrological and environmental stress.")</f>
        <v xml:space="preserve"> Climate Change poses a significant risk to river flow, with extreme high and low flows potentially presenting a hazard for the identified vulnerable elements. Trends across NOTTINGHAM GBR's management catchment area:
Peak river flows expected to decrease by up to -81%, contributing to an increase in flooding risk. 
Low flows could decrease by up to 0% below current levels, which could result in a corresponding increase in hydrological and environmental stress.</v>
      </c>
      <c r="D16" s="1008"/>
      <c r="E16" s="1008"/>
      <c r="F16" s="1008"/>
      <c r="G16" s="1008"/>
      <c r="H16" s="1008"/>
      <c r="I16" s="752"/>
      <c r="J16" s="752"/>
      <c r="K16" s="752"/>
      <c r="L16" s="752"/>
      <c r="M16" s="752"/>
      <c r="N16" s="752"/>
      <c r="O16" s="752"/>
      <c r="P16" s="752"/>
      <c r="Q16" s="752"/>
      <c r="R16" s="752"/>
      <c r="S16" s="752"/>
      <c r="T16" s="752"/>
      <c r="U16" s="752"/>
    </row>
    <row r="17" spans="1:21">
      <c r="A17" s="752"/>
      <c r="B17" s="782"/>
      <c r="C17" s="752"/>
      <c r="D17" s="752"/>
      <c r="E17" s="752"/>
      <c r="F17" s="752"/>
      <c r="H17" s="752"/>
      <c r="I17" s="752"/>
      <c r="J17" s="752"/>
      <c r="K17" s="752"/>
      <c r="L17" s="752"/>
      <c r="M17" s="752"/>
      <c r="N17" s="752"/>
      <c r="O17" s="752"/>
      <c r="P17" s="752"/>
      <c r="Q17" s="752"/>
      <c r="R17" s="752"/>
      <c r="S17" s="752"/>
      <c r="T17" s="752"/>
      <c r="U17" s="752"/>
    </row>
    <row r="18" spans="1:21" ht="15.75" thickBot="1">
      <c r="A18" s="752"/>
      <c r="B18" s="782"/>
      <c r="C18" s="765" t="s">
        <v>220</v>
      </c>
      <c r="D18" s="752"/>
      <c r="E18" s="752"/>
      <c r="F18" s="752"/>
      <c r="H18" s="752"/>
      <c r="I18" s="752"/>
      <c r="J18" s="752"/>
      <c r="K18" s="752"/>
      <c r="L18" s="752"/>
      <c r="M18" s="752"/>
      <c r="N18" s="752"/>
      <c r="O18" s="752"/>
      <c r="P18" s="752"/>
      <c r="Q18" s="752"/>
      <c r="R18" s="752"/>
      <c r="S18" s="752"/>
      <c r="T18" s="752"/>
      <c r="U18" s="752"/>
    </row>
    <row r="19" spans="1:21">
      <c r="A19" s="752"/>
      <c r="B19" s="782"/>
      <c r="D19" s="752"/>
      <c r="E19" s="752"/>
      <c r="F19" s="752"/>
      <c r="H19" s="752"/>
      <c r="I19" s="752"/>
      <c r="J19" s="752"/>
      <c r="K19" s="752"/>
      <c r="L19" s="752"/>
      <c r="M19" s="753"/>
      <c r="N19" s="754"/>
      <c r="O19" s="754"/>
      <c r="P19" s="754"/>
      <c r="Q19" s="755"/>
      <c r="R19" s="752"/>
      <c r="S19" s="752"/>
      <c r="T19" s="752"/>
      <c r="U19" s="752"/>
    </row>
    <row r="20" spans="1:21" ht="15.75">
      <c r="A20" s="752"/>
      <c r="B20" s="782"/>
      <c r="C20" s="752"/>
      <c r="D20" s="752"/>
      <c r="E20" s="752"/>
      <c r="F20" s="752"/>
      <c r="H20" s="761" t="s">
        <v>221</v>
      </c>
      <c r="I20" s="752"/>
      <c r="J20" s="752"/>
      <c r="K20" s="752"/>
      <c r="L20" s="752"/>
      <c r="M20" s="756"/>
      <c r="N20" s="811" t="s">
        <v>204</v>
      </c>
      <c r="O20" s="752"/>
      <c r="P20" s="752"/>
      <c r="Q20" s="757"/>
      <c r="R20" s="752"/>
      <c r="S20" s="752"/>
      <c r="T20" s="752"/>
      <c r="U20" s="752"/>
    </row>
    <row r="21" spans="1:21">
      <c r="A21" s="752"/>
      <c r="B21" s="782"/>
      <c r="C21" s="766" t="s">
        <v>223</v>
      </c>
      <c r="D21" s="767" t="s">
        <v>209</v>
      </c>
      <c r="E21" s="768" t="s">
        <v>224</v>
      </c>
      <c r="F21" s="769" t="s">
        <v>225</v>
      </c>
      <c r="G21" s="769" t="s">
        <v>226</v>
      </c>
      <c r="H21" s="770" t="s">
        <v>227</v>
      </c>
      <c r="I21" s="770" t="s">
        <v>679</v>
      </c>
      <c r="J21" s="770" t="s">
        <v>680</v>
      </c>
      <c r="K21" s="770" t="s">
        <v>681</v>
      </c>
      <c r="L21" s="752"/>
      <c r="M21" s="756"/>
      <c r="N21" s="812" t="s">
        <v>206</v>
      </c>
      <c r="O21" s="752"/>
      <c r="P21" s="752"/>
      <c r="Q21" s="757"/>
      <c r="R21" s="752"/>
      <c r="S21" s="752"/>
      <c r="T21" s="752"/>
      <c r="U21" s="752"/>
    </row>
    <row r="22" spans="1:21" ht="30">
      <c r="A22" s="752"/>
      <c r="B22" s="782"/>
      <c r="C22" s="771" t="s">
        <v>229</v>
      </c>
      <c r="D22" s="772" t="s">
        <v>212</v>
      </c>
      <c r="E22" s="773">
        <f>ROUND(_xlfn.XLOOKUP($C$8,[1]Indicators!$B$5:$B$38,[1]Indicators!G$5:G$38,"Not available",0),1)</f>
        <v>0.3</v>
      </c>
      <c r="F22" s="773">
        <f>ROUND(_xlfn.XLOOKUP($C$8,[1]Indicators!$B$5:$B$38,[1]Indicators!I$5:I$38,"Not available",0),1)</f>
        <v>3.6</v>
      </c>
      <c r="G22" s="774">
        <f>IFERROR(F22-E22,"")</f>
        <v>3.3000000000000003</v>
      </c>
      <c r="H22" s="972">
        <f>AVERAGE([1]Indicators!K$5:K$38)</f>
        <v>2.3735294117647059</v>
      </c>
      <c r="I22" s="813">
        <f>[1]Indicators!K42</f>
        <v>5.0999999999999996</v>
      </c>
      <c r="J22" s="813">
        <f>[1]Indicators!K41</f>
        <v>2.3444444444444446</v>
      </c>
      <c r="K22" s="752">
        <f>[1]Indicators!K43</f>
        <v>0.3</v>
      </c>
      <c r="L22" s="752" t="str">
        <f>IF(F22&lt;E22,"LOWER",(IF(F22=E22,"NO CHANGE IN","HIGHER")))</f>
        <v>HIGHER</v>
      </c>
      <c r="M22" s="756"/>
      <c r="N22" s="814" t="s">
        <v>208</v>
      </c>
      <c r="O22" s="814" t="s">
        <v>209</v>
      </c>
      <c r="P22" s="815" t="s">
        <v>210</v>
      </c>
      <c r="Q22" s="757"/>
      <c r="R22" s="752"/>
      <c r="S22" s="752"/>
      <c r="T22" s="752"/>
      <c r="U22" s="752"/>
    </row>
    <row r="23" spans="1:21">
      <c r="A23" s="752"/>
      <c r="B23" s="782"/>
      <c r="C23" s="772" t="s">
        <v>230</v>
      </c>
      <c r="D23" s="772" t="s">
        <v>212</v>
      </c>
      <c r="E23" s="773">
        <f>ROUND(_xlfn.XLOOKUP($C$8,[1]Indicators!$B$5:$B$38,[1]Indicators!V$5:V$38,"Not available",0),1)</f>
        <v>23.6</v>
      </c>
      <c r="F23" s="773">
        <f>ROUND(_xlfn.XLOOKUP($C$8,[1]Indicators!$B$5:$B$38,[1]Indicators!X$5:X$38,"Not available",0),1)</f>
        <v>61.5</v>
      </c>
      <c r="G23" s="774">
        <f t="shared" ref="G23:G27" si="0">IFERROR(F23-E23,"")</f>
        <v>37.9</v>
      </c>
      <c r="H23" s="773">
        <f>AVERAGE([1]Indicators!Z$5:Z$38)</f>
        <v>36.464705882352945</v>
      </c>
      <c r="I23" s="752">
        <f>[1]Indicators!Z42</f>
        <v>47.7</v>
      </c>
      <c r="J23" s="752">
        <f>[1]Indicators!Z41</f>
        <v>35.313888888888897</v>
      </c>
      <c r="K23" s="752">
        <f>[1]Indicators!Z43</f>
        <v>15.5</v>
      </c>
      <c r="L23" s="752" t="str">
        <f t="shared" ref="L23:L56" si="1">IF(F23&lt;E23,"LOWER",(IF(F23=E23,"NO CHANGE IN","HIGHER")))</f>
        <v>HIGHER</v>
      </c>
      <c r="M23" s="756"/>
      <c r="N23" s="752" t="s">
        <v>211</v>
      </c>
      <c r="O23" s="752" t="s">
        <v>212</v>
      </c>
      <c r="P23" s="816">
        <f>1.077-0.091</f>
        <v>0.98599999999999999</v>
      </c>
      <c r="Q23" s="757"/>
      <c r="R23" s="752"/>
      <c r="S23" s="752"/>
      <c r="T23" s="752"/>
      <c r="U23" s="752"/>
    </row>
    <row r="24" spans="1:21">
      <c r="A24" s="752"/>
      <c r="B24" s="782"/>
      <c r="C24" s="772" t="s">
        <v>231</v>
      </c>
      <c r="D24" s="772" t="s">
        <v>214</v>
      </c>
      <c r="E24" s="773">
        <f>ROUND(_xlfn.XLOOKUP($C$8,[1]Indicators!$B$5:$B$38,[1]Indicators!L$5:L$38,"Not available",0),1)</f>
        <v>31.7</v>
      </c>
      <c r="F24" s="773">
        <f>ROUND(_xlfn.XLOOKUP($C$8,[1]Indicators!$B$5:$B$38,[1]Indicators!N$5:N$38,"Not available",0),1)</f>
        <v>38.6</v>
      </c>
      <c r="G24" s="774">
        <f t="shared" si="0"/>
        <v>6.9000000000000021</v>
      </c>
      <c r="H24" s="773">
        <f>AVERAGE([1]Indicators!P$5:P$38)</f>
        <v>6.5352941176470596</v>
      </c>
      <c r="I24" s="752">
        <f>[1]Indicators!P42</f>
        <v>7.6</v>
      </c>
      <c r="J24" s="752">
        <f>[1]Indicators!P41</f>
        <v>6.3750000000000009</v>
      </c>
      <c r="K24" s="752">
        <f>[1]Indicators!P43</f>
        <v>1.6</v>
      </c>
      <c r="L24" s="752" t="str">
        <f t="shared" si="1"/>
        <v>HIGHER</v>
      </c>
      <c r="M24" s="756"/>
      <c r="N24" s="752" t="s">
        <v>213</v>
      </c>
      <c r="O24" s="752" t="s">
        <v>214</v>
      </c>
      <c r="P24" s="816">
        <f>(15+25)/2</f>
        <v>20</v>
      </c>
      <c r="Q24" s="757"/>
      <c r="R24" s="752"/>
      <c r="S24" s="752"/>
      <c r="T24" s="752"/>
      <c r="U24" s="752"/>
    </row>
    <row r="25" spans="1:21">
      <c r="A25" s="752"/>
      <c r="B25" s="782"/>
      <c r="C25" s="772" t="s">
        <v>232</v>
      </c>
      <c r="D25" s="772" t="s">
        <v>214</v>
      </c>
      <c r="E25" s="773">
        <f>ROUND(_xlfn.XLOOKUP($C$8,[1]Indicators!$B$5:$B$38,[1]Indicators!Q$5:Q$38,"Not available",0),1)</f>
        <v>16.899999999999999</v>
      </c>
      <c r="F25" s="773">
        <f>ROUND(_xlfn.XLOOKUP($C$8,[1]Indicators!$B$5:$B$38,[1]Indicators!S$5:S$38,"Not available",0),1)</f>
        <v>21.3</v>
      </c>
      <c r="G25" s="774">
        <f t="shared" si="0"/>
        <v>4.4000000000000021</v>
      </c>
      <c r="H25" s="773">
        <f>AVERAGE([1]Indicators!U$5:U$38)</f>
        <v>4.3352941176470585</v>
      </c>
      <c r="I25" s="752">
        <f>[1]Indicators!U42</f>
        <v>4.7</v>
      </c>
      <c r="J25" s="752">
        <f>[1]Indicators!U41</f>
        <v>4.2166666666666659</v>
      </c>
      <c r="K25" s="752">
        <f>[1]Indicators!U43</f>
        <v>3.8</v>
      </c>
      <c r="L25" s="752" t="str">
        <f t="shared" si="1"/>
        <v>HIGHER</v>
      </c>
      <c r="M25" s="756"/>
      <c r="N25" s="752" t="s">
        <v>215</v>
      </c>
      <c r="O25" s="752" t="s">
        <v>214</v>
      </c>
      <c r="P25" s="816">
        <f>27-20.4</f>
        <v>6.6000000000000014</v>
      </c>
      <c r="Q25" s="757"/>
      <c r="R25" s="752"/>
      <c r="S25" s="752"/>
      <c r="T25" s="752"/>
      <c r="U25" s="752"/>
    </row>
    <row r="26" spans="1:21">
      <c r="A26" s="752"/>
      <c r="B26" s="782"/>
      <c r="C26" s="772" t="s">
        <v>233</v>
      </c>
      <c r="D26" s="772" t="s">
        <v>212</v>
      </c>
      <c r="E26" s="773">
        <f>ROUND(_xlfn.XLOOKUP($C$8,[1]Indicators!$B$5:$B$38,[1]Indicators!AA$5:AA$38,"Not available",0),1)</f>
        <v>0.9</v>
      </c>
      <c r="F26" s="773">
        <f>ROUND(_xlfn.XLOOKUP($C$8,[1]Indicators!$B$5:$B$38,[1]Indicators!AC$5:AC$38,"Not available",0),1)</f>
        <v>0.1</v>
      </c>
      <c r="G26" s="774">
        <f t="shared" si="0"/>
        <v>-0.8</v>
      </c>
      <c r="H26" s="773">
        <f>AVERAGE([1]Indicators!AE$5:AE$38)</f>
        <v>-0.80588235294117638</v>
      </c>
      <c r="I26" s="752">
        <f>[1]Indicators!AE42</f>
        <v>-0.3</v>
      </c>
      <c r="J26" s="752">
        <f>[1]Indicators!AE41</f>
        <v>-0.8027777777777777</v>
      </c>
      <c r="K26" s="752">
        <f>[1]Indicators!AE43</f>
        <v>-1.5</v>
      </c>
      <c r="L26" s="752" t="str">
        <f t="shared" si="1"/>
        <v>LOWER</v>
      </c>
      <c r="M26" s="756"/>
      <c r="N26" s="752" t="s">
        <v>216</v>
      </c>
      <c r="O26" s="752" t="s">
        <v>212</v>
      </c>
      <c r="P26" s="816">
        <f>4.006-0.407</f>
        <v>3.5990000000000002</v>
      </c>
      <c r="Q26" s="757"/>
      <c r="R26" s="752"/>
      <c r="S26" s="752"/>
      <c r="T26" s="752"/>
      <c r="U26" s="752"/>
    </row>
    <row r="27" spans="1:21">
      <c r="A27" s="752"/>
      <c r="B27" s="782"/>
      <c r="C27" s="772" t="s">
        <v>234</v>
      </c>
      <c r="D27" s="772" t="s">
        <v>212</v>
      </c>
      <c r="E27" s="773">
        <f>ROUND(_xlfn.XLOOKUP($C$8,[1]Indicators!$B$5:$B$38,[1]Indicators!AF$5:AF$38,"Not available",0),1)</f>
        <v>0.1</v>
      </c>
      <c r="F27" s="773">
        <f>ROUND(_xlfn.XLOOKUP($C$8,[1]Indicators!$B$5:$B$38,[1]Indicators!AH$5:AH$38,"Not available",0),1)</f>
        <v>4.5999999999999996</v>
      </c>
      <c r="G27" s="774">
        <f t="shared" si="0"/>
        <v>4.5</v>
      </c>
      <c r="H27" s="773">
        <f>AVERAGE([1]Indicators!AJ$5:AJ$38)</f>
        <v>3.2147058823529413</v>
      </c>
      <c r="I27" s="752">
        <f>[1]Indicators!AJ42</f>
        <v>6.8</v>
      </c>
      <c r="J27" s="752">
        <f>[1]Indicators!AJ41</f>
        <v>3.0722222222222224</v>
      </c>
      <c r="K27" s="752">
        <f>[1]Indicators!AJ43</f>
        <v>0.6</v>
      </c>
      <c r="L27" s="752" t="str">
        <f t="shared" si="1"/>
        <v>HIGHER</v>
      </c>
      <c r="M27" s="756"/>
      <c r="N27" s="752" t="s">
        <v>217</v>
      </c>
      <c r="O27" s="752" t="s">
        <v>218</v>
      </c>
      <c r="P27" s="816">
        <f>4.427-1.276</f>
        <v>3.1509999999999998</v>
      </c>
      <c r="Q27" s="757"/>
      <c r="R27" s="752"/>
      <c r="S27" s="752"/>
      <c r="T27" s="752"/>
      <c r="U27" s="752"/>
    </row>
    <row r="28" spans="1:21" ht="15.75" thickBot="1">
      <c r="A28" s="752"/>
      <c r="B28" s="782"/>
      <c r="C28" s="772" t="s">
        <v>235</v>
      </c>
      <c r="D28" s="772" t="s">
        <v>218</v>
      </c>
      <c r="E28" s="773">
        <f>ROUND(_xlfn.XLOOKUP($C$8,[1]Indicators!$B$5:$B$38,[1]Indicators!AK$5:AK$38,"Not available",0),1)</f>
        <v>0.9</v>
      </c>
      <c r="F28" s="773">
        <f>ROUND(_xlfn.XLOOKUP($C$8,[1]Indicators!$B$5:$B$38,[1]Indicators!AM$5:AM$38,"Not available",0),1)</f>
        <v>4.4000000000000004</v>
      </c>
      <c r="G28" s="774">
        <f>IFERROR(F28-E28,"")</f>
        <v>3.5000000000000004</v>
      </c>
      <c r="H28" s="773">
        <f>AVERAGE([1]Indicators!AO$5:AO$38)</f>
        <v>2.744117647058824</v>
      </c>
      <c r="I28" s="752">
        <f>[1]Indicators!AO42</f>
        <v>3.3</v>
      </c>
      <c r="J28" s="752">
        <f>[1]Indicators!AO41</f>
        <v>2.6750000000000003</v>
      </c>
      <c r="K28" s="752">
        <f>[1]Indicators!AO43</f>
        <v>1.1000000000000001</v>
      </c>
      <c r="L28" s="752" t="str">
        <f t="shared" si="1"/>
        <v>HIGHER</v>
      </c>
      <c r="M28" s="762"/>
      <c r="N28" s="763" t="s">
        <v>219</v>
      </c>
      <c r="O28" s="763" t="s">
        <v>212</v>
      </c>
      <c r="P28" s="787">
        <f>37.321-17.442</f>
        <v>19.878999999999998</v>
      </c>
      <c r="Q28" s="764"/>
      <c r="R28" s="752"/>
      <c r="S28" s="752"/>
      <c r="T28" s="752"/>
      <c r="U28" s="752"/>
    </row>
    <row r="29" spans="1:21">
      <c r="A29" s="752"/>
      <c r="B29" s="782"/>
      <c r="C29" s="772"/>
      <c r="D29" s="772"/>
      <c r="E29" s="773"/>
      <c r="F29" s="773"/>
      <c r="G29" s="773"/>
      <c r="H29" s="772"/>
      <c r="I29" s="752"/>
      <c r="J29" s="752"/>
      <c r="K29" s="752"/>
      <c r="L29" s="752"/>
      <c r="M29" s="752"/>
      <c r="N29" s="752"/>
      <c r="O29" s="752"/>
      <c r="P29" s="752"/>
      <c r="Q29" s="752"/>
      <c r="R29" s="752"/>
      <c r="S29" s="752"/>
      <c r="T29" s="752"/>
      <c r="U29" s="752"/>
    </row>
    <row r="30" spans="1:21">
      <c r="A30" s="752"/>
      <c r="B30" s="782"/>
      <c r="C30" s="766" t="s">
        <v>236</v>
      </c>
      <c r="D30" s="767" t="s">
        <v>209</v>
      </c>
      <c r="E30" s="768" t="s">
        <v>224</v>
      </c>
      <c r="F30" s="769" t="s">
        <v>225</v>
      </c>
      <c r="G30" s="769" t="s">
        <v>226</v>
      </c>
      <c r="H30" s="770" t="s">
        <v>227</v>
      </c>
      <c r="I30" s="752"/>
      <c r="J30" s="752"/>
      <c r="K30" s="752"/>
      <c r="L30" s="752"/>
      <c r="M30" s="752"/>
      <c r="N30" s="752"/>
      <c r="O30" s="752"/>
      <c r="P30" s="752"/>
      <c r="Q30" s="752"/>
      <c r="R30" s="752"/>
      <c r="S30" s="752"/>
      <c r="T30" s="752"/>
      <c r="U30" s="752"/>
    </row>
    <row r="31" spans="1:21">
      <c r="A31" s="752"/>
      <c r="B31" s="782"/>
      <c r="C31" s="772" t="s">
        <v>237</v>
      </c>
      <c r="D31" s="772" t="s">
        <v>238</v>
      </c>
      <c r="E31" s="773">
        <f>ROUND(_xlfn.XLOOKUP($C$8,[1]Indicators!$B$5:$B$38,[1]Indicators!AP$5:AP$38,"Not available",0),1)</f>
        <v>9</v>
      </c>
      <c r="F31" s="773">
        <f>ROUND(_xlfn.XLOOKUP($C$8,[1]Indicators!$B$5:$B$38,[1]Indicators!AR$5:AR$38,"Not available",0),1)</f>
        <v>6</v>
      </c>
      <c r="G31" s="774">
        <f>IFERROR(F31-E31,"")</f>
        <v>-3</v>
      </c>
      <c r="H31" s="773">
        <f>AVERAGE([1]Indicators!AT$5:AT$38)</f>
        <v>-2.0588235294117645</v>
      </c>
      <c r="I31" s="752">
        <f>[1]Indicators!AT42</f>
        <v>-1</v>
      </c>
      <c r="J31">
        <f>[1]Indicators!AT41</f>
        <v>-1.9722222222222223</v>
      </c>
      <c r="K31" s="752">
        <f>[1]Indicators!AT43</f>
        <v>-3</v>
      </c>
      <c r="L31" s="752" t="str">
        <f t="shared" si="1"/>
        <v>LOWER</v>
      </c>
      <c r="M31" s="752"/>
      <c r="N31" s="752"/>
      <c r="O31" s="752"/>
      <c r="P31" s="752"/>
      <c r="Q31" s="752"/>
      <c r="R31" s="752"/>
      <c r="S31" s="752"/>
      <c r="T31" s="752"/>
      <c r="U31" s="752"/>
    </row>
    <row r="32" spans="1:21">
      <c r="A32" s="752"/>
      <c r="B32" s="782"/>
      <c r="C32" s="772" t="s">
        <v>239</v>
      </c>
      <c r="D32" s="772" t="s">
        <v>238</v>
      </c>
      <c r="E32" s="773">
        <f>ROUND(_xlfn.XLOOKUP($C$8,[1]Indicators!$B$5:$B$38,[1]Indicators!AU$5:AU$38,"Not available",0),1)</f>
        <v>10</v>
      </c>
      <c r="F32" s="773">
        <f>ROUND(_xlfn.XLOOKUP($C$8,[1]Indicators!$B$5:$B$38,[1]Indicators!AW$5:AW$38,"Not available",0),1)</f>
        <v>10</v>
      </c>
      <c r="G32" s="774">
        <f t="shared" ref="G32:G34" si="2">IFERROR(F32-E32,"")</f>
        <v>0</v>
      </c>
      <c r="H32" s="773">
        <f>AVERAGE([1]Indicators!AY$5:AY$38)</f>
        <v>0</v>
      </c>
      <c r="I32" s="752">
        <f>[1]Indicators!AY42</f>
        <v>0</v>
      </c>
      <c r="J32" s="752">
        <f>[1]Indicators!AY41</f>
        <v>0</v>
      </c>
      <c r="K32" s="752">
        <f>[1]Indicators!AY43</f>
        <v>0</v>
      </c>
      <c r="L32" s="752" t="str">
        <f t="shared" si="1"/>
        <v>NO CHANGE IN</v>
      </c>
      <c r="M32" s="752"/>
      <c r="N32" s="752"/>
      <c r="O32" s="752"/>
      <c r="P32" s="752"/>
      <c r="Q32" s="752"/>
      <c r="R32" s="752"/>
      <c r="S32" s="752"/>
      <c r="T32" s="752"/>
      <c r="U32" s="752"/>
    </row>
    <row r="33" spans="1:21">
      <c r="A33" s="752"/>
      <c r="B33" s="782"/>
      <c r="C33" s="772" t="s">
        <v>240</v>
      </c>
      <c r="D33" s="772" t="s">
        <v>241</v>
      </c>
      <c r="E33" s="773">
        <f>ROUND(_xlfn.XLOOKUP($C$8,[1]Indicators!$B$5:$B$38,[1]Indicators!AZ$5:AZ$38,"Not available",0),1)</f>
        <v>58</v>
      </c>
      <c r="F33" s="773">
        <f>ROUND(_xlfn.XLOOKUP($C$8,[1]Indicators!$B$5:$B$38,[1]Indicators!BB$5:BB$38,"Not available",0),1)</f>
        <v>67</v>
      </c>
      <c r="G33" s="774">
        <f t="shared" si="2"/>
        <v>9</v>
      </c>
      <c r="H33" s="773">
        <f>AVERAGE([1]Indicators!BD$5:BD$38)</f>
        <v>8.617647058823529</v>
      </c>
      <c r="I33" s="752">
        <f>[1]Indicators!BD42</f>
        <v>24</v>
      </c>
      <c r="J33">
        <f>[1]Indicators!BD41</f>
        <v>8.4444444444444446</v>
      </c>
      <c r="K33" s="752">
        <f>[1]Indicators!BD43</f>
        <v>-6</v>
      </c>
      <c r="L33" s="752" t="str">
        <f t="shared" si="1"/>
        <v>HIGHER</v>
      </c>
      <c r="M33" s="752"/>
      <c r="N33" s="752"/>
      <c r="O33" s="752"/>
      <c r="P33" s="752"/>
      <c r="Q33" s="752"/>
      <c r="R33" s="752"/>
      <c r="S33" s="752"/>
      <c r="T33" s="752"/>
      <c r="U33" s="752"/>
    </row>
    <row r="34" spans="1:21">
      <c r="A34" s="752"/>
      <c r="B34" s="782"/>
      <c r="C34" s="772" t="s">
        <v>242</v>
      </c>
      <c r="D34" s="772" t="s">
        <v>241</v>
      </c>
      <c r="E34" s="773">
        <f>ROUND(_xlfn.XLOOKUP($C$8,[1]Indicators!$B$5:$B$38,[1]Indicators!BE$5:BE$38,"Not available",0),1)</f>
        <v>30</v>
      </c>
      <c r="F34" s="773">
        <f>ROUND(_xlfn.XLOOKUP($C$8,[1]Indicators!$B$5:$B$38,[1]Indicators!BG$5:BG$38,"Not available",0),1)</f>
        <v>41</v>
      </c>
      <c r="G34" s="774">
        <f t="shared" si="2"/>
        <v>11</v>
      </c>
      <c r="H34" s="773">
        <f>AVERAGE([1]Indicators!BI$5:BI$38)</f>
        <v>11.5</v>
      </c>
      <c r="I34" s="752">
        <f>[1]Indicators!BI42</f>
        <v>26</v>
      </c>
      <c r="J34">
        <f>[1]Indicators!BI41</f>
        <v>10.972222222222221</v>
      </c>
      <c r="K34" s="752">
        <f>[1]Indicators!BI43</f>
        <v>4</v>
      </c>
      <c r="L34" s="752" t="str">
        <f t="shared" si="1"/>
        <v>HIGHER</v>
      </c>
      <c r="M34" s="752"/>
      <c r="N34" s="761" t="s">
        <v>222</v>
      </c>
      <c r="O34" s="752"/>
      <c r="P34" s="752"/>
      <c r="Q34" s="752"/>
      <c r="R34" s="752"/>
      <c r="S34" s="752"/>
      <c r="T34" s="752"/>
      <c r="U34" s="752"/>
    </row>
    <row r="35" spans="1:21">
      <c r="A35" s="752"/>
      <c r="B35" s="782"/>
      <c r="C35" s="772"/>
      <c r="D35" s="772"/>
      <c r="E35" s="772"/>
      <c r="F35" s="772"/>
      <c r="G35" s="772"/>
      <c r="H35" s="772"/>
      <c r="I35" s="752"/>
      <c r="K35" s="752"/>
      <c r="L35" s="752"/>
      <c r="M35" s="752"/>
      <c r="N35" s="1010" t="s">
        <v>228</v>
      </c>
      <c r="O35" s="1010"/>
      <c r="P35" s="1010"/>
      <c r="Q35" s="1010"/>
      <c r="R35" s="752"/>
      <c r="S35" s="752"/>
      <c r="T35" s="752"/>
      <c r="U35" s="752"/>
    </row>
    <row r="36" spans="1:21">
      <c r="A36" s="752"/>
      <c r="B36" s="782"/>
      <c r="C36" s="766" t="s">
        <v>243</v>
      </c>
      <c r="D36" s="767" t="s">
        <v>209</v>
      </c>
      <c r="E36" s="768" t="s">
        <v>224</v>
      </c>
      <c r="F36" s="817" t="s">
        <v>225</v>
      </c>
      <c r="G36" s="817" t="s">
        <v>226</v>
      </c>
      <c r="H36" s="770" t="s">
        <v>227</v>
      </c>
      <c r="I36" s="752"/>
      <c r="K36" s="752"/>
      <c r="L36" s="752"/>
      <c r="M36" s="752"/>
      <c r="N36" s="1010"/>
      <c r="O36" s="1010"/>
      <c r="P36" s="1010"/>
      <c r="Q36" s="1010"/>
      <c r="R36" s="752"/>
      <c r="S36" s="752"/>
      <c r="T36" s="752"/>
      <c r="U36" s="752"/>
    </row>
    <row r="37" spans="1:21">
      <c r="A37" s="752"/>
      <c r="B37" s="782"/>
      <c r="C37" s="772" t="s">
        <v>244</v>
      </c>
      <c r="D37" s="772" t="s">
        <v>245</v>
      </c>
      <c r="E37" s="773">
        <f>ROUND(_xlfn.XLOOKUP($C$8,[1]Indicators!$B$5:$B$38,[1]Indicators!BO$5:BO$38,"Not available",0),1)</f>
        <v>-1.3</v>
      </c>
      <c r="F37" s="773">
        <f>ROUND(_xlfn.XLOOKUP($C$8,[1]Indicators!$B$5:$B$38,[1]Indicators!BP$5:BP$38,"Not available",0),1)</f>
        <v>-4.3</v>
      </c>
      <c r="G37" s="774">
        <f>IFERROR(F37-E37,"")</f>
        <v>-3</v>
      </c>
      <c r="H37" s="773">
        <f>AVERAGE([1]Indicators!BQ$5:BQ$38)</f>
        <v>-0.36176470588235288</v>
      </c>
      <c r="I37" s="752">
        <f>[1]Indicators!BQ42</f>
        <v>19.100000000000001</v>
      </c>
      <c r="J37" s="752">
        <f>[1]Indicators!BQ41</f>
        <v>-0.22777777777777772</v>
      </c>
      <c r="K37" s="752">
        <f>[1]Indicators!BQ43</f>
        <v>-21.6</v>
      </c>
      <c r="L37" s="752" t="str">
        <f t="shared" si="1"/>
        <v>LOWER</v>
      </c>
      <c r="M37" s="752"/>
      <c r="N37" s="1010"/>
      <c r="O37" s="1010"/>
      <c r="P37" s="1010"/>
      <c r="Q37" s="1010"/>
      <c r="R37" s="752"/>
      <c r="S37" s="752"/>
      <c r="T37" s="752"/>
      <c r="U37" s="752"/>
    </row>
    <row r="38" spans="1:21">
      <c r="A38" s="752"/>
      <c r="B38" s="782"/>
      <c r="C38" s="772" t="s">
        <v>246</v>
      </c>
      <c r="D38" s="772" t="s">
        <v>245</v>
      </c>
      <c r="E38" s="773">
        <v>0</v>
      </c>
      <c r="F38" s="773">
        <f>ROUND(_xlfn.XLOOKUP($C$8,[1]Indicators!$B$5:$B$38,[1]Indicators!BS$5:BS$38,"Not available",0),1)</f>
        <v>62</v>
      </c>
      <c r="G38" s="774">
        <f>IFERROR(F38-E38,"")</f>
        <v>62</v>
      </c>
      <c r="H38" s="773">
        <f>AVERAGE([1]Indicators!BT$5:BT$38)</f>
        <v>33.529411764705884</v>
      </c>
      <c r="I38" s="752">
        <f>[1]Indicators!BT42</f>
        <v>90</v>
      </c>
      <c r="J38" s="752">
        <f>[1]Indicators!BT41</f>
        <v>32.222222222222221</v>
      </c>
      <c r="K38" s="752">
        <f>[1]Indicators!BT43</f>
        <v>19</v>
      </c>
      <c r="L38" s="752" t="str">
        <f t="shared" si="1"/>
        <v>HIGHER</v>
      </c>
      <c r="M38" s="752"/>
      <c r="N38" s="1010"/>
      <c r="O38" s="1010"/>
      <c r="P38" s="1010"/>
      <c r="Q38" s="1010"/>
      <c r="R38" s="752"/>
      <c r="S38" s="752"/>
      <c r="T38" s="752"/>
      <c r="U38" s="752"/>
    </row>
    <row r="39" spans="1:21">
      <c r="A39" s="752"/>
      <c r="B39" s="782"/>
      <c r="C39" s="772" t="s">
        <v>247</v>
      </c>
      <c r="D39" s="772" t="s">
        <v>245</v>
      </c>
      <c r="E39" s="773">
        <v>0</v>
      </c>
      <c r="F39" s="773">
        <f>ROUND(_xlfn.XLOOKUP($C$8,[1]Indicators!$B$5:$B$38,[1]Indicators!BV$5:BV$38,"Not available",0),1)</f>
        <v>-81</v>
      </c>
      <c r="G39" s="774">
        <f>IFERROR(F39-E39,"")</f>
        <v>-81</v>
      </c>
      <c r="H39" s="773">
        <f>AVERAGE([1]Indicators!BW$5:BW$38)</f>
        <v>-64.855882352941194</v>
      </c>
      <c r="I39" s="752">
        <f>[1]Indicators!BW42</f>
        <v>-45.4</v>
      </c>
      <c r="K39" s="752">
        <f>[1]Indicators!BW43</f>
        <v>-75.400000000000006</v>
      </c>
      <c r="L39" s="752" t="str">
        <f t="shared" si="1"/>
        <v>LOWER</v>
      </c>
      <c r="M39" s="752"/>
      <c r="N39" s="752"/>
      <c r="O39" s="752"/>
      <c r="P39" s="752"/>
      <c r="Q39" s="752"/>
      <c r="R39" s="752"/>
      <c r="S39" s="752"/>
      <c r="T39" s="752"/>
      <c r="U39" s="752"/>
    </row>
    <row r="40" spans="1:21">
      <c r="A40" s="752"/>
      <c r="B40" s="782"/>
      <c r="C40" s="772"/>
      <c r="D40" s="772"/>
      <c r="E40" s="772"/>
      <c r="F40" s="772"/>
      <c r="G40" s="772"/>
      <c r="H40" s="772"/>
      <c r="I40" s="752"/>
      <c r="J40" s="752"/>
      <c r="K40" s="752"/>
      <c r="L40" s="752"/>
      <c r="M40" s="752"/>
      <c r="N40" s="752" t="s">
        <v>263</v>
      </c>
      <c r="O40" s="752"/>
      <c r="P40" s="752"/>
      <c r="Q40" s="752"/>
      <c r="R40" s="752"/>
      <c r="S40" s="752"/>
      <c r="T40" s="752"/>
      <c r="U40" s="752"/>
    </row>
    <row r="41" spans="1:21">
      <c r="A41" s="752"/>
      <c r="B41" s="782"/>
      <c r="C41" s="766" t="s">
        <v>248</v>
      </c>
      <c r="D41" s="767" t="s">
        <v>209</v>
      </c>
      <c r="E41" s="768" t="s">
        <v>224</v>
      </c>
      <c r="F41" s="769" t="s">
        <v>225</v>
      </c>
      <c r="G41" s="817" t="s">
        <v>226</v>
      </c>
      <c r="H41" s="770" t="s">
        <v>227</v>
      </c>
      <c r="I41" s="752"/>
      <c r="J41" s="752"/>
      <c r="K41" s="752"/>
      <c r="L41" s="752"/>
      <c r="M41" s="752"/>
      <c r="N41" s="752"/>
      <c r="O41" s="752"/>
      <c r="P41" s="752"/>
      <c r="Q41" s="752"/>
      <c r="R41" s="752"/>
      <c r="S41" s="752"/>
      <c r="T41" s="752"/>
      <c r="U41" s="752"/>
    </row>
    <row r="42" spans="1:21">
      <c r="A42" s="752"/>
      <c r="B42" s="782"/>
      <c r="C42" s="772" t="s">
        <v>249</v>
      </c>
      <c r="D42" s="772" t="s">
        <v>22</v>
      </c>
      <c r="E42" s="775" t="s">
        <v>250</v>
      </c>
      <c r="F42" s="775" t="str">
        <f>_xlfn.XLOOKUP($C$8,[1]Indicators!$B$5:$B$38,[1]Indicators!CD$5:CD$38,"Not available",0)</f>
        <v>Very low</v>
      </c>
      <c r="G42" s="776" t="str">
        <f>IF(E42=F42,"No","yes")</f>
        <v>yes</v>
      </c>
      <c r="H42" s="777" t="s">
        <v>250</v>
      </c>
      <c r="I42" s="752"/>
      <c r="J42" s="752"/>
      <c r="K42" s="752"/>
      <c r="L42" s="752" t="str">
        <f t="shared" si="1"/>
        <v>HIGHER</v>
      </c>
      <c r="M42" s="752"/>
      <c r="N42" s="752"/>
      <c r="O42" s="752"/>
      <c r="P42" s="752"/>
      <c r="Q42" s="752"/>
      <c r="R42" s="752"/>
      <c r="S42" s="752"/>
      <c r="T42" s="752"/>
      <c r="U42" s="752"/>
    </row>
    <row r="43" spans="1:21">
      <c r="A43" s="752"/>
      <c r="B43" s="782"/>
      <c r="C43" s="772" t="s">
        <v>251</v>
      </c>
      <c r="D43" s="772" t="s">
        <v>22</v>
      </c>
      <c r="E43" s="775" t="str">
        <f>_xlfn.XLOOKUP($C$8,[1]Indicators!$B$5:$B$38,[1]Indicators!CC$5:CC$38,"Not available",0)</f>
        <v>High</v>
      </c>
      <c r="F43" s="775" t="str">
        <f>_xlfn.XLOOKUP($C$8,[1]Indicators!$B$5:$B$38,[1]Indicators!CE$5:CE$38,"Not available",0)</f>
        <v>Low</v>
      </c>
      <c r="G43" s="776" t="str">
        <f>IF(E43=F43,"No","yes")</f>
        <v>yes</v>
      </c>
      <c r="H43" s="777" t="s">
        <v>250</v>
      </c>
      <c r="I43" s="752"/>
      <c r="J43" s="752"/>
      <c r="K43" s="752"/>
      <c r="L43" s="752" t="str">
        <f t="shared" si="1"/>
        <v>HIGHER</v>
      </c>
      <c r="M43" s="752"/>
      <c r="N43" s="752"/>
      <c r="O43" s="752"/>
      <c r="P43" s="752"/>
      <c r="Q43" s="752"/>
      <c r="R43" s="752"/>
      <c r="S43" s="752"/>
      <c r="T43" s="752"/>
      <c r="U43" s="752"/>
    </row>
    <row r="44" spans="1:21">
      <c r="A44" s="752"/>
      <c r="B44" s="782"/>
      <c r="C44" s="772" t="s">
        <v>252</v>
      </c>
      <c r="D44" s="772" t="s">
        <v>22</v>
      </c>
      <c r="E44" s="775" t="s">
        <v>250</v>
      </c>
      <c r="F44" s="775" t="str">
        <f>_xlfn.XLOOKUP($C$8,[1]Indicators!$B$5:$B$38,[1]Indicators!CF$5:CF$38,"Not available",0)</f>
        <v>Unlikely**</v>
      </c>
      <c r="G44" s="776" t="str">
        <f>IF(E44=F44,"No","yes")</f>
        <v>yes</v>
      </c>
      <c r="H44" s="777" t="s">
        <v>250</v>
      </c>
      <c r="I44" s="752"/>
      <c r="J44" s="752"/>
      <c r="K44" s="752"/>
      <c r="L44" s="752" t="str">
        <f t="shared" si="1"/>
        <v>HIGHER</v>
      </c>
      <c r="M44" s="752"/>
      <c r="N44" s="752"/>
      <c r="O44" s="752"/>
      <c r="P44" s="752"/>
      <c r="Q44" s="752"/>
      <c r="R44" s="752"/>
      <c r="S44" s="752"/>
      <c r="T44" s="752"/>
      <c r="U44" s="752"/>
    </row>
    <row r="45" spans="1:21">
      <c r="A45" s="752"/>
      <c r="B45" s="782"/>
      <c r="C45" s="772"/>
      <c r="D45" s="772"/>
      <c r="E45" s="772"/>
      <c r="F45" s="772"/>
      <c r="G45" s="778"/>
      <c r="H45" s="772"/>
      <c r="I45" s="752"/>
      <c r="J45" s="752"/>
      <c r="K45" s="752"/>
      <c r="L45" s="752"/>
      <c r="M45" s="752"/>
      <c r="N45" s="752"/>
      <c r="O45" s="752"/>
      <c r="P45" s="752"/>
      <c r="Q45" s="752"/>
      <c r="R45" s="752"/>
      <c r="S45" s="752"/>
      <c r="T45" s="752"/>
      <c r="U45" s="752"/>
    </row>
    <row r="46" spans="1:21">
      <c r="A46" s="752"/>
      <c r="B46" s="782"/>
      <c r="C46" s="766" t="s">
        <v>253</v>
      </c>
      <c r="D46" s="767" t="s">
        <v>209</v>
      </c>
      <c r="E46" s="768" t="s">
        <v>224</v>
      </c>
      <c r="F46" s="769" t="s">
        <v>225</v>
      </c>
      <c r="G46" s="817" t="s">
        <v>226</v>
      </c>
      <c r="H46" s="770" t="s">
        <v>227</v>
      </c>
      <c r="I46" s="752"/>
      <c r="J46" s="752"/>
      <c r="K46" s="752"/>
      <c r="L46" s="752"/>
      <c r="M46" s="752"/>
      <c r="N46" s="752"/>
      <c r="O46" s="752"/>
      <c r="P46" s="752"/>
      <c r="Q46" s="752"/>
      <c r="R46" s="752"/>
      <c r="S46" s="752"/>
      <c r="T46" s="752"/>
      <c r="U46" s="752"/>
    </row>
    <row r="47" spans="1:21">
      <c r="A47" s="752"/>
      <c r="B47" s="782"/>
      <c r="C47" s="772" t="s">
        <v>46</v>
      </c>
      <c r="D47" s="772" t="s">
        <v>22</v>
      </c>
      <c r="E47" s="777" t="s">
        <v>250</v>
      </c>
      <c r="F47" s="775" t="str">
        <f>_xlfn.XLOOKUP($C$8,[1]Indicators!$B$5:$B$38,[1]Indicators!BY$5:BY$38,"Not available",0)</f>
        <v>No Risk</v>
      </c>
      <c r="G47" s="776" t="str">
        <f>IF(E47=F47,"No","yes")</f>
        <v>yes</v>
      </c>
      <c r="H47" s="777" t="s">
        <v>250</v>
      </c>
      <c r="I47" s="752"/>
      <c r="J47" s="752"/>
      <c r="K47" s="752"/>
      <c r="L47" s="752" t="str">
        <f t="shared" si="1"/>
        <v>HIGHER</v>
      </c>
      <c r="M47" s="752"/>
      <c r="N47" s="752"/>
      <c r="O47" s="752"/>
      <c r="P47" s="752"/>
      <c r="Q47" s="752"/>
      <c r="R47" s="752"/>
      <c r="S47" s="752"/>
      <c r="T47" s="752"/>
      <c r="U47" s="752"/>
    </row>
    <row r="48" spans="1:21">
      <c r="A48" s="752"/>
      <c r="B48" s="782"/>
      <c r="C48" s="772"/>
      <c r="D48" s="772"/>
      <c r="E48" s="772"/>
      <c r="F48" s="772"/>
      <c r="G48" s="772"/>
      <c r="H48" s="772"/>
      <c r="I48" s="752"/>
      <c r="J48" s="752"/>
      <c r="K48" s="752"/>
      <c r="L48" s="752"/>
      <c r="M48" s="752"/>
      <c r="N48" s="752"/>
      <c r="O48" s="752"/>
      <c r="P48" s="752"/>
      <c r="Q48" s="752"/>
      <c r="R48" s="752"/>
      <c r="S48" s="752"/>
      <c r="T48" s="752"/>
      <c r="U48" s="752"/>
    </row>
    <row r="49" spans="1:21">
      <c r="A49" s="752"/>
      <c r="B49" s="782"/>
      <c r="C49" s="766" t="s">
        <v>254</v>
      </c>
      <c r="D49" s="767" t="s">
        <v>209</v>
      </c>
      <c r="E49" s="768" t="s">
        <v>224</v>
      </c>
      <c r="F49" s="769" t="s">
        <v>225</v>
      </c>
      <c r="G49" s="817" t="s">
        <v>226</v>
      </c>
      <c r="H49" s="770" t="s">
        <v>227</v>
      </c>
      <c r="I49" s="752"/>
      <c r="J49" s="752"/>
      <c r="K49" s="752"/>
      <c r="L49" s="752"/>
      <c r="M49" s="752"/>
      <c r="N49" s="752"/>
      <c r="O49" s="752"/>
      <c r="P49" s="752"/>
      <c r="Q49" s="752"/>
      <c r="R49" s="752"/>
      <c r="S49" s="752"/>
      <c r="T49" s="752"/>
      <c r="U49" s="752"/>
    </row>
    <row r="50" spans="1:21">
      <c r="A50" s="752"/>
      <c r="B50" s="782"/>
      <c r="C50" s="772" t="s">
        <v>255</v>
      </c>
      <c r="D50" s="772" t="s">
        <v>22</v>
      </c>
      <c r="E50" s="777" t="s">
        <v>250</v>
      </c>
      <c r="F50" s="775" t="str">
        <f>_xlfn.XLOOKUP($C$8,[1]Indicators!$B$5:$B$38,[1]Indicators!CG$5:CG$38,"Not available",0)</f>
        <v>Moderate to Low</v>
      </c>
      <c r="G50" s="779" t="s">
        <v>250</v>
      </c>
      <c r="H50" s="777" t="s">
        <v>250</v>
      </c>
      <c r="I50" s="752"/>
      <c r="J50" s="752"/>
      <c r="K50" s="752"/>
      <c r="L50" s="752" t="str">
        <f t="shared" si="1"/>
        <v>HIGHER</v>
      </c>
      <c r="M50" s="752"/>
      <c r="N50" s="752"/>
      <c r="O50" s="752"/>
      <c r="P50" s="752"/>
      <c r="Q50" s="752"/>
      <c r="R50" s="752"/>
      <c r="S50" s="752"/>
      <c r="T50" s="752"/>
      <c r="U50" s="752"/>
    </row>
    <row r="51" spans="1:21">
      <c r="A51" s="752"/>
      <c r="B51" s="782"/>
      <c r="C51" s="772"/>
      <c r="D51" s="772"/>
      <c r="E51" s="772"/>
      <c r="F51" s="772"/>
      <c r="G51" s="772"/>
      <c r="H51" s="772"/>
      <c r="I51" s="752"/>
      <c r="J51" s="752"/>
      <c r="K51" s="752"/>
      <c r="L51" s="752"/>
      <c r="M51" s="752"/>
      <c r="N51" s="752"/>
      <c r="O51" s="752"/>
      <c r="P51" s="752"/>
      <c r="Q51" s="752"/>
      <c r="R51" s="752"/>
      <c r="S51" s="752"/>
      <c r="T51" s="752"/>
      <c r="U51" s="752"/>
    </row>
    <row r="52" spans="1:21">
      <c r="A52" s="752"/>
      <c r="B52" s="782"/>
      <c r="C52" s="766" t="s">
        <v>256</v>
      </c>
      <c r="D52" s="767" t="s">
        <v>209</v>
      </c>
      <c r="E52" s="768" t="s">
        <v>224</v>
      </c>
      <c r="F52" s="769" t="s">
        <v>225</v>
      </c>
      <c r="G52" s="817" t="s">
        <v>226</v>
      </c>
      <c r="H52" s="770" t="s">
        <v>227</v>
      </c>
      <c r="I52" s="752"/>
      <c r="J52" s="752"/>
      <c r="K52" s="752"/>
      <c r="L52" s="752"/>
      <c r="M52" s="752"/>
      <c r="N52" s="752"/>
      <c r="O52" s="752"/>
      <c r="P52" s="752"/>
      <c r="Q52" s="752"/>
      <c r="R52" s="752"/>
      <c r="S52" s="752"/>
      <c r="T52" s="752"/>
      <c r="U52" s="752"/>
    </row>
    <row r="53" spans="1:21">
      <c r="A53" s="752"/>
      <c r="B53" s="782"/>
      <c r="C53" s="772" t="s">
        <v>256</v>
      </c>
      <c r="D53" s="772" t="s">
        <v>22</v>
      </c>
      <c r="E53" s="776" t="str">
        <f>_xlfn.XLOOKUP($C$8,[1]Indicators!$B$5:$B$38,[1]Indicators!BZ$5:BZ$38,"Not available",0)</f>
        <v>Improbable</v>
      </c>
      <c r="F53" s="776" t="str">
        <f>_xlfn.XLOOKUP($C$8,[1]Indicators!$B$5:$B$38,[1]Indicators!CD$5:CD$38,"Not available",0)</f>
        <v>Very low</v>
      </c>
      <c r="G53" s="776" t="str">
        <f>IF(E53=F53,"No","yes")</f>
        <v>yes</v>
      </c>
      <c r="H53" s="777" t="s">
        <v>250</v>
      </c>
      <c r="I53" s="752"/>
      <c r="J53" s="752"/>
      <c r="K53" s="752"/>
      <c r="L53" s="752" t="str">
        <f t="shared" si="1"/>
        <v>HIGHER</v>
      </c>
      <c r="M53" s="752"/>
      <c r="N53" s="752"/>
      <c r="O53" s="752"/>
      <c r="P53" s="752"/>
      <c r="Q53" s="752"/>
      <c r="R53" s="752"/>
      <c r="S53" s="752"/>
      <c r="T53" s="752"/>
      <c r="U53" s="752"/>
    </row>
    <row r="54" spans="1:21">
      <c r="A54" s="752"/>
      <c r="B54" s="782"/>
      <c r="C54" s="752"/>
      <c r="D54" s="752"/>
      <c r="E54" s="752"/>
      <c r="F54" s="752"/>
      <c r="H54" s="752"/>
      <c r="I54" s="752"/>
      <c r="J54" s="752"/>
      <c r="K54" s="752"/>
      <c r="L54" s="752"/>
      <c r="M54" s="752"/>
      <c r="N54" s="752"/>
      <c r="O54" s="752"/>
      <c r="P54" s="752"/>
      <c r="Q54" s="752"/>
      <c r="R54" s="752"/>
      <c r="S54" s="752"/>
      <c r="T54" s="752"/>
      <c r="U54" s="752"/>
    </row>
    <row r="55" spans="1:21">
      <c r="A55" s="752"/>
      <c r="B55" s="782"/>
      <c r="C55" s="766" t="s">
        <v>257</v>
      </c>
      <c r="D55" s="767" t="s">
        <v>209</v>
      </c>
      <c r="E55" s="768" t="s">
        <v>224</v>
      </c>
      <c r="F55" s="768" t="s">
        <v>225</v>
      </c>
      <c r="G55" s="817" t="s">
        <v>226</v>
      </c>
      <c r="H55" s="780" t="s">
        <v>258</v>
      </c>
      <c r="I55" s="752"/>
      <c r="J55" s="752"/>
      <c r="K55" s="752"/>
      <c r="L55" s="752"/>
      <c r="M55" s="752"/>
      <c r="N55" s="752"/>
      <c r="O55" s="752"/>
      <c r="P55" s="752"/>
      <c r="Q55" s="752"/>
      <c r="R55" s="752"/>
      <c r="S55" s="752"/>
      <c r="T55" s="752"/>
      <c r="U55" s="752"/>
    </row>
    <row r="56" spans="1:21">
      <c r="A56" s="752"/>
      <c r="B56" s="782"/>
      <c r="C56" s="771" t="s">
        <v>219</v>
      </c>
      <c r="D56" s="772" t="s">
        <v>212</v>
      </c>
      <c r="E56" s="773">
        <f>ROUND(_xlfn.XLOOKUP($C$8,[1]Indicators!$B$5:$B$38,[1]Indicators!BJ$5:BJ$38,"Not available",0),1)</f>
        <v>16</v>
      </c>
      <c r="F56" s="773">
        <f>ROUND(_xlfn.XLOOKUP($C$8,[1]Indicators!$B$5:$B$38,[1]Indicators!BL$5:BL$38,"Not available",0),1)</f>
        <v>60.5</v>
      </c>
      <c r="G56" s="774">
        <f>IFERROR(F56-E56,"")</f>
        <v>44.5</v>
      </c>
      <c r="H56" s="773">
        <f>AVERAGE([1]Indicators!BN$5:BN$38)</f>
        <v>34.326470588235289</v>
      </c>
      <c r="I56" s="752"/>
      <c r="J56" s="752"/>
      <c r="K56" s="752"/>
      <c r="L56" s="752" t="str">
        <f t="shared" si="1"/>
        <v>HIGHER</v>
      </c>
      <c r="M56" s="752"/>
      <c r="N56" s="752"/>
      <c r="O56" s="752"/>
      <c r="P56" s="752"/>
      <c r="Q56" s="752"/>
      <c r="R56" s="752"/>
      <c r="S56" s="752"/>
      <c r="T56" s="752"/>
      <c r="U56" s="752"/>
    </row>
    <row r="57" spans="1:21">
      <c r="A57" s="752"/>
      <c r="B57" s="782"/>
      <c r="C57" s="752"/>
      <c r="D57" s="752"/>
      <c r="E57" s="752"/>
      <c r="F57" s="752"/>
      <c r="H57" s="752"/>
      <c r="I57" s="752"/>
      <c r="J57" s="752"/>
      <c r="K57" s="752"/>
      <c r="L57" s="752"/>
      <c r="M57" s="752"/>
      <c r="N57" s="752"/>
      <c r="O57" s="752"/>
      <c r="P57" s="752"/>
      <c r="Q57" s="752"/>
      <c r="R57" s="752"/>
      <c r="S57" s="752"/>
      <c r="T57" s="752"/>
      <c r="U57" s="752"/>
    </row>
    <row r="58" spans="1:21">
      <c r="A58" s="752"/>
      <c r="B58" s="782"/>
      <c r="C58" s="752"/>
      <c r="D58" s="752"/>
      <c r="E58" s="752"/>
      <c r="F58" s="752"/>
      <c r="H58" s="752"/>
      <c r="I58" s="752"/>
      <c r="J58" s="752"/>
      <c r="K58" s="752"/>
      <c r="L58" s="752"/>
      <c r="M58" s="752"/>
      <c r="N58" s="752"/>
      <c r="O58" s="752"/>
      <c r="P58" s="752"/>
      <c r="Q58" s="752"/>
      <c r="R58" s="752"/>
      <c r="S58" s="752"/>
      <c r="T58" s="752"/>
      <c r="U58" s="752"/>
    </row>
    <row r="59" spans="1:21">
      <c r="A59" s="752"/>
      <c r="B59" s="782"/>
      <c r="C59" s="752"/>
      <c r="D59" s="752"/>
      <c r="E59" s="752"/>
      <c r="F59" s="752"/>
      <c r="H59" s="752"/>
      <c r="I59" s="752"/>
      <c r="J59" s="752"/>
      <c r="K59" s="752"/>
      <c r="L59" s="752"/>
      <c r="M59" s="752"/>
      <c r="N59" s="752"/>
      <c r="O59" s="752"/>
      <c r="P59" s="752"/>
      <c r="Q59" s="752"/>
      <c r="R59" s="752"/>
      <c r="S59" s="752"/>
      <c r="T59" s="752"/>
      <c r="U59" s="752"/>
    </row>
    <row r="60" spans="1:21" s="752" customFormat="1">
      <c r="B60" s="782"/>
    </row>
    <row r="61" spans="1:21" s="752" customFormat="1">
      <c r="B61" s="782"/>
    </row>
    <row r="62" spans="1:21" s="752" customFormat="1">
      <c r="B62" s="782"/>
    </row>
    <row r="63" spans="1:21" s="752" customFormat="1">
      <c r="B63" s="782"/>
    </row>
    <row r="64" spans="1:21" s="752" customFormat="1">
      <c r="B64" s="782"/>
    </row>
    <row r="65" spans="2:2" s="752" customFormat="1">
      <c r="B65" s="782"/>
    </row>
    <row r="66" spans="2:2" s="752" customFormat="1">
      <c r="B66" s="782"/>
    </row>
    <row r="67" spans="2:2" s="752" customFormat="1">
      <c r="B67" s="782"/>
    </row>
    <row r="68" spans="2:2" s="752" customFormat="1">
      <c r="B68" s="782"/>
    </row>
    <row r="69" spans="2:2" s="752" customFormat="1">
      <c r="B69" s="782"/>
    </row>
    <row r="70" spans="2:2" s="752" customFormat="1">
      <c r="B70" s="782"/>
    </row>
    <row r="71" spans="2:2" s="752" customFormat="1">
      <c r="B71" s="782"/>
    </row>
    <row r="72" spans="2:2" s="752" customFormat="1">
      <c r="B72" s="782"/>
    </row>
    <row r="73" spans="2:2" s="752" customFormat="1">
      <c r="B73" s="782"/>
    </row>
    <row r="74" spans="2:2" s="752" customFormat="1">
      <c r="B74" s="782"/>
    </row>
    <row r="75" spans="2:2" s="752" customFormat="1">
      <c r="B75" s="782"/>
    </row>
    <row r="76" spans="2:2" s="752" customFormat="1">
      <c r="B76" s="782"/>
    </row>
    <row r="77" spans="2:2" s="752" customFormat="1">
      <c r="B77" s="782"/>
    </row>
    <row r="78" spans="2:2" s="752" customFormat="1">
      <c r="B78" s="782"/>
    </row>
    <row r="79" spans="2:2" s="752" customFormat="1">
      <c r="B79" s="782"/>
    </row>
    <row r="80" spans="2:2" s="752" customFormat="1">
      <c r="B80" s="782"/>
    </row>
    <row r="81" spans="2:2" s="752" customFormat="1">
      <c r="B81" s="782"/>
    </row>
    <row r="82" spans="2:2" s="752" customFormat="1">
      <c r="B82" s="782"/>
    </row>
    <row r="83" spans="2:2" s="752" customFormat="1">
      <c r="B83" s="782"/>
    </row>
    <row r="84" spans="2:2" s="752" customFormat="1">
      <c r="B84" s="782"/>
    </row>
    <row r="85" spans="2:2" s="752" customFormat="1">
      <c r="B85" s="782"/>
    </row>
    <row r="86" spans="2:2" s="752" customFormat="1">
      <c r="B86" s="782"/>
    </row>
    <row r="87" spans="2:2" s="752" customFormat="1">
      <c r="B87" s="782"/>
    </row>
    <row r="88" spans="2:2" s="752" customFormat="1">
      <c r="B88" s="782"/>
    </row>
    <row r="89" spans="2:2" s="752" customFormat="1">
      <c r="B89" s="782"/>
    </row>
    <row r="90" spans="2:2" s="752" customFormat="1">
      <c r="B90" s="782"/>
    </row>
    <row r="91" spans="2:2" s="752" customFormat="1">
      <c r="B91" s="782"/>
    </row>
    <row r="92" spans="2:2" s="752" customFormat="1">
      <c r="B92" s="782"/>
    </row>
    <row r="93" spans="2:2" s="752" customFormat="1">
      <c r="B93" s="782"/>
    </row>
    <row r="94" spans="2:2" s="752" customFormat="1">
      <c r="B94" s="782"/>
    </row>
    <row r="95" spans="2:2" s="752" customFormat="1">
      <c r="B95" s="782"/>
    </row>
    <row r="96" spans="2:2" s="752" customFormat="1">
      <c r="B96" s="782"/>
    </row>
    <row r="97" spans="2:2" s="752" customFormat="1">
      <c r="B97" s="782"/>
    </row>
  </sheetData>
  <mergeCells count="4">
    <mergeCell ref="C14:H14"/>
    <mergeCell ref="C15:H15"/>
    <mergeCell ref="C16:H16"/>
    <mergeCell ref="N35:Q38"/>
  </mergeCells>
  <conditionalFormatting sqref="E42:F44">
    <cfRule type="containsText" dxfId="9" priority="16" operator="containsText" text="Low">
      <formula>NOT(ISERROR(SEARCH("Low",E42)))</formula>
    </cfRule>
    <cfRule type="containsText" dxfId="7" priority="18" operator="containsText" text="High">
      <formula>NOT(ISERROR(SEARCH("High",E42)))</formula>
    </cfRule>
  </conditionalFormatting>
  <conditionalFormatting sqref="F47">
    <cfRule type="containsText" dxfId="6" priority="22" operator="containsText" text="Low">
      <formula>NOT(ISERROR(SEARCH("Low",F47)))</formula>
    </cfRule>
    <cfRule type="containsText" dxfId="4" priority="24" operator="containsText" text="High">
      <formula>NOT(ISERROR(SEARCH("High",F47)))</formula>
    </cfRule>
  </conditionalFormatting>
  <conditionalFormatting sqref="F50">
    <cfRule type="containsText" dxfId="3" priority="19" operator="containsText" text="Low">
      <formula>NOT(ISERROR(SEARCH("Low",F50)))</formula>
    </cfRule>
    <cfRule type="containsText" dxfId="1" priority="21" operator="containsText" text="High">
      <formula>NOT(ISERROR(SEARCH("High",F50)))</formula>
    </cfRule>
  </conditionalFormatting>
  <conditionalFormatting sqref="G31:G1048576 G22:G29 G1:G20">
    <cfRule type="cellIs" dxfId="0" priority="5" operator="equal">
      <formula>"yes"</formula>
    </cfRule>
  </conditionalFormatting>
  <conditionalFormatting sqref="G22:K22">
    <cfRule type="colorScale" priority="15">
      <colorScale>
        <cfvo type="min"/>
        <cfvo type="max"/>
        <color rgb="FFFCFCFF"/>
        <color rgb="FF63BE7B"/>
      </colorScale>
    </cfRule>
  </conditionalFormatting>
  <conditionalFormatting sqref="G23:K23 L22:L56">
    <cfRule type="colorScale" priority="14">
      <colorScale>
        <cfvo type="min"/>
        <cfvo type="max"/>
        <color rgb="FFFCFCFF"/>
        <color rgb="FF63BE7B"/>
      </colorScale>
    </cfRule>
  </conditionalFormatting>
  <conditionalFormatting sqref="G24:K24">
    <cfRule type="colorScale" priority="13">
      <colorScale>
        <cfvo type="min"/>
        <cfvo type="max"/>
        <color rgb="FFFCFCFF"/>
        <color rgb="FF63BE7B"/>
      </colorScale>
    </cfRule>
  </conditionalFormatting>
  <conditionalFormatting sqref="G25:K25">
    <cfRule type="colorScale" priority="12">
      <colorScale>
        <cfvo type="min"/>
        <cfvo type="max"/>
        <color rgb="FFFCFCFF"/>
        <color rgb="FF63BE7B"/>
      </colorScale>
    </cfRule>
  </conditionalFormatting>
  <conditionalFormatting sqref="G26:K26">
    <cfRule type="colorScale" priority="1">
      <colorScale>
        <cfvo type="min"/>
        <cfvo type="max"/>
        <color rgb="FF63BE7B"/>
        <color rgb="FFFCFCFF"/>
      </colorScale>
    </cfRule>
  </conditionalFormatting>
  <conditionalFormatting sqref="G27:K27">
    <cfRule type="colorScale" priority="11">
      <colorScale>
        <cfvo type="min"/>
        <cfvo type="max"/>
        <color rgb="FFFCFCFF"/>
        <color rgb="FF63BE7B"/>
      </colorScale>
    </cfRule>
  </conditionalFormatting>
  <conditionalFormatting sqref="G28:K28">
    <cfRule type="colorScale" priority="10">
      <colorScale>
        <cfvo type="min"/>
        <cfvo type="max"/>
        <color rgb="FFFCFCFF"/>
        <color rgb="FF63BE7B"/>
      </colorScale>
    </cfRule>
  </conditionalFormatting>
  <conditionalFormatting sqref="G31:K31">
    <cfRule type="colorScale" priority="9">
      <colorScale>
        <cfvo type="min"/>
        <cfvo type="max"/>
        <color rgb="FFFCFCFF"/>
        <color rgb="FF63BE7B"/>
      </colorScale>
    </cfRule>
  </conditionalFormatting>
  <conditionalFormatting sqref="G32:K32">
    <cfRule type="colorScale" priority="8">
      <colorScale>
        <cfvo type="min"/>
        <cfvo type="max"/>
        <color rgb="FFFCFCFF"/>
        <color rgb="FF63BE7B"/>
      </colorScale>
    </cfRule>
  </conditionalFormatting>
  <conditionalFormatting sqref="G33:K33">
    <cfRule type="colorScale" priority="7">
      <colorScale>
        <cfvo type="min"/>
        <cfvo type="max"/>
        <color rgb="FFFCFCFF"/>
        <color rgb="FF63BE7B"/>
      </colorScale>
    </cfRule>
  </conditionalFormatting>
  <conditionalFormatting sqref="G34:K34">
    <cfRule type="colorScale" priority="6">
      <colorScale>
        <cfvo type="min"/>
        <cfvo type="max"/>
        <color rgb="FFFCFCFF"/>
        <color rgb="FF63BE7B"/>
      </colorScale>
    </cfRule>
  </conditionalFormatting>
  <conditionalFormatting sqref="G37:K37">
    <cfRule type="colorScale" priority="4">
      <colorScale>
        <cfvo type="min"/>
        <cfvo type="max"/>
        <color rgb="FFFCFCFF"/>
        <color rgb="FF63BE7B"/>
      </colorScale>
    </cfRule>
  </conditionalFormatting>
  <conditionalFormatting sqref="G38:K38">
    <cfRule type="colorScale" priority="3">
      <colorScale>
        <cfvo type="min"/>
        <cfvo type="max"/>
        <color rgb="FFFCFCFF"/>
        <color rgb="FF63BE7B"/>
      </colorScale>
    </cfRule>
  </conditionalFormatting>
  <conditionalFormatting sqref="G39:K39">
    <cfRule type="colorScale" priority="2">
      <colorScale>
        <cfvo type="min"/>
        <cfvo type="max"/>
        <color rgb="FFFCFCFF"/>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17" operator="containsText" id="{00F93B1A-945B-4182-847D-5C3E8F9CCA7D}">
            <xm:f>NOT(ISERROR(SEARCH(Moderate,E42)))</xm:f>
            <xm:f>Moderate</xm:f>
            <x14:dxf>
              <fill>
                <patternFill>
                  <bgColor theme="7" tint="0.59996337778862885"/>
                </patternFill>
              </fill>
            </x14:dxf>
          </x14:cfRule>
          <xm:sqref>E42:F44</xm:sqref>
        </x14:conditionalFormatting>
        <x14:conditionalFormatting xmlns:xm="http://schemas.microsoft.com/office/excel/2006/main">
          <x14:cfRule type="containsText" priority="23" operator="containsText" id="{4E15922C-4481-4288-82E8-280C9A8B5E54}">
            <xm:f>NOT(ISERROR(SEARCH(Moderate,F47)))</xm:f>
            <xm:f>Moderate</xm:f>
            <x14:dxf>
              <fill>
                <patternFill>
                  <bgColor theme="7" tint="0.59996337778862885"/>
                </patternFill>
              </fill>
            </x14:dxf>
          </x14:cfRule>
          <xm:sqref>F47</xm:sqref>
        </x14:conditionalFormatting>
        <x14:conditionalFormatting xmlns:xm="http://schemas.microsoft.com/office/excel/2006/main">
          <x14:cfRule type="containsText" priority="20" operator="containsText" id="{E12AFC03-82A9-4127-A8D6-066B404BD859}">
            <xm:f>NOT(ISERROR(SEARCH(Moderate,F50)))</xm:f>
            <xm:f>Moderate</xm:f>
            <x14:dxf>
              <fill>
                <patternFill>
                  <bgColor theme="7" tint="0.59996337778862885"/>
                </patternFill>
              </fill>
            </x14:dxf>
          </x14:cfRule>
          <xm:sqref>F50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0B9FD-77C8-480B-9398-5A6F6FDC6764}">
  <sheetPr>
    <tabColor rgb="FFFFFF00"/>
  </sheetPr>
  <dimension ref="A2:AD39"/>
  <sheetViews>
    <sheetView zoomScale="36" workbookViewId="0">
      <selection activeCell="AE32" sqref="A1:AE32"/>
    </sheetView>
  </sheetViews>
  <sheetFormatPr defaultRowHeight="15"/>
  <cols>
    <col min="1" max="1" width="8.7109375" style="975"/>
    <col min="19" max="19" width="8.7109375" style="981"/>
    <col min="22" max="30" width="19.42578125" customWidth="1"/>
  </cols>
  <sheetData>
    <row r="2" spans="1:30">
      <c r="C2" s="974" t="s">
        <v>714</v>
      </c>
      <c r="V2" s="974" t="s">
        <v>734</v>
      </c>
    </row>
    <row r="4" spans="1:30">
      <c r="A4" s="975">
        <v>1</v>
      </c>
      <c r="C4" t="s">
        <v>732</v>
      </c>
      <c r="V4" s="792" t="s">
        <v>328</v>
      </c>
      <c r="W4" s="792" t="s">
        <v>328</v>
      </c>
      <c r="X4" s="792"/>
      <c r="Y4" s="790"/>
      <c r="Z4" s="792" t="s">
        <v>328</v>
      </c>
      <c r="AA4" s="792" t="s">
        <v>328</v>
      </c>
      <c r="AB4" s="792"/>
      <c r="AC4" s="790"/>
      <c r="AD4" s="790"/>
    </row>
    <row r="5" spans="1:30">
      <c r="A5" s="975">
        <v>2</v>
      </c>
      <c r="C5" t="s">
        <v>715</v>
      </c>
      <c r="V5" s="793" t="s">
        <v>327</v>
      </c>
      <c r="W5" s="793" t="s">
        <v>327</v>
      </c>
      <c r="X5" s="793"/>
      <c r="Y5" s="790"/>
      <c r="Z5" s="793" t="s">
        <v>327</v>
      </c>
      <c r="AA5" s="793" t="s">
        <v>327</v>
      </c>
      <c r="AB5" s="793"/>
      <c r="AC5" s="790"/>
      <c r="AD5" s="790"/>
    </row>
    <row r="6" spans="1:30">
      <c r="V6" s="794" t="s">
        <v>326</v>
      </c>
      <c r="W6" s="794" t="s">
        <v>326</v>
      </c>
      <c r="X6" s="794"/>
      <c r="Y6" s="790"/>
      <c r="Z6" s="794" t="s">
        <v>326</v>
      </c>
      <c r="AA6" s="794" t="s">
        <v>326</v>
      </c>
      <c r="AB6" s="794"/>
      <c r="AC6" s="790"/>
      <c r="AD6" s="790"/>
    </row>
    <row r="7" spans="1:30">
      <c r="A7" s="975">
        <v>3</v>
      </c>
      <c r="B7" s="978"/>
      <c r="C7" t="s">
        <v>716</v>
      </c>
      <c r="V7" s="795" t="s">
        <v>325</v>
      </c>
      <c r="W7" s="795" t="s">
        <v>325</v>
      </c>
      <c r="X7" s="795"/>
      <c r="Y7" s="790"/>
      <c r="Z7" s="795" t="s">
        <v>325</v>
      </c>
      <c r="AA7" s="795" t="s">
        <v>325</v>
      </c>
      <c r="AB7" s="795"/>
      <c r="AC7" s="790"/>
      <c r="AD7" s="790"/>
    </row>
    <row r="8" spans="1:30">
      <c r="A8" s="975">
        <v>4</v>
      </c>
      <c r="C8" t="s">
        <v>730</v>
      </c>
      <c r="V8" s="791"/>
      <c r="W8" s="790"/>
      <c r="X8" s="790"/>
      <c r="Y8" s="790"/>
      <c r="Z8" s="790"/>
      <c r="AA8" s="790"/>
      <c r="AB8" s="790"/>
      <c r="AC8" s="790"/>
      <c r="AD8" s="790"/>
    </row>
    <row r="9" spans="1:30">
      <c r="A9" s="975">
        <v>5</v>
      </c>
      <c r="B9" s="979"/>
      <c r="C9" t="s">
        <v>717</v>
      </c>
      <c r="V9" s="1011" t="s">
        <v>323</v>
      </c>
      <c r="W9" s="1011"/>
      <c r="X9" s="1011"/>
      <c r="Y9" s="790"/>
      <c r="Z9" s="1011" t="s">
        <v>26</v>
      </c>
      <c r="AA9" s="1011"/>
      <c r="AB9" s="1011"/>
      <c r="AC9" s="791"/>
      <c r="AD9" s="790"/>
    </row>
    <row r="10" spans="1:30" ht="30">
      <c r="A10" s="975">
        <v>6</v>
      </c>
      <c r="C10" s="976" t="s">
        <v>718</v>
      </c>
      <c r="D10" s="976"/>
      <c r="E10" s="976"/>
      <c r="F10" s="976"/>
      <c r="G10" s="976"/>
      <c r="V10" s="791" t="s">
        <v>22</v>
      </c>
      <c r="W10" s="791" t="s">
        <v>23</v>
      </c>
      <c r="X10" s="791" t="s">
        <v>329</v>
      </c>
      <c r="Y10" s="791" t="s">
        <v>24</v>
      </c>
      <c r="Z10" s="791" t="s">
        <v>330</v>
      </c>
      <c r="AA10" s="791" t="s">
        <v>331</v>
      </c>
      <c r="AB10" s="791" t="s">
        <v>332</v>
      </c>
      <c r="AC10" s="791" t="s">
        <v>322</v>
      </c>
      <c r="AD10" s="791" t="s">
        <v>27</v>
      </c>
    </row>
    <row r="11" spans="1:30">
      <c r="C11" t="s">
        <v>719</v>
      </c>
      <c r="V11" s="790">
        <v>3</v>
      </c>
      <c r="W11" s="790">
        <v>3</v>
      </c>
      <c r="X11" s="790">
        <f t="shared" ref="X11:X12" si="0">W11*V11</f>
        <v>9</v>
      </c>
      <c r="Y11" s="790"/>
      <c r="Z11" s="790">
        <v>0</v>
      </c>
      <c r="AA11" s="790">
        <v>0</v>
      </c>
      <c r="AB11" s="790">
        <f t="shared" ref="AB11:AB26" si="1">AA11*Z11</f>
        <v>0</v>
      </c>
      <c r="AC11" s="796">
        <f t="shared" ref="AC11:AC12" si="2">X11-AB11</f>
        <v>9</v>
      </c>
      <c r="AD11" s="797">
        <f t="shared" ref="AD11:AD12" si="3">AC11+AB11</f>
        <v>9</v>
      </c>
    </row>
    <row r="12" spans="1:30">
      <c r="V12" s="790">
        <v>3</v>
      </c>
      <c r="W12" s="790">
        <v>3</v>
      </c>
      <c r="X12" s="790">
        <f t="shared" si="0"/>
        <v>9</v>
      </c>
      <c r="Y12" s="790"/>
      <c r="Z12" s="790">
        <v>0</v>
      </c>
      <c r="AA12" s="790">
        <v>1</v>
      </c>
      <c r="AB12" s="790">
        <f t="shared" si="1"/>
        <v>0</v>
      </c>
      <c r="AC12" s="796">
        <f t="shared" si="2"/>
        <v>9</v>
      </c>
      <c r="AD12" s="797">
        <f t="shared" si="3"/>
        <v>9</v>
      </c>
    </row>
    <row r="13" spans="1:30">
      <c r="A13" s="975">
        <v>7</v>
      </c>
      <c r="B13" s="980"/>
      <c r="C13" t="s">
        <v>720</v>
      </c>
      <c r="J13" t="s">
        <v>28</v>
      </c>
      <c r="V13" s="790">
        <v>3</v>
      </c>
      <c r="W13" s="790">
        <v>3</v>
      </c>
      <c r="X13" s="790">
        <f t="shared" ref="X13:X26" si="4">W13*V13</f>
        <v>9</v>
      </c>
      <c r="Y13" s="790"/>
      <c r="Z13" s="790">
        <v>0</v>
      </c>
      <c r="AA13" s="790">
        <v>2</v>
      </c>
      <c r="AB13" s="790">
        <f t="shared" si="1"/>
        <v>0</v>
      </c>
      <c r="AC13" s="796">
        <f t="shared" ref="AC13:AC26" si="5">X13-AB13</f>
        <v>9</v>
      </c>
      <c r="AD13" s="797">
        <f t="shared" ref="AD13:AD26" si="6">AC13+AB13</f>
        <v>9</v>
      </c>
    </row>
    <row r="14" spans="1:30">
      <c r="A14" s="975">
        <v>8</v>
      </c>
      <c r="C14" t="s">
        <v>721</v>
      </c>
      <c r="V14" s="790">
        <v>3</v>
      </c>
      <c r="W14" s="790">
        <v>3</v>
      </c>
      <c r="X14" s="790">
        <f t="shared" si="4"/>
        <v>9</v>
      </c>
      <c r="Y14" s="790"/>
      <c r="Z14" s="790">
        <v>0</v>
      </c>
      <c r="AA14" s="790">
        <v>3</v>
      </c>
      <c r="AB14" s="790">
        <f t="shared" si="1"/>
        <v>0</v>
      </c>
      <c r="AC14" s="796">
        <f t="shared" si="5"/>
        <v>9</v>
      </c>
      <c r="AD14" s="797">
        <f t="shared" si="6"/>
        <v>9</v>
      </c>
    </row>
    <row r="15" spans="1:30">
      <c r="D15" t="s">
        <v>722</v>
      </c>
      <c r="V15" s="790">
        <v>3</v>
      </c>
      <c r="W15" s="790">
        <v>3</v>
      </c>
      <c r="X15" s="790">
        <f t="shared" si="4"/>
        <v>9</v>
      </c>
      <c r="Y15" s="790"/>
      <c r="Z15" s="790">
        <v>1</v>
      </c>
      <c r="AA15" s="790">
        <v>0</v>
      </c>
      <c r="AB15" s="790">
        <f t="shared" si="1"/>
        <v>0</v>
      </c>
      <c r="AC15" s="796">
        <f t="shared" si="5"/>
        <v>9</v>
      </c>
      <c r="AD15" s="797">
        <f t="shared" si="6"/>
        <v>9</v>
      </c>
    </row>
    <row r="16" spans="1:30">
      <c r="D16" t="s">
        <v>723</v>
      </c>
      <c r="V16" s="790">
        <v>3</v>
      </c>
      <c r="W16" s="790">
        <v>3</v>
      </c>
      <c r="X16" s="790">
        <f t="shared" si="4"/>
        <v>9</v>
      </c>
      <c r="Y16" s="790"/>
      <c r="Z16" s="790">
        <v>1</v>
      </c>
      <c r="AA16" s="790">
        <v>1</v>
      </c>
      <c r="AB16" s="790">
        <f t="shared" si="1"/>
        <v>1</v>
      </c>
      <c r="AC16" s="796">
        <f t="shared" si="5"/>
        <v>8</v>
      </c>
      <c r="AD16" s="797">
        <f t="shared" si="6"/>
        <v>9</v>
      </c>
    </row>
    <row r="17" spans="1:30">
      <c r="V17" s="790">
        <v>3</v>
      </c>
      <c r="W17" s="790">
        <v>3</v>
      </c>
      <c r="X17" s="790">
        <f t="shared" si="4"/>
        <v>9</v>
      </c>
      <c r="Y17" s="790"/>
      <c r="Z17" s="790">
        <v>1</v>
      </c>
      <c r="AA17" s="790">
        <v>2</v>
      </c>
      <c r="AB17" s="790">
        <f t="shared" si="1"/>
        <v>2</v>
      </c>
      <c r="AC17" s="796">
        <f t="shared" si="5"/>
        <v>7</v>
      </c>
      <c r="AD17" s="797">
        <f t="shared" si="6"/>
        <v>9</v>
      </c>
    </row>
    <row r="18" spans="1:30">
      <c r="A18" s="975">
        <v>9</v>
      </c>
      <c r="B18" s="973"/>
      <c r="C18" t="s">
        <v>724</v>
      </c>
      <c r="V18" s="790">
        <v>3</v>
      </c>
      <c r="W18" s="790">
        <v>3</v>
      </c>
      <c r="X18" s="790">
        <f t="shared" si="4"/>
        <v>9</v>
      </c>
      <c r="Y18" s="790"/>
      <c r="Z18" s="790">
        <v>1</v>
      </c>
      <c r="AA18" s="790">
        <v>3</v>
      </c>
      <c r="AB18" s="790">
        <f t="shared" si="1"/>
        <v>3</v>
      </c>
      <c r="AC18" s="796">
        <f t="shared" si="5"/>
        <v>6</v>
      </c>
      <c r="AD18" s="797">
        <f t="shared" si="6"/>
        <v>9</v>
      </c>
    </row>
    <row r="19" spans="1:30">
      <c r="A19" s="975">
        <v>10</v>
      </c>
      <c r="C19" t="s">
        <v>725</v>
      </c>
      <c r="V19" s="790">
        <v>3</v>
      </c>
      <c r="W19" s="790">
        <v>3</v>
      </c>
      <c r="X19" s="790">
        <f t="shared" si="4"/>
        <v>9</v>
      </c>
      <c r="Y19" s="790"/>
      <c r="Z19" s="790">
        <v>2</v>
      </c>
      <c r="AA19" s="790">
        <v>0</v>
      </c>
      <c r="AB19" s="790">
        <f t="shared" si="1"/>
        <v>0</v>
      </c>
      <c r="AC19" s="796">
        <f t="shared" si="5"/>
        <v>9</v>
      </c>
      <c r="AD19" s="797">
        <f t="shared" si="6"/>
        <v>9</v>
      </c>
    </row>
    <row r="20" spans="1:30">
      <c r="D20" t="s">
        <v>726</v>
      </c>
      <c r="V20" s="790">
        <v>3</v>
      </c>
      <c r="W20" s="790">
        <v>3</v>
      </c>
      <c r="X20" s="790">
        <f t="shared" si="4"/>
        <v>9</v>
      </c>
      <c r="Y20" s="790"/>
      <c r="Z20" s="790">
        <v>2</v>
      </c>
      <c r="AA20" s="790">
        <v>1</v>
      </c>
      <c r="AB20" s="790">
        <f t="shared" si="1"/>
        <v>2</v>
      </c>
      <c r="AC20" s="796">
        <f t="shared" si="5"/>
        <v>7</v>
      </c>
      <c r="AD20" s="797">
        <f t="shared" si="6"/>
        <v>9</v>
      </c>
    </row>
    <row r="21" spans="1:30">
      <c r="D21" t="s">
        <v>324</v>
      </c>
      <c r="V21" s="790">
        <v>3</v>
      </c>
      <c r="W21" s="790">
        <v>3</v>
      </c>
      <c r="X21" s="790">
        <f t="shared" si="4"/>
        <v>9</v>
      </c>
      <c r="Y21" s="790"/>
      <c r="Z21" s="790">
        <v>2</v>
      </c>
      <c r="AA21" s="790">
        <v>2</v>
      </c>
      <c r="AB21" s="790">
        <f t="shared" si="1"/>
        <v>4</v>
      </c>
      <c r="AC21" s="796">
        <f t="shared" si="5"/>
        <v>5</v>
      </c>
      <c r="AD21" s="797">
        <f t="shared" si="6"/>
        <v>9</v>
      </c>
    </row>
    <row r="22" spans="1:30">
      <c r="D22" t="s">
        <v>22</v>
      </c>
      <c r="V22" s="790">
        <v>3</v>
      </c>
      <c r="W22" s="790">
        <v>3</v>
      </c>
      <c r="X22" s="790">
        <f t="shared" si="4"/>
        <v>9</v>
      </c>
      <c r="Y22" s="790"/>
      <c r="Z22" s="790">
        <v>2</v>
      </c>
      <c r="AA22" s="790">
        <v>3</v>
      </c>
      <c r="AB22" s="790">
        <f t="shared" si="1"/>
        <v>6</v>
      </c>
      <c r="AC22" s="796">
        <f t="shared" si="5"/>
        <v>3</v>
      </c>
      <c r="AD22" s="797">
        <f t="shared" si="6"/>
        <v>9</v>
      </c>
    </row>
    <row r="23" spans="1:30">
      <c r="D23" t="s">
        <v>23</v>
      </c>
      <c r="V23" s="790">
        <v>3</v>
      </c>
      <c r="W23" s="790">
        <v>3</v>
      </c>
      <c r="X23" s="790">
        <f t="shared" si="4"/>
        <v>9</v>
      </c>
      <c r="Y23" s="790"/>
      <c r="Z23" s="790">
        <v>3</v>
      </c>
      <c r="AA23" s="790">
        <v>0</v>
      </c>
      <c r="AB23" s="790">
        <f t="shared" si="1"/>
        <v>0</v>
      </c>
      <c r="AC23" s="796">
        <f t="shared" si="5"/>
        <v>9</v>
      </c>
      <c r="AD23" s="797">
        <f t="shared" si="6"/>
        <v>9</v>
      </c>
    </row>
    <row r="24" spans="1:30">
      <c r="D24" t="s">
        <v>24</v>
      </c>
      <c r="V24" s="790">
        <v>3</v>
      </c>
      <c r="W24" s="790">
        <v>3</v>
      </c>
      <c r="X24" s="790">
        <f t="shared" si="4"/>
        <v>9</v>
      </c>
      <c r="Y24" s="790"/>
      <c r="Z24" s="790">
        <v>3</v>
      </c>
      <c r="AA24" s="790">
        <v>1</v>
      </c>
      <c r="AB24" s="790">
        <f t="shared" si="1"/>
        <v>3</v>
      </c>
      <c r="AC24" s="796">
        <f t="shared" si="5"/>
        <v>6</v>
      </c>
      <c r="AD24" s="797">
        <f t="shared" si="6"/>
        <v>9</v>
      </c>
    </row>
    <row r="25" spans="1:30">
      <c r="D25" t="s">
        <v>330</v>
      </c>
      <c r="V25" s="790">
        <v>3</v>
      </c>
      <c r="W25" s="790">
        <v>3</v>
      </c>
      <c r="X25" s="790">
        <f t="shared" si="4"/>
        <v>9</v>
      </c>
      <c r="Y25" s="790"/>
      <c r="Z25" s="790">
        <v>3</v>
      </c>
      <c r="AA25" s="790">
        <v>2</v>
      </c>
      <c r="AB25" s="790">
        <f t="shared" si="1"/>
        <v>6</v>
      </c>
      <c r="AC25" s="796">
        <f t="shared" si="5"/>
        <v>3</v>
      </c>
      <c r="AD25" s="797">
        <f t="shared" si="6"/>
        <v>9</v>
      </c>
    </row>
    <row r="26" spans="1:30">
      <c r="D26" t="s">
        <v>331</v>
      </c>
      <c r="V26" s="790">
        <v>3</v>
      </c>
      <c r="W26" s="790">
        <v>3</v>
      </c>
      <c r="X26" s="790">
        <f t="shared" si="4"/>
        <v>9</v>
      </c>
      <c r="Y26" s="790"/>
      <c r="Z26" s="790">
        <v>3</v>
      </c>
      <c r="AA26" s="790">
        <v>3</v>
      </c>
      <c r="AB26" s="790">
        <f t="shared" si="1"/>
        <v>9</v>
      </c>
      <c r="AC26" s="796">
        <f t="shared" si="5"/>
        <v>0</v>
      </c>
      <c r="AD26" s="797">
        <f t="shared" si="6"/>
        <v>9</v>
      </c>
    </row>
    <row r="27" spans="1:30">
      <c r="V27" s="790"/>
      <c r="W27" s="790"/>
      <c r="X27" s="790"/>
    </row>
    <row r="28" spans="1:30">
      <c r="A28" s="977" t="s">
        <v>731</v>
      </c>
      <c r="B28" s="981"/>
      <c r="C28" t="s">
        <v>727</v>
      </c>
      <c r="V28" s="790"/>
      <c r="W28" s="790"/>
      <c r="X28" s="790"/>
    </row>
    <row r="29" spans="1:30">
      <c r="C29" t="s">
        <v>728</v>
      </c>
      <c r="V29" s="790"/>
      <c r="W29" s="790"/>
      <c r="X29" s="790"/>
    </row>
    <row r="30" spans="1:30">
      <c r="C30" t="s">
        <v>729</v>
      </c>
      <c r="V30" s="790"/>
      <c r="W30" s="790"/>
      <c r="X30" s="790"/>
    </row>
    <row r="31" spans="1:30">
      <c r="V31" s="790"/>
      <c r="W31" s="790"/>
      <c r="X31" s="790"/>
    </row>
    <row r="32" spans="1:30">
      <c r="V32" s="790"/>
      <c r="W32" s="790"/>
      <c r="X32" s="790"/>
    </row>
    <row r="33" spans="22:24">
      <c r="V33" s="790"/>
      <c r="W33" s="790"/>
      <c r="X33" s="790"/>
    </row>
    <row r="34" spans="22:24">
      <c r="V34" s="790"/>
      <c r="W34" s="790"/>
      <c r="X34" s="790"/>
    </row>
    <row r="35" spans="22:24">
      <c r="V35" s="790"/>
      <c r="W35" s="790"/>
      <c r="X35" s="790"/>
    </row>
    <row r="36" spans="22:24">
      <c r="V36" s="790"/>
      <c r="W36" s="790"/>
      <c r="X36" s="790"/>
    </row>
    <row r="37" spans="22:24">
      <c r="V37" s="790"/>
      <c r="W37" s="790"/>
      <c r="X37" s="790"/>
    </row>
    <row r="38" spans="22:24">
      <c r="V38" s="790"/>
      <c r="W38" s="790"/>
      <c r="X38" s="790"/>
    </row>
    <row r="39" spans="22:24">
      <c r="V39" s="790"/>
      <c r="W39" s="790"/>
      <c r="X39" s="790"/>
    </row>
  </sheetData>
  <mergeCells count="2">
    <mergeCell ref="V9:X9"/>
    <mergeCell ref="Z9:AB9"/>
  </mergeCells>
  <conditionalFormatting sqref="W8:X8 AC4:AC7 Z8:AC8 V9 Z9 AC9 V10:X39 Z10:AC26">
    <cfRule type="colorScale" priority="28">
      <colorScale>
        <cfvo type="min"/>
        <cfvo type="percentile" val="50"/>
        <cfvo type="max"/>
        <color rgb="FF63BE7B"/>
        <color rgb="FFFFEB84"/>
        <color rgb="FFF8696B"/>
      </colorScale>
    </cfRule>
  </conditionalFormatting>
  <conditionalFormatting sqref="X4:X8 X10:X39">
    <cfRule type="colorScale" priority="5">
      <colorScale>
        <cfvo type="min"/>
        <cfvo type="max"/>
        <color rgb="FFFCFCFF"/>
        <color rgb="FFF8696B"/>
      </colorScale>
    </cfRule>
    <cfRule type="colorScale" priority="7">
      <colorScale>
        <cfvo type="min"/>
        <cfvo type="percentile" val="50"/>
        <cfvo type="max"/>
        <color rgb="FF63BE7B"/>
        <color rgb="FFFFEB84"/>
        <color rgb="FFF8696B"/>
      </colorScale>
    </cfRule>
  </conditionalFormatting>
  <conditionalFormatting sqref="AB4:AB8 AB10:AB26">
    <cfRule type="colorScale" priority="38">
      <colorScale>
        <cfvo type="min"/>
        <cfvo type="max"/>
        <color rgb="FFFCFCFF"/>
        <color rgb="FFF8696B"/>
      </colorScale>
    </cfRule>
  </conditionalFormatting>
  <conditionalFormatting sqref="AB11:AB26">
    <cfRule type="colorScale" priority="1">
      <colorScale>
        <cfvo type="min"/>
        <cfvo type="max"/>
        <color rgb="FFFCFCFF"/>
        <color rgb="FFF8696B"/>
      </colorScale>
    </cfRule>
    <cfRule type="colorScale" priority="2">
      <colorScale>
        <cfvo type="min"/>
        <cfvo type="percentile" val="50"/>
        <cfvo type="max"/>
        <color rgb="FF63BE7B"/>
        <color rgb="FFFFEB84"/>
        <color rgb="FFF8696B"/>
      </colorScale>
    </cfRule>
    <cfRule type="colorScale" priority="3">
      <colorScale>
        <cfvo type="min"/>
        <cfvo type="max"/>
        <color rgb="FFFCFCFF"/>
        <color rgb="FFF8696B"/>
      </colorScale>
    </cfRule>
    <cfRule type="colorScale" priority="4">
      <colorScale>
        <cfvo type="min"/>
        <cfvo type="percentile" val="50"/>
        <cfvo type="max"/>
        <color rgb="FF63BE7B"/>
        <color rgb="FFFFEB84"/>
        <color rgb="FFF8696B"/>
      </colorScale>
    </cfRule>
  </conditionalFormatting>
  <conditionalFormatting sqref="AC4:AC26">
    <cfRule type="colorScale" priority="37">
      <colorScale>
        <cfvo type="min"/>
        <cfvo type="max"/>
        <color rgb="FFFCFCFF"/>
        <color rgb="FF63BE7B"/>
      </colorScale>
    </cfRule>
  </conditionalFormatting>
  <conditionalFormatting sqref="AD4:AD26">
    <cfRule type="colorScale" priority="36">
      <colorScale>
        <cfvo type="min"/>
        <cfvo type="max"/>
        <color rgb="FFFFEF9C"/>
        <color rgb="FF63BE7B"/>
      </colorScale>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3C6B9-7D75-4D18-9422-F71B2ADC29D0}">
  <sheetPr>
    <tabColor theme="7"/>
    <pageSetUpPr fitToPage="1"/>
  </sheetPr>
  <dimension ref="A1:R56"/>
  <sheetViews>
    <sheetView topLeftCell="B1" zoomScale="62" zoomScaleNormal="244" workbookViewId="0">
      <selection activeCell="E13" sqref="E13"/>
    </sheetView>
  </sheetViews>
  <sheetFormatPr defaultColWidth="8.7109375" defaultRowHeight="15"/>
  <cols>
    <col min="1" max="2" width="34.5703125" style="790" customWidth="1"/>
    <col min="3" max="3" width="23.5703125" style="790" hidden="1" customWidth="1"/>
    <col min="4" max="4" width="80.42578125" style="790" customWidth="1"/>
    <col min="5" max="5" width="45.42578125" style="790" customWidth="1"/>
    <col min="6" max="8" width="9.140625" style="790" customWidth="1"/>
    <col min="9" max="9" width="45.42578125" style="790" customWidth="1"/>
    <col min="10" max="15" width="9.140625" style="790" customWidth="1"/>
    <col min="16" max="16384" width="8.7109375" style="790"/>
  </cols>
  <sheetData>
    <row r="1" spans="4:18" s="983" customFormat="1" ht="30">
      <c r="D1" s="984" t="str">
        <f>E5&amp;" | CLIMATE CHANGE RISK ASSESSMENT"</f>
        <v>NOTTINGHAM GBR | CLIMATE CHANGE RISK ASSESSMENT</v>
      </c>
      <c r="E1" s="985"/>
    </row>
    <row r="2" spans="4:18" s="983" customFormat="1" ht="16.5">
      <c r="E2" s="985"/>
      <c r="F2"/>
      <c r="G2"/>
      <c r="H2"/>
      <c r="I2"/>
      <c r="J2"/>
    </row>
    <row r="3" spans="4:18" s="983" customFormat="1" ht="18">
      <c r="D3" s="986" t="s">
        <v>739</v>
      </c>
      <c r="E3" s="985"/>
      <c r="F3"/>
      <c r="G3"/>
      <c r="H3"/>
      <c r="I3"/>
      <c r="J3"/>
    </row>
    <row r="4" spans="4:18" s="983" customFormat="1" ht="18">
      <c r="D4" s="986" t="s">
        <v>740</v>
      </c>
      <c r="E4" s="985"/>
      <c r="F4"/>
      <c r="G4"/>
      <c r="H4"/>
      <c r="I4"/>
      <c r="J4"/>
    </row>
    <row r="5" spans="4:18" s="983" customFormat="1" ht="18">
      <c r="D5" s="987" t="s">
        <v>741</v>
      </c>
      <c r="E5" s="987" t="str">
        <f>'Front Page'!C8</f>
        <v>NOTTINGHAM GBR</v>
      </c>
      <c r="F5"/>
      <c r="G5"/>
      <c r="H5"/>
      <c r="I5"/>
      <c r="J5"/>
    </row>
    <row r="6" spans="4:18" s="983" customFormat="1" ht="18">
      <c r="D6" s="987" t="s">
        <v>742</v>
      </c>
      <c r="E6" s="987" t="str">
        <f>'Front Page'!C9</f>
        <v>NG7 2SD</v>
      </c>
      <c r="F6"/>
      <c r="G6"/>
      <c r="H6"/>
      <c r="I6"/>
      <c r="J6"/>
    </row>
    <row r="7" spans="4:18" s="983" customFormat="1" ht="18">
      <c r="D7" s="987" t="s">
        <v>743</v>
      </c>
      <c r="E7" s="987">
        <f>'Front Page'!C10</f>
        <v>0</v>
      </c>
      <c r="F7"/>
      <c r="G7"/>
      <c r="H7"/>
      <c r="I7"/>
      <c r="J7"/>
    </row>
    <row r="8" spans="4:18" s="983" customFormat="1" ht="18">
      <c r="D8" s="987" t="s">
        <v>744</v>
      </c>
      <c r="E8" s="1001"/>
      <c r="F8"/>
      <c r="G8"/>
      <c r="H8"/>
      <c r="I8"/>
      <c r="J8"/>
    </row>
    <row r="9" spans="4:18" s="983" customFormat="1" ht="16.5">
      <c r="F9"/>
      <c r="G9"/>
      <c r="H9"/>
      <c r="I9"/>
      <c r="J9"/>
    </row>
    <row r="10" spans="4:18" s="983" customFormat="1" ht="16.5">
      <c r="F10"/>
      <c r="G10"/>
      <c r="H10"/>
      <c r="I10"/>
      <c r="J10"/>
    </row>
    <row r="11" spans="4:18" s="983" customFormat="1" ht="16.5"/>
    <row r="12" spans="4:18" s="983" customFormat="1" ht="16.5"/>
    <row r="13" spans="4:18" s="983" customFormat="1" ht="16.5">
      <c r="R13" s="983" t="s">
        <v>28</v>
      </c>
    </row>
    <row r="14" spans="4:18" s="983" customFormat="1" ht="16.5">
      <c r="E14" s="985"/>
      <c r="F14" s="985"/>
      <c r="G14" s="985"/>
      <c r="H14" s="985"/>
      <c r="I14" s="985"/>
      <c r="J14" s="985"/>
      <c r="K14" s="985"/>
      <c r="L14" s="985"/>
      <c r="M14" s="985"/>
    </row>
    <row r="15" spans="4:18" s="983" customFormat="1" ht="16.5">
      <c r="E15" s="985"/>
      <c r="F15" s="988" t="s">
        <v>745</v>
      </c>
      <c r="G15" s="988" t="s">
        <v>745</v>
      </c>
      <c r="H15" s="988" t="s">
        <v>745</v>
      </c>
      <c r="I15" s="989"/>
      <c r="J15" s="988" t="s">
        <v>745</v>
      </c>
      <c r="K15" s="988" t="s">
        <v>745</v>
      </c>
      <c r="L15" s="988" t="s">
        <v>745</v>
      </c>
      <c r="M15" s="985"/>
    </row>
    <row r="16" spans="4:18" s="983" customFormat="1" ht="16.5">
      <c r="E16" s="985"/>
      <c r="F16" s="990" t="s">
        <v>746</v>
      </c>
      <c r="G16" s="990" t="s">
        <v>746</v>
      </c>
      <c r="H16" s="991" t="s">
        <v>747</v>
      </c>
      <c r="I16" s="989"/>
      <c r="J16" s="990" t="s">
        <v>746</v>
      </c>
      <c r="K16" s="990" t="s">
        <v>746</v>
      </c>
      <c r="L16" s="991" t="s">
        <v>747</v>
      </c>
      <c r="M16" s="985"/>
    </row>
    <row r="17" spans="1:15" s="983" customFormat="1" ht="16.5">
      <c r="D17" s="983" t="s">
        <v>774</v>
      </c>
      <c r="E17" s="985"/>
      <c r="F17" s="992" t="s">
        <v>748</v>
      </c>
      <c r="G17" s="992" t="s">
        <v>748</v>
      </c>
      <c r="H17" s="993" t="s">
        <v>749</v>
      </c>
      <c r="I17" s="989"/>
      <c r="J17" s="992" t="s">
        <v>748</v>
      </c>
      <c r="K17" s="992" t="s">
        <v>748</v>
      </c>
      <c r="L17" s="993" t="s">
        <v>749</v>
      </c>
      <c r="M17" s="985"/>
    </row>
    <row r="18" spans="1:15" s="983" customFormat="1" ht="16.5">
      <c r="E18" s="985"/>
      <c r="F18" s="994" t="s">
        <v>750</v>
      </c>
      <c r="G18" s="994" t="s">
        <v>750</v>
      </c>
      <c r="H18" s="995" t="s">
        <v>751</v>
      </c>
      <c r="I18" s="989"/>
      <c r="J18" s="994" t="s">
        <v>750</v>
      </c>
      <c r="K18" s="994" t="s">
        <v>750</v>
      </c>
      <c r="L18" s="995" t="s">
        <v>751</v>
      </c>
      <c r="M18" s="985"/>
    </row>
    <row r="19" spans="1:15" s="983" customFormat="1" ht="16.5">
      <c r="E19" s="985" t="s">
        <v>774</v>
      </c>
      <c r="F19" s="996"/>
      <c r="G19" s="985"/>
      <c r="H19" s="985"/>
      <c r="I19" s="985"/>
      <c r="J19" s="985"/>
      <c r="K19" s="985"/>
      <c r="L19" s="985"/>
      <c r="M19" s="985"/>
    </row>
    <row r="20" spans="1:15" s="983" customFormat="1" ht="16.5">
      <c r="E20" s="985"/>
      <c r="F20" s="1012" t="s">
        <v>752</v>
      </c>
      <c r="G20" s="1012"/>
      <c r="H20" s="1012"/>
      <c r="I20" s="985"/>
      <c r="J20" s="1013" t="s">
        <v>753</v>
      </c>
      <c r="K20" s="1013"/>
      <c r="L20" s="1013"/>
      <c r="M20" s="996"/>
      <c r="N20" s="997"/>
    </row>
    <row r="21" spans="1:15" s="983" customFormat="1" ht="33.75">
      <c r="A21" s="998" t="s">
        <v>754</v>
      </c>
      <c r="B21" s="998" t="s">
        <v>755</v>
      </c>
      <c r="C21" s="998" t="s">
        <v>335</v>
      </c>
      <c r="D21" s="998" t="s">
        <v>756</v>
      </c>
      <c r="E21" s="998" t="s">
        <v>757</v>
      </c>
      <c r="F21" s="999" t="s">
        <v>758</v>
      </c>
      <c r="G21" s="999" t="s">
        <v>759</v>
      </c>
      <c r="H21" s="999" t="s">
        <v>760</v>
      </c>
      <c r="I21" s="998" t="s">
        <v>761</v>
      </c>
      <c r="J21" s="999" t="s">
        <v>762</v>
      </c>
      <c r="K21" s="999" t="s">
        <v>763</v>
      </c>
      <c r="L21" s="999" t="s">
        <v>764</v>
      </c>
      <c r="M21" s="1000" t="s">
        <v>765</v>
      </c>
      <c r="N21" s="1000" t="s">
        <v>766</v>
      </c>
      <c r="O21" s="1000" t="s">
        <v>767</v>
      </c>
    </row>
    <row r="22" spans="1:15" s="1002" customFormat="1" ht="82.5">
      <c r="A22" s="1002" t="s">
        <v>1</v>
      </c>
      <c r="B22" s="1002" t="s">
        <v>336</v>
      </c>
      <c r="C22" s="1002" t="s">
        <v>266</v>
      </c>
      <c r="D22" s="1003" t="s">
        <v>804</v>
      </c>
      <c r="E22" s="1002" t="s">
        <v>773</v>
      </c>
      <c r="F22" s="1002">
        <v>1</v>
      </c>
      <c r="G22" s="1002">
        <v>2</v>
      </c>
      <c r="H22" s="1002">
        <f t="shared" ref="H22:H56" si="0">G22*F22</f>
        <v>2</v>
      </c>
      <c r="I22" s="1002" t="s">
        <v>801</v>
      </c>
      <c r="J22" s="1002">
        <v>1</v>
      </c>
      <c r="K22" s="1002">
        <v>2</v>
      </c>
      <c r="L22" s="1002">
        <f t="shared" ref="L22:L56" si="1">K22*J22</f>
        <v>2</v>
      </c>
      <c r="M22" s="1004">
        <f>Table242[[#This Row],[LIKELIHOOD AFTER]]</f>
        <v>1</v>
      </c>
      <c r="N22" s="1004">
        <f>Table242[[#This Row],[SEVERITY AFTER]]</f>
        <v>2</v>
      </c>
      <c r="O22" s="1005">
        <f>Table242[[#This Row],[LIKELIHOOD REDUCTION]]+Table242[[#This Row],[SEVERITY REDUCTION]]</f>
        <v>3</v>
      </c>
    </row>
    <row r="23" spans="1:15" s="1002" customFormat="1" ht="66">
      <c r="A23" s="1002" t="s">
        <v>1</v>
      </c>
      <c r="B23" s="1002" t="s">
        <v>301</v>
      </c>
      <c r="C23" s="1002" t="s">
        <v>267</v>
      </c>
      <c r="D23" s="1003" t="s">
        <v>805</v>
      </c>
      <c r="E23" s="1002" t="s">
        <v>806</v>
      </c>
      <c r="F23" s="1002">
        <v>1</v>
      </c>
      <c r="G23" s="1002">
        <v>1</v>
      </c>
      <c r="H23" s="1002">
        <f t="shared" si="0"/>
        <v>1</v>
      </c>
      <c r="I23" s="1002" t="s">
        <v>800</v>
      </c>
      <c r="J23" s="1002">
        <v>1</v>
      </c>
      <c r="K23" s="1002">
        <v>1</v>
      </c>
      <c r="L23" s="1002">
        <f t="shared" si="1"/>
        <v>1</v>
      </c>
      <c r="M23" s="1004">
        <f>Table242[[#This Row],[LIKELIHOOD AFTER]]</f>
        <v>1</v>
      </c>
      <c r="N23" s="1004">
        <f>Table242[[#This Row],[SEVERITY AFTER]]</f>
        <v>1</v>
      </c>
      <c r="O23" s="1005">
        <f>Table242[[#This Row],[LIKELIHOOD REDUCTION]]+Table242[[#This Row],[SEVERITY REDUCTION]]</f>
        <v>2</v>
      </c>
    </row>
    <row r="24" spans="1:15" s="1002" customFormat="1" ht="33">
      <c r="A24" s="1002" t="s">
        <v>1</v>
      </c>
      <c r="B24" s="1002" t="s">
        <v>302</v>
      </c>
      <c r="C24" s="1002" t="s">
        <v>268</v>
      </c>
      <c r="D24" s="1002" t="s">
        <v>775</v>
      </c>
      <c r="E24" s="1002" t="s">
        <v>677</v>
      </c>
      <c r="F24" s="1002">
        <v>1</v>
      </c>
      <c r="G24" s="1002">
        <v>1</v>
      </c>
      <c r="H24" s="1002">
        <f t="shared" si="0"/>
        <v>1</v>
      </c>
      <c r="I24" s="1002" t="s">
        <v>794</v>
      </c>
      <c r="J24" s="1002">
        <v>1</v>
      </c>
      <c r="K24" s="1002">
        <v>1</v>
      </c>
      <c r="L24" s="1002">
        <f t="shared" si="1"/>
        <v>1</v>
      </c>
      <c r="M24" s="1004">
        <f>Table242[[#This Row],[LIKELIHOOD AFTER]]</f>
        <v>1</v>
      </c>
      <c r="N24" s="1004">
        <f>Table242[[#This Row],[SEVERITY AFTER]]</f>
        <v>1</v>
      </c>
      <c r="O24" s="1005">
        <f>Table242[[#This Row],[LIKELIHOOD REDUCTION]]+Table242[[#This Row],[SEVERITY REDUCTION]]</f>
        <v>2</v>
      </c>
    </row>
    <row r="25" spans="1:15" s="1002" customFormat="1" ht="33">
      <c r="A25" s="1002" t="s">
        <v>1</v>
      </c>
      <c r="B25" s="1002" t="s">
        <v>337</v>
      </c>
      <c r="C25" s="1006" t="s">
        <v>269</v>
      </c>
      <c r="D25" s="1003" t="s">
        <v>786</v>
      </c>
      <c r="E25" s="1002" t="s">
        <v>265</v>
      </c>
      <c r="F25" s="1002">
        <v>2</v>
      </c>
      <c r="G25" s="1002">
        <v>1</v>
      </c>
      <c r="H25" s="1002">
        <f t="shared" si="0"/>
        <v>2</v>
      </c>
      <c r="I25" s="1002" t="s">
        <v>795</v>
      </c>
      <c r="J25" s="1002">
        <v>1</v>
      </c>
      <c r="K25" s="1002">
        <v>1</v>
      </c>
      <c r="L25" s="1002">
        <f t="shared" si="1"/>
        <v>1</v>
      </c>
      <c r="M25" s="1004">
        <f>Table242[[#This Row],[LIKELIHOOD AFTER]]</f>
        <v>1</v>
      </c>
      <c r="N25" s="1004">
        <f>Table242[[#This Row],[SEVERITY AFTER]]</f>
        <v>1</v>
      </c>
      <c r="O25" s="1005">
        <f>Table242[[#This Row],[LIKELIHOOD REDUCTION]]+Table242[[#This Row],[SEVERITY REDUCTION]]</f>
        <v>2</v>
      </c>
    </row>
    <row r="26" spans="1:15" s="1002" customFormat="1" ht="49.5">
      <c r="A26" s="1002" t="s">
        <v>1</v>
      </c>
      <c r="B26" s="1002" t="s">
        <v>338</v>
      </c>
      <c r="C26" s="1002" t="s">
        <v>270</v>
      </c>
      <c r="D26" s="1002" t="s">
        <v>738</v>
      </c>
      <c r="E26" s="1002" t="s">
        <v>283</v>
      </c>
      <c r="F26" s="1002">
        <v>2</v>
      </c>
      <c r="G26" s="1002">
        <v>1</v>
      </c>
      <c r="H26" s="1002">
        <f t="shared" si="0"/>
        <v>2</v>
      </c>
      <c r="I26" s="1002" t="s">
        <v>264</v>
      </c>
      <c r="J26" s="1002">
        <v>1</v>
      </c>
      <c r="K26" s="1002">
        <v>1</v>
      </c>
      <c r="L26" s="1002">
        <f t="shared" si="1"/>
        <v>1</v>
      </c>
      <c r="M26" s="1004">
        <f>Table242[[#This Row],[LIKELIHOOD AFTER]]</f>
        <v>1</v>
      </c>
      <c r="N26" s="1004">
        <f>Table242[[#This Row],[SEVERITY AFTER]]</f>
        <v>1</v>
      </c>
      <c r="O26" s="1005">
        <f>Table242[[#This Row],[LIKELIHOOD REDUCTION]]+Table242[[#This Row],[SEVERITY REDUCTION]]</f>
        <v>2</v>
      </c>
    </row>
    <row r="27" spans="1:15" s="1002" customFormat="1" ht="33">
      <c r="A27" s="1002" t="s">
        <v>1</v>
      </c>
      <c r="B27" s="1002" t="s">
        <v>303</v>
      </c>
      <c r="C27" s="1002" t="s">
        <v>0</v>
      </c>
      <c r="D27" s="1002" t="s">
        <v>284</v>
      </c>
      <c r="E27" s="1002" t="s">
        <v>285</v>
      </c>
      <c r="F27" s="1002">
        <v>2</v>
      </c>
      <c r="G27" s="1002">
        <v>1</v>
      </c>
      <c r="H27" s="1002">
        <f t="shared" si="0"/>
        <v>2</v>
      </c>
      <c r="I27" s="1002" t="s">
        <v>796</v>
      </c>
      <c r="J27" s="1002">
        <v>1</v>
      </c>
      <c r="K27" s="1002">
        <v>1</v>
      </c>
      <c r="L27" s="1002">
        <f t="shared" si="1"/>
        <v>1</v>
      </c>
      <c r="M27" s="1004">
        <f>Table242[[#This Row],[LIKELIHOOD AFTER]]</f>
        <v>1</v>
      </c>
      <c r="N27" s="1004">
        <f>Table242[[#This Row],[SEVERITY AFTER]]</f>
        <v>1</v>
      </c>
      <c r="O27" s="1005">
        <f>Table242[[#This Row],[LIKELIHOOD REDUCTION]]+Table242[[#This Row],[SEVERITY REDUCTION]]</f>
        <v>2</v>
      </c>
    </row>
    <row r="28" spans="1:15" s="1002" customFormat="1" ht="33">
      <c r="A28" s="1002" t="s">
        <v>1</v>
      </c>
      <c r="B28" s="1002" t="s">
        <v>339</v>
      </c>
      <c r="C28" s="1002" t="s">
        <v>271</v>
      </c>
      <c r="D28" s="1002" t="s">
        <v>286</v>
      </c>
      <c r="E28" s="1002" t="s">
        <v>264</v>
      </c>
      <c r="F28" s="1002">
        <v>2</v>
      </c>
      <c r="G28" s="1002">
        <v>1</v>
      </c>
      <c r="H28" s="1002">
        <f t="shared" si="0"/>
        <v>2</v>
      </c>
      <c r="I28" s="1002" t="s">
        <v>797</v>
      </c>
      <c r="J28" s="1002">
        <v>1</v>
      </c>
      <c r="K28" s="1002">
        <v>1</v>
      </c>
      <c r="L28" s="1002">
        <f t="shared" si="1"/>
        <v>1</v>
      </c>
      <c r="M28" s="1004">
        <f>Table242[[#This Row],[LIKELIHOOD AFTER]]</f>
        <v>1</v>
      </c>
      <c r="N28" s="1004">
        <f>Table242[[#This Row],[SEVERITY AFTER]]</f>
        <v>1</v>
      </c>
      <c r="O28" s="1005">
        <f>Table242[[#This Row],[LIKELIHOOD REDUCTION]]+Table242[[#This Row],[SEVERITY REDUCTION]]</f>
        <v>2</v>
      </c>
    </row>
    <row r="29" spans="1:15" s="1002" customFormat="1" ht="66">
      <c r="A29" s="1002" t="s">
        <v>2</v>
      </c>
      <c r="B29" s="1002" t="s">
        <v>304</v>
      </c>
      <c r="C29" s="1002" t="s">
        <v>3</v>
      </c>
      <c r="D29" s="1003" t="s">
        <v>776</v>
      </c>
      <c r="E29" s="1002" t="s">
        <v>287</v>
      </c>
      <c r="F29" s="1002">
        <v>1</v>
      </c>
      <c r="G29" s="1002">
        <v>1</v>
      </c>
      <c r="H29" s="1002">
        <f t="shared" si="0"/>
        <v>1</v>
      </c>
      <c r="I29" s="1002" t="s">
        <v>798</v>
      </c>
      <c r="J29" s="1002">
        <v>1</v>
      </c>
      <c r="K29" s="1002">
        <v>1</v>
      </c>
      <c r="L29" s="1002">
        <f t="shared" si="1"/>
        <v>1</v>
      </c>
      <c r="M29" s="1004">
        <f>Table242[[#This Row],[LIKELIHOOD AFTER]]</f>
        <v>1</v>
      </c>
      <c r="N29" s="1004">
        <f>Table242[[#This Row],[SEVERITY AFTER]]</f>
        <v>1</v>
      </c>
      <c r="O29" s="1005">
        <f>Table242[[#This Row],[LIKELIHOOD REDUCTION]]+Table242[[#This Row],[SEVERITY REDUCTION]]</f>
        <v>2</v>
      </c>
    </row>
    <row r="30" spans="1:15" s="1002" customFormat="1" ht="33">
      <c r="A30" s="1002" t="s">
        <v>2</v>
      </c>
      <c r="B30" s="1002" t="s">
        <v>305</v>
      </c>
      <c r="C30" s="1002" t="s">
        <v>4</v>
      </c>
      <c r="D30" s="1002" t="s">
        <v>777</v>
      </c>
      <c r="E30" s="1002" t="s">
        <v>778</v>
      </c>
      <c r="F30" s="1002">
        <v>2</v>
      </c>
      <c r="G30" s="1002">
        <v>1</v>
      </c>
      <c r="H30" s="1002">
        <f t="shared" si="0"/>
        <v>2</v>
      </c>
      <c r="I30" s="1002" t="s">
        <v>799</v>
      </c>
      <c r="J30" s="1002">
        <v>1</v>
      </c>
      <c r="K30" s="1002">
        <v>1</v>
      </c>
      <c r="L30" s="1002">
        <f t="shared" si="1"/>
        <v>1</v>
      </c>
      <c r="M30" s="1004">
        <f>Table242[[#This Row],[LIKELIHOOD AFTER]]</f>
        <v>1</v>
      </c>
      <c r="N30" s="1004">
        <f>Table242[[#This Row],[SEVERITY AFTER]]</f>
        <v>1</v>
      </c>
      <c r="O30" s="1005">
        <f>Table242[[#This Row],[LIKELIHOOD REDUCTION]]+Table242[[#This Row],[SEVERITY REDUCTION]]</f>
        <v>2</v>
      </c>
    </row>
    <row r="31" spans="1:15" s="1002" customFormat="1" ht="33">
      <c r="A31" s="1002" t="s">
        <v>2</v>
      </c>
      <c r="B31" s="1002" t="s">
        <v>340</v>
      </c>
      <c r="C31" s="1002" t="s">
        <v>272</v>
      </c>
      <c r="D31" s="1002" t="str">
        <f>'Front Page'!L26&amp;" number of icy days expected, compared to current in "&amp;'Front Page'!C8</f>
        <v>LOWER number of icy days expected, compared to current in NOTTINGHAM GBR</v>
      </c>
      <c r="E31" s="1002" t="s">
        <v>779</v>
      </c>
      <c r="F31" s="1002">
        <v>1</v>
      </c>
      <c r="G31" s="1002">
        <v>2</v>
      </c>
      <c r="H31" s="1002">
        <f t="shared" si="0"/>
        <v>2</v>
      </c>
      <c r="I31" s="1002" t="s">
        <v>264</v>
      </c>
      <c r="J31" s="1002">
        <v>1</v>
      </c>
      <c r="K31" s="1002">
        <v>2</v>
      </c>
      <c r="L31" s="1002">
        <f t="shared" si="1"/>
        <v>2</v>
      </c>
      <c r="M31" s="1004">
        <f>Table242[[#This Row],[LIKELIHOOD AFTER]]</f>
        <v>1</v>
      </c>
      <c r="N31" s="1004">
        <f>Table242[[#This Row],[SEVERITY AFTER]]</f>
        <v>2</v>
      </c>
      <c r="O31" s="1005">
        <f>Table242[[#This Row],[LIKELIHOOD REDUCTION]]+Table242[[#This Row],[SEVERITY REDUCTION]]</f>
        <v>3</v>
      </c>
    </row>
    <row r="32" spans="1:15" s="1002" customFormat="1" ht="33">
      <c r="A32" s="1002" t="s">
        <v>2</v>
      </c>
      <c r="B32" s="1002" t="s">
        <v>341</v>
      </c>
      <c r="C32" s="1002" t="s">
        <v>5</v>
      </c>
      <c r="D32" s="1002" t="str">
        <f>'Front Page'!L26&amp;" number of icy days expected, "&amp;'Front Page'!L34&amp;" intensity of winter rainfall events.
Consider traffic management and pedestrian routes"</f>
        <v>LOWER number of icy days expected, HIGHER intensity of winter rainfall events.
Consider traffic management and pedestrian routes</v>
      </c>
      <c r="E32" s="1002" t="s">
        <v>780</v>
      </c>
      <c r="F32" s="1002">
        <v>1</v>
      </c>
      <c r="G32" s="1002">
        <v>1</v>
      </c>
      <c r="H32" s="1002">
        <f t="shared" si="0"/>
        <v>1</v>
      </c>
      <c r="I32" s="1002" t="s">
        <v>264</v>
      </c>
      <c r="J32" s="1002">
        <v>1</v>
      </c>
      <c r="K32" s="1002">
        <v>1</v>
      </c>
      <c r="L32" s="1002">
        <f t="shared" si="1"/>
        <v>1</v>
      </c>
      <c r="M32" s="1004">
        <f>Table242[[#This Row],[LIKELIHOOD AFTER]]</f>
        <v>1</v>
      </c>
      <c r="N32" s="1004">
        <f>Table242[[#This Row],[SEVERITY AFTER]]</f>
        <v>1</v>
      </c>
      <c r="O32" s="1005">
        <f>Table242[[#This Row],[LIKELIHOOD REDUCTION]]+Table242[[#This Row],[SEVERITY REDUCTION]]</f>
        <v>2</v>
      </c>
    </row>
    <row r="33" spans="1:15" s="1002" customFormat="1" ht="49.5">
      <c r="A33" s="1002" t="s">
        <v>6</v>
      </c>
      <c r="B33" s="1002" t="s">
        <v>306</v>
      </c>
      <c r="C33" s="1006" t="s">
        <v>273</v>
      </c>
      <c r="D33" s="1002" t="str">
        <f>'Front Page'!L34&amp;" intensity of winter rainfall events, "&amp;'Front Page'!L33&amp;" intensity of summer rainfall events. "&amp;"
Consider interceptors, drains"</f>
        <v>HIGHER intensity of winter rainfall events, HIGHER intensity of summer rainfall events. 
Consider interceptors, drains</v>
      </c>
      <c r="E33" s="1002" t="s">
        <v>678</v>
      </c>
      <c r="F33" s="1002">
        <v>1</v>
      </c>
      <c r="G33" s="1002">
        <v>2</v>
      </c>
      <c r="H33" s="1002">
        <f t="shared" si="0"/>
        <v>2</v>
      </c>
      <c r="I33" s="1002" t="s">
        <v>793</v>
      </c>
      <c r="J33" s="1002">
        <v>1</v>
      </c>
      <c r="K33" s="1002">
        <v>1</v>
      </c>
      <c r="L33" s="1002">
        <f t="shared" si="1"/>
        <v>1</v>
      </c>
      <c r="M33" s="1004">
        <f>Table242[[#This Row],[LIKELIHOOD AFTER]]</f>
        <v>1</v>
      </c>
      <c r="N33" s="1004">
        <f>Table242[[#This Row],[SEVERITY AFTER]]</f>
        <v>1</v>
      </c>
      <c r="O33" s="1005">
        <f>Table242[[#This Row],[LIKELIHOOD REDUCTION]]+Table242[[#This Row],[SEVERITY REDUCTION]]</f>
        <v>2</v>
      </c>
    </row>
    <row r="34" spans="1:15" s="1002" customFormat="1" ht="33">
      <c r="A34" s="1002" t="s">
        <v>6</v>
      </c>
      <c r="B34" s="1002" t="s">
        <v>307</v>
      </c>
      <c r="C34" s="1002" t="s">
        <v>7</v>
      </c>
      <c r="D34" s="1003" t="s">
        <v>809</v>
      </c>
      <c r="E34" s="1002" t="s">
        <v>807</v>
      </c>
      <c r="F34" s="1002">
        <v>1</v>
      </c>
      <c r="G34" s="1002">
        <v>2</v>
      </c>
      <c r="H34" s="1002">
        <f t="shared" si="0"/>
        <v>2</v>
      </c>
      <c r="I34" s="1002" t="s">
        <v>821</v>
      </c>
      <c r="J34" s="1002">
        <v>1</v>
      </c>
      <c r="K34" s="1002">
        <v>1</v>
      </c>
      <c r="L34" s="1002">
        <f t="shared" si="1"/>
        <v>1</v>
      </c>
      <c r="M34" s="1004">
        <f>Table242[[#This Row],[LIKELIHOOD AFTER]]</f>
        <v>1</v>
      </c>
      <c r="N34" s="1004">
        <f>Table242[[#This Row],[SEVERITY AFTER]]</f>
        <v>1</v>
      </c>
      <c r="O34" s="1005">
        <f>Table242[[#This Row],[LIKELIHOOD REDUCTION]]+Table242[[#This Row],[SEVERITY REDUCTION]]</f>
        <v>2</v>
      </c>
    </row>
    <row r="35" spans="1:15" s="1002" customFormat="1" ht="33">
      <c r="A35" s="1002" t="s">
        <v>6</v>
      </c>
      <c r="B35" s="1002" t="s">
        <v>343</v>
      </c>
      <c r="C35" s="1002" t="s">
        <v>288</v>
      </c>
      <c r="D35" s="1003" t="s">
        <v>808</v>
      </c>
      <c r="E35" s="1002" t="s">
        <v>781</v>
      </c>
      <c r="F35" s="1002">
        <v>1</v>
      </c>
      <c r="G35" s="1002">
        <v>1</v>
      </c>
      <c r="H35" s="1002">
        <f t="shared" si="0"/>
        <v>1</v>
      </c>
      <c r="I35" s="1002" t="s">
        <v>290</v>
      </c>
      <c r="J35" s="1002">
        <v>1</v>
      </c>
      <c r="K35" s="1002">
        <v>1</v>
      </c>
      <c r="L35" s="1002">
        <f t="shared" si="1"/>
        <v>1</v>
      </c>
      <c r="M35" s="1004">
        <f>Table242[[#This Row],[LIKELIHOOD AFTER]]</f>
        <v>1</v>
      </c>
      <c r="N35" s="1004">
        <f>Table242[[#This Row],[SEVERITY AFTER]]</f>
        <v>1</v>
      </c>
      <c r="O35" s="1005">
        <f>Table242[[#This Row],[LIKELIHOOD REDUCTION]]+Table242[[#This Row],[SEVERITY REDUCTION]]</f>
        <v>2</v>
      </c>
    </row>
    <row r="36" spans="1:15" s="1002" customFormat="1" ht="49.5">
      <c r="A36" s="1002" t="s">
        <v>6</v>
      </c>
      <c r="B36" s="1002" t="s">
        <v>342</v>
      </c>
      <c r="C36" s="1002" t="s">
        <v>289</v>
      </c>
      <c r="D36" s="1003" t="s">
        <v>810</v>
      </c>
      <c r="E36" s="1002" t="s">
        <v>811</v>
      </c>
      <c r="F36" s="1002">
        <v>1</v>
      </c>
      <c r="G36" s="1002">
        <v>2</v>
      </c>
      <c r="H36" s="1002">
        <f t="shared" si="0"/>
        <v>2</v>
      </c>
      <c r="I36" s="1002" t="s">
        <v>812</v>
      </c>
      <c r="J36" s="1002">
        <v>1</v>
      </c>
      <c r="K36" s="1002">
        <v>2</v>
      </c>
      <c r="L36" s="1002">
        <f t="shared" si="1"/>
        <v>2</v>
      </c>
      <c r="M36" s="1004">
        <f>Table242[[#This Row],[LIKELIHOOD AFTER]]</f>
        <v>1</v>
      </c>
      <c r="N36" s="1004">
        <f>Table242[[#This Row],[SEVERITY AFTER]]</f>
        <v>2</v>
      </c>
      <c r="O36" s="1005">
        <f>Table242[[#This Row],[LIKELIHOOD REDUCTION]]+Table242[[#This Row],[SEVERITY REDUCTION]]</f>
        <v>3</v>
      </c>
    </row>
    <row r="37" spans="1:15" s="1002" customFormat="1" ht="49.5">
      <c r="A37" s="1002" t="s">
        <v>8</v>
      </c>
      <c r="B37" s="1002" t="s">
        <v>308</v>
      </c>
      <c r="C37" s="1002" t="s">
        <v>274</v>
      </c>
      <c r="D37" s="1003" t="str">
        <f>'Front Page'!L32&amp;" number of predicted winter rainy days
"&amp;'Front Page'!L31&amp;" number of predicted summer rainy days.
For intensity, see above 3. Daily Extreme rainfall"</f>
        <v>NO CHANGE IN number of predicted winter rainy days
LOWER number of predicted summer rainy days.
For intensity, see above 3. Daily Extreme rainfall</v>
      </c>
      <c r="E37" s="1002" t="s">
        <v>333</v>
      </c>
      <c r="F37" s="1002">
        <v>1</v>
      </c>
      <c r="G37" s="1002">
        <v>2</v>
      </c>
      <c r="H37" s="1002">
        <f t="shared" si="0"/>
        <v>2</v>
      </c>
      <c r="I37" s="1002" t="s">
        <v>293</v>
      </c>
      <c r="J37" s="1002">
        <v>1</v>
      </c>
      <c r="K37" s="1002">
        <v>2</v>
      </c>
      <c r="L37" s="1002">
        <f t="shared" si="1"/>
        <v>2</v>
      </c>
      <c r="M37" s="1004">
        <f>Table242[[#This Row],[LIKELIHOOD AFTER]]</f>
        <v>1</v>
      </c>
      <c r="N37" s="1004">
        <f>Table242[[#This Row],[SEVERITY AFTER]]</f>
        <v>2</v>
      </c>
      <c r="O37" s="1005">
        <f>Table242[[#This Row],[LIKELIHOOD REDUCTION]]+Table242[[#This Row],[SEVERITY REDUCTION]]</f>
        <v>3</v>
      </c>
    </row>
    <row r="38" spans="1:15" s="1002" customFormat="1" ht="49.5">
      <c r="A38" s="1002" t="s">
        <v>8</v>
      </c>
      <c r="B38" s="1002" t="s">
        <v>309</v>
      </c>
      <c r="C38" s="1006" t="s">
        <v>273</v>
      </c>
      <c r="D38" s="1002" t="s">
        <v>333</v>
      </c>
      <c r="E38" s="1002" t="s">
        <v>333</v>
      </c>
      <c r="F38" s="1002">
        <v>1</v>
      </c>
      <c r="G38" s="1002">
        <v>2</v>
      </c>
      <c r="H38" s="1002">
        <f t="shared" si="0"/>
        <v>2</v>
      </c>
      <c r="I38" s="1002" t="s">
        <v>333</v>
      </c>
      <c r="J38" s="1002">
        <v>1</v>
      </c>
      <c r="K38" s="1002">
        <v>2</v>
      </c>
      <c r="L38" s="1002">
        <f t="shared" si="1"/>
        <v>2</v>
      </c>
      <c r="M38" s="1004">
        <f>Table242[[#This Row],[LIKELIHOOD AFTER]]</f>
        <v>1</v>
      </c>
      <c r="N38" s="1004">
        <f>Table242[[#This Row],[SEVERITY AFTER]]</f>
        <v>2</v>
      </c>
      <c r="O38" s="1005">
        <f>Table242[[#This Row],[LIKELIHOOD REDUCTION]]+Table242[[#This Row],[SEVERITY REDUCTION]]</f>
        <v>3</v>
      </c>
    </row>
    <row r="39" spans="1:15" s="1002" customFormat="1" ht="33">
      <c r="A39" s="1002" t="s">
        <v>9</v>
      </c>
      <c r="B39" s="1002" t="s">
        <v>310</v>
      </c>
      <c r="C39" s="1002" t="s">
        <v>275</v>
      </c>
      <c r="D39" s="1003" t="s">
        <v>813</v>
      </c>
      <c r="E39" s="1002" t="s">
        <v>264</v>
      </c>
      <c r="F39" s="1002">
        <v>1</v>
      </c>
      <c r="G39" s="1002">
        <v>1</v>
      </c>
      <c r="H39" s="1002">
        <f t="shared" si="0"/>
        <v>1</v>
      </c>
      <c r="I39" s="1002" t="s">
        <v>264</v>
      </c>
      <c r="J39" s="1002">
        <v>1</v>
      </c>
      <c r="K39" s="1002">
        <v>1</v>
      </c>
      <c r="L39" s="1002">
        <f t="shared" si="1"/>
        <v>1</v>
      </c>
      <c r="M39" s="1004">
        <f>Table242[[#This Row],[LIKELIHOOD AFTER]]</f>
        <v>1</v>
      </c>
      <c r="N39" s="1004">
        <f>Table242[[#This Row],[SEVERITY AFTER]]</f>
        <v>1</v>
      </c>
      <c r="O39" s="1005">
        <f>Table242[[#This Row],[LIKELIHOOD REDUCTION]]+Table242[[#This Row],[SEVERITY REDUCTION]]</f>
        <v>2</v>
      </c>
    </row>
    <row r="40" spans="1:15" s="1002" customFormat="1" ht="18">
      <c r="A40" s="1002" t="s">
        <v>9</v>
      </c>
      <c r="B40" s="1002" t="s">
        <v>311</v>
      </c>
      <c r="C40" s="1002" t="s">
        <v>11</v>
      </c>
      <c r="D40" s="1003" t="s">
        <v>813</v>
      </c>
      <c r="E40" s="1002" t="s">
        <v>264</v>
      </c>
      <c r="F40" s="1002">
        <v>1</v>
      </c>
      <c r="G40" s="1002">
        <v>1</v>
      </c>
      <c r="H40" s="1002">
        <f t="shared" si="0"/>
        <v>1</v>
      </c>
      <c r="I40" s="1002" t="s">
        <v>264</v>
      </c>
      <c r="J40" s="1002">
        <v>1</v>
      </c>
      <c r="K40" s="1002">
        <v>1</v>
      </c>
      <c r="L40" s="1002">
        <f t="shared" si="1"/>
        <v>1</v>
      </c>
      <c r="M40" s="1004">
        <f>Table242[[#This Row],[LIKELIHOOD AFTER]]</f>
        <v>1</v>
      </c>
      <c r="N40" s="1004">
        <f>Table242[[#This Row],[SEVERITY AFTER]]</f>
        <v>1</v>
      </c>
      <c r="O40" s="1005">
        <f>Table242[[#This Row],[LIKELIHOOD REDUCTION]]+Table242[[#This Row],[SEVERITY REDUCTION]]</f>
        <v>2</v>
      </c>
    </row>
    <row r="41" spans="1:15" s="1002" customFormat="1" ht="49.5">
      <c r="A41" s="1002" t="s">
        <v>10</v>
      </c>
      <c r="B41" s="1002" t="s">
        <v>312</v>
      </c>
      <c r="C41" s="1002" t="s">
        <v>276</v>
      </c>
      <c r="D41" s="1002" t="s">
        <v>814</v>
      </c>
      <c r="E41" s="1002" t="s">
        <v>815</v>
      </c>
      <c r="F41" s="1002">
        <v>2</v>
      </c>
      <c r="G41" s="1002">
        <v>1</v>
      </c>
      <c r="H41" s="1002">
        <f t="shared" si="0"/>
        <v>2</v>
      </c>
      <c r="I41" s="1002" t="s">
        <v>816</v>
      </c>
      <c r="J41" s="1002">
        <v>1</v>
      </c>
      <c r="K41" s="1002">
        <v>1</v>
      </c>
      <c r="L41" s="1002">
        <f t="shared" si="1"/>
        <v>1</v>
      </c>
      <c r="M41" s="1004">
        <f>Table242[[#This Row],[LIKELIHOOD AFTER]]</f>
        <v>1</v>
      </c>
      <c r="N41" s="1004">
        <f>Table242[[#This Row],[SEVERITY AFTER]]</f>
        <v>1</v>
      </c>
      <c r="O41" s="1005">
        <f>Table242[[#This Row],[LIKELIHOOD REDUCTION]]+Table242[[#This Row],[SEVERITY REDUCTION]]</f>
        <v>2</v>
      </c>
    </row>
    <row r="42" spans="1:15" s="1002" customFormat="1" ht="66">
      <c r="A42" s="1002" t="s">
        <v>10</v>
      </c>
      <c r="B42" s="1002" t="s">
        <v>313</v>
      </c>
      <c r="C42" s="1002" t="s">
        <v>277</v>
      </c>
      <c r="D42" s="1002" t="s">
        <v>818</v>
      </c>
      <c r="E42" s="1002" t="s">
        <v>819</v>
      </c>
      <c r="F42" s="1002">
        <v>2</v>
      </c>
      <c r="G42" s="1002">
        <v>1</v>
      </c>
      <c r="H42" s="1002">
        <f t="shared" si="0"/>
        <v>2</v>
      </c>
      <c r="I42" s="1002" t="s">
        <v>817</v>
      </c>
      <c r="J42" s="1002">
        <v>1</v>
      </c>
      <c r="K42" s="1002">
        <v>1</v>
      </c>
      <c r="L42" s="1002">
        <f t="shared" si="1"/>
        <v>1</v>
      </c>
      <c r="M42" s="1004">
        <f>Table242[[#This Row],[LIKELIHOOD AFTER]]</f>
        <v>1</v>
      </c>
      <c r="N42" s="1004">
        <f>Table242[[#This Row],[SEVERITY AFTER]]</f>
        <v>1</v>
      </c>
      <c r="O42" s="1005">
        <f>Table242[[#This Row],[LIKELIHOOD REDUCTION]]+Table242[[#This Row],[SEVERITY REDUCTION]]</f>
        <v>2</v>
      </c>
    </row>
    <row r="43" spans="1:15" s="1002" customFormat="1" ht="33">
      <c r="A43" s="1002" t="s">
        <v>10</v>
      </c>
      <c r="B43" s="1002" t="s">
        <v>314</v>
      </c>
      <c r="C43" s="1006" t="s">
        <v>269</v>
      </c>
      <c r="D43" s="1002" t="s">
        <v>334</v>
      </c>
      <c r="E43" s="1002" t="s">
        <v>334</v>
      </c>
      <c r="F43" s="1002">
        <v>2</v>
      </c>
      <c r="G43" s="1002">
        <v>1</v>
      </c>
      <c r="H43" s="1002">
        <f t="shared" si="0"/>
        <v>2</v>
      </c>
      <c r="I43" s="1002" t="s">
        <v>334</v>
      </c>
      <c r="J43" s="1002">
        <v>1</v>
      </c>
      <c r="K43" s="1002">
        <v>1</v>
      </c>
      <c r="L43" s="1002">
        <f t="shared" si="1"/>
        <v>1</v>
      </c>
      <c r="M43" s="1004">
        <f>Table242[[#This Row],[LIKELIHOOD AFTER]]</f>
        <v>1</v>
      </c>
      <c r="N43" s="1004">
        <f>Table242[[#This Row],[SEVERITY AFTER]]</f>
        <v>1</v>
      </c>
      <c r="O43" s="1005">
        <f>Table242[[#This Row],[LIKELIHOOD REDUCTION]]+Table242[[#This Row],[SEVERITY REDUCTION]]</f>
        <v>2</v>
      </c>
    </row>
    <row r="44" spans="1:15" s="1002" customFormat="1" ht="66">
      <c r="A44" s="1002" t="s">
        <v>12</v>
      </c>
      <c r="B44" s="1002" t="s">
        <v>315</v>
      </c>
      <c r="C44" s="1002" t="s">
        <v>278</v>
      </c>
      <c r="D44" s="1003" t="s">
        <v>823</v>
      </c>
      <c r="E44" s="1002" t="s">
        <v>294</v>
      </c>
      <c r="F44" s="1002">
        <v>1</v>
      </c>
      <c r="G44" s="1002">
        <v>1</v>
      </c>
      <c r="H44" s="1002">
        <f t="shared" si="0"/>
        <v>1</v>
      </c>
      <c r="I44" s="1002" t="s">
        <v>792</v>
      </c>
      <c r="J44" s="1002">
        <v>1</v>
      </c>
      <c r="K44" s="1002">
        <v>1</v>
      </c>
      <c r="L44" s="1002">
        <f t="shared" si="1"/>
        <v>1</v>
      </c>
      <c r="M44" s="1004">
        <f>Table242[[#This Row],[LIKELIHOOD AFTER]]</f>
        <v>1</v>
      </c>
      <c r="N44" s="1004">
        <f>Table242[[#This Row],[SEVERITY AFTER]]</f>
        <v>1</v>
      </c>
      <c r="O44" s="1005">
        <f>Table242[[#This Row],[LIKELIHOOD REDUCTION]]+Table242[[#This Row],[SEVERITY REDUCTION]]</f>
        <v>2</v>
      </c>
    </row>
    <row r="45" spans="1:15" s="1002" customFormat="1" ht="66">
      <c r="A45" s="1002" t="s">
        <v>12</v>
      </c>
      <c r="B45" s="1002" t="s">
        <v>316</v>
      </c>
      <c r="C45" s="1002" t="s">
        <v>279</v>
      </c>
      <c r="D45" s="1003" t="s">
        <v>824</v>
      </c>
      <c r="E45" s="1002" t="s">
        <v>295</v>
      </c>
      <c r="F45" s="1002">
        <v>1</v>
      </c>
      <c r="G45" s="1002">
        <v>1</v>
      </c>
      <c r="H45" s="1002">
        <f t="shared" si="0"/>
        <v>1</v>
      </c>
      <c r="I45" s="1002" t="s">
        <v>792</v>
      </c>
      <c r="J45" s="1002">
        <v>1</v>
      </c>
      <c r="K45" s="1002">
        <v>1</v>
      </c>
      <c r="L45" s="1002">
        <f t="shared" si="1"/>
        <v>1</v>
      </c>
      <c r="M45" s="1004">
        <f>Table242[[#This Row],[LIKELIHOOD AFTER]]</f>
        <v>1</v>
      </c>
      <c r="N45" s="1004">
        <f>Table242[[#This Row],[SEVERITY AFTER]]</f>
        <v>1</v>
      </c>
      <c r="O45" s="1005">
        <f>Table242[[#This Row],[LIKELIHOOD REDUCTION]]+Table242[[#This Row],[SEVERITY REDUCTION]]</f>
        <v>2</v>
      </c>
    </row>
    <row r="46" spans="1:15" s="1002" customFormat="1" ht="66">
      <c r="A46" s="1002" t="s">
        <v>13</v>
      </c>
      <c r="B46" s="1002" t="s">
        <v>317</v>
      </c>
      <c r="C46" s="1002" t="s">
        <v>21</v>
      </c>
      <c r="D46" s="1003" t="s">
        <v>782</v>
      </c>
      <c r="E46" s="1002" t="s">
        <v>264</v>
      </c>
      <c r="F46" s="1002">
        <v>1</v>
      </c>
      <c r="G46" s="1002">
        <v>1</v>
      </c>
      <c r="H46" s="1002">
        <f t="shared" si="0"/>
        <v>1</v>
      </c>
      <c r="I46" s="1002" t="s">
        <v>790</v>
      </c>
      <c r="J46" s="1002">
        <v>1</v>
      </c>
      <c r="K46" s="1002">
        <v>1</v>
      </c>
      <c r="L46" s="1002">
        <f t="shared" si="1"/>
        <v>1</v>
      </c>
      <c r="M46" s="1004">
        <f>Table242[[#This Row],[LIKELIHOOD AFTER]]</f>
        <v>1</v>
      </c>
      <c r="N46" s="1004">
        <f>Table242[[#This Row],[SEVERITY AFTER]]</f>
        <v>1</v>
      </c>
      <c r="O46" s="1005">
        <f>Table242[[#This Row],[LIKELIHOOD REDUCTION]]+Table242[[#This Row],[SEVERITY REDUCTION]]</f>
        <v>2</v>
      </c>
    </row>
    <row r="47" spans="1:15" s="1002" customFormat="1" ht="49.5">
      <c r="A47" s="1002" t="s">
        <v>13</v>
      </c>
      <c r="B47" s="1002" t="s">
        <v>318</v>
      </c>
      <c r="C47" s="1002" t="s">
        <v>280</v>
      </c>
      <c r="D47" s="1002" t="s">
        <v>825</v>
      </c>
      <c r="E47" s="1002" t="s">
        <v>264</v>
      </c>
      <c r="F47" s="1002">
        <v>1</v>
      </c>
      <c r="G47" s="1002">
        <v>1</v>
      </c>
      <c r="H47" s="1002">
        <f t="shared" si="0"/>
        <v>1</v>
      </c>
      <c r="I47" s="1002" t="s">
        <v>791</v>
      </c>
      <c r="J47" s="1002">
        <v>1</v>
      </c>
      <c r="K47" s="1002">
        <v>1</v>
      </c>
      <c r="L47" s="1002">
        <f t="shared" si="1"/>
        <v>1</v>
      </c>
      <c r="M47" s="1004">
        <f>Table242[[#This Row],[LIKELIHOOD AFTER]]</f>
        <v>1</v>
      </c>
      <c r="N47" s="1004">
        <f>Table242[[#This Row],[SEVERITY AFTER]]</f>
        <v>1</v>
      </c>
      <c r="O47" s="1005">
        <f>Table242[[#This Row],[LIKELIHOOD REDUCTION]]+Table242[[#This Row],[SEVERITY REDUCTION]]</f>
        <v>2</v>
      </c>
    </row>
    <row r="48" spans="1:15" s="1002" customFormat="1" ht="49.5">
      <c r="A48" s="1002" t="s">
        <v>13</v>
      </c>
      <c r="B48" s="1002" t="s">
        <v>347</v>
      </c>
      <c r="C48" s="1002" t="s">
        <v>281</v>
      </c>
      <c r="D48" s="1003" t="s">
        <v>783</v>
      </c>
      <c r="E48" s="1002" t="s">
        <v>296</v>
      </c>
      <c r="F48" s="1002">
        <v>1</v>
      </c>
      <c r="G48" s="1002">
        <v>1</v>
      </c>
      <c r="H48" s="1002">
        <f t="shared" si="0"/>
        <v>1</v>
      </c>
      <c r="I48" s="1002" t="s">
        <v>787</v>
      </c>
      <c r="J48" s="1002">
        <v>1</v>
      </c>
      <c r="K48" s="1002">
        <v>1</v>
      </c>
      <c r="L48" s="1002">
        <f t="shared" si="1"/>
        <v>1</v>
      </c>
      <c r="M48" s="1004">
        <f>Table242[[#This Row],[LIKELIHOOD AFTER]]</f>
        <v>1</v>
      </c>
      <c r="N48" s="1004">
        <f>Table242[[#This Row],[SEVERITY AFTER]]</f>
        <v>1</v>
      </c>
      <c r="O48" s="1005">
        <f>Table242[[#This Row],[LIKELIHOOD REDUCTION]]+Table242[[#This Row],[SEVERITY REDUCTION]]</f>
        <v>2</v>
      </c>
    </row>
    <row r="49" spans="1:15" s="1002" customFormat="1" ht="66">
      <c r="A49" s="1002" t="s">
        <v>13</v>
      </c>
      <c r="B49" s="1002" t="s">
        <v>348</v>
      </c>
      <c r="C49" s="1002" t="s">
        <v>282</v>
      </c>
      <c r="D49" s="1003" t="s">
        <v>822</v>
      </c>
      <c r="E49" s="1002" t="s">
        <v>297</v>
      </c>
      <c r="F49" s="1002">
        <v>1</v>
      </c>
      <c r="G49" s="1002">
        <v>2</v>
      </c>
      <c r="H49" s="1002">
        <f t="shared" si="0"/>
        <v>2</v>
      </c>
      <c r="I49" s="1002" t="s">
        <v>787</v>
      </c>
      <c r="J49" s="1002">
        <v>1</v>
      </c>
      <c r="K49" s="1002">
        <v>1</v>
      </c>
      <c r="L49" s="1002">
        <f t="shared" si="1"/>
        <v>1</v>
      </c>
      <c r="M49" s="1004">
        <f>Table242[[#This Row],[LIKELIHOOD AFTER]]</f>
        <v>1</v>
      </c>
      <c r="N49" s="1004">
        <f>Table242[[#This Row],[SEVERITY AFTER]]</f>
        <v>1</v>
      </c>
      <c r="O49" s="1005">
        <f>Table242[[#This Row],[LIKELIHOOD REDUCTION]]+Table242[[#This Row],[SEVERITY REDUCTION]]</f>
        <v>2</v>
      </c>
    </row>
    <row r="50" spans="1:15" s="1002" customFormat="1" ht="49.5">
      <c r="A50" s="1002" t="s">
        <v>14</v>
      </c>
      <c r="B50" s="1002" t="s">
        <v>346</v>
      </c>
      <c r="C50" s="1002" t="s">
        <v>15</v>
      </c>
      <c r="D50" s="1002" t="str">
        <f>"Current Risk = "&amp;'[2]Front Page'!E53&amp;", Future = "&amp;'[2]Front Page'!F53&amp;"
(British Geological Survey, 2021) Data from British Geological Society Research
https://www.bgs.ac.uk/datasets/geoclimateukcp18-open/"</f>
        <v>Current Risk = Improbable, Future = Very low
(British Geological Survey, 2021) Data from British Geological Society Research
https://www.bgs.ac.uk/datasets/geoclimateukcp18-open/</v>
      </c>
      <c r="E50" s="1002" t="s">
        <v>264</v>
      </c>
      <c r="F50" s="1002">
        <v>0</v>
      </c>
      <c r="G50" s="1002">
        <v>2</v>
      </c>
      <c r="H50" s="1002">
        <f t="shared" si="0"/>
        <v>0</v>
      </c>
      <c r="I50" s="1002" t="s">
        <v>264</v>
      </c>
      <c r="J50" s="1002">
        <v>0</v>
      </c>
      <c r="K50" s="1002">
        <v>2</v>
      </c>
      <c r="L50" s="1002">
        <f t="shared" si="1"/>
        <v>0</v>
      </c>
      <c r="M50" s="1004">
        <f>Table242[[#This Row],[LIKELIHOOD AFTER]]</f>
        <v>0</v>
      </c>
      <c r="N50" s="1004">
        <f>Table242[[#This Row],[SEVERITY AFTER]]</f>
        <v>2</v>
      </c>
      <c r="O50" s="1005">
        <f>Table242[[#This Row],[LIKELIHOOD REDUCTION]]+Table242[[#This Row],[SEVERITY REDUCTION]]</f>
        <v>2</v>
      </c>
    </row>
    <row r="51" spans="1:15" s="1002" customFormat="1" ht="18">
      <c r="A51" s="1002" t="s">
        <v>14</v>
      </c>
      <c r="B51" s="1002" t="s">
        <v>344</v>
      </c>
      <c r="C51" s="1002" t="s">
        <v>16</v>
      </c>
      <c r="D51" s="1002" t="s">
        <v>784</v>
      </c>
      <c r="E51" s="1002" t="s">
        <v>264</v>
      </c>
      <c r="F51" s="1002">
        <v>0</v>
      </c>
      <c r="G51" s="1002">
        <v>2</v>
      </c>
      <c r="H51" s="1002">
        <f t="shared" si="0"/>
        <v>0</v>
      </c>
      <c r="I51" s="1002" t="s">
        <v>264</v>
      </c>
      <c r="J51" s="1002">
        <v>0</v>
      </c>
      <c r="K51" s="1002">
        <v>2</v>
      </c>
      <c r="L51" s="1002">
        <f t="shared" si="1"/>
        <v>0</v>
      </c>
      <c r="M51" s="1004">
        <f>Table242[[#This Row],[LIKELIHOOD AFTER]]</f>
        <v>0</v>
      </c>
      <c r="N51" s="1004">
        <f>Table242[[#This Row],[SEVERITY AFTER]]</f>
        <v>2</v>
      </c>
      <c r="O51" s="1005">
        <f>Table242[[#This Row],[LIKELIHOOD REDUCTION]]+Table242[[#This Row],[SEVERITY REDUCTION]]</f>
        <v>2</v>
      </c>
    </row>
    <row r="52" spans="1:15" s="1002" customFormat="1" ht="18">
      <c r="A52" s="1002" t="s">
        <v>14</v>
      </c>
      <c r="B52" s="1002" t="s">
        <v>345</v>
      </c>
      <c r="C52" s="1002" t="s">
        <v>17</v>
      </c>
      <c r="D52" s="1002" t="s">
        <v>785</v>
      </c>
      <c r="E52" s="1002" t="s">
        <v>264</v>
      </c>
      <c r="F52" s="1002">
        <v>0</v>
      </c>
      <c r="G52" s="1002">
        <v>2</v>
      </c>
      <c r="H52" s="1002">
        <f t="shared" si="0"/>
        <v>0</v>
      </c>
      <c r="I52" s="1002" t="s">
        <v>264</v>
      </c>
      <c r="J52" s="1002">
        <v>0</v>
      </c>
      <c r="K52" s="1002">
        <v>2</v>
      </c>
      <c r="L52" s="1002">
        <f t="shared" si="1"/>
        <v>0</v>
      </c>
      <c r="M52" s="1004">
        <f>Table242[[#This Row],[LIKELIHOOD AFTER]]</f>
        <v>0</v>
      </c>
      <c r="N52" s="1004">
        <f>Table242[[#This Row],[SEVERITY AFTER]]</f>
        <v>2</v>
      </c>
      <c r="O52" s="1005">
        <f>Table242[[#This Row],[LIKELIHOOD REDUCTION]]+Table242[[#This Row],[SEVERITY REDUCTION]]</f>
        <v>2</v>
      </c>
    </row>
    <row r="53" spans="1:15" s="1002" customFormat="1" ht="49.5">
      <c r="A53" s="1002" t="s">
        <v>14</v>
      </c>
      <c r="B53" s="1002" t="s">
        <v>319</v>
      </c>
      <c r="C53" s="1002" t="s">
        <v>18</v>
      </c>
      <c r="D53" s="1002" t="s">
        <v>298</v>
      </c>
      <c r="E53" s="1002" t="s">
        <v>768</v>
      </c>
      <c r="F53" s="1002">
        <v>1</v>
      </c>
      <c r="G53" s="1002">
        <v>2</v>
      </c>
      <c r="H53" s="1002">
        <f t="shared" si="0"/>
        <v>2</v>
      </c>
      <c r="I53" s="1002" t="s">
        <v>788</v>
      </c>
      <c r="J53" s="1002">
        <v>1</v>
      </c>
      <c r="K53" s="1002">
        <v>1</v>
      </c>
      <c r="L53" s="1002">
        <f t="shared" si="1"/>
        <v>1</v>
      </c>
      <c r="M53" s="1004">
        <f>Table242[[#This Row],[LIKELIHOOD AFTER]]</f>
        <v>1</v>
      </c>
      <c r="N53" s="1004">
        <f>Table242[[#This Row],[SEVERITY AFTER]]</f>
        <v>1</v>
      </c>
      <c r="O53" s="1005">
        <f>Table242[[#This Row],[LIKELIHOOD REDUCTION]]+Table242[[#This Row],[SEVERITY REDUCTION]]</f>
        <v>2</v>
      </c>
    </row>
    <row r="54" spans="1:15" s="1002" customFormat="1" ht="82.5">
      <c r="A54" s="1002" t="s">
        <v>14</v>
      </c>
      <c r="B54" s="1002" t="s">
        <v>320</v>
      </c>
      <c r="C54" s="1002" t="s">
        <v>19</v>
      </c>
      <c r="D54" s="1002" t="s">
        <v>299</v>
      </c>
      <c r="E54" s="1002" t="s">
        <v>820</v>
      </c>
      <c r="F54" s="1002">
        <v>1</v>
      </c>
      <c r="G54" s="1002">
        <v>2</v>
      </c>
      <c r="H54" s="1002">
        <f t="shared" si="0"/>
        <v>2</v>
      </c>
      <c r="I54" s="1002" t="s">
        <v>264</v>
      </c>
      <c r="J54" s="1002">
        <v>1</v>
      </c>
      <c r="K54" s="1002">
        <v>2</v>
      </c>
      <c r="L54" s="1002">
        <f t="shared" si="1"/>
        <v>2</v>
      </c>
      <c r="M54" s="1004">
        <f>Table242[[#This Row],[LIKELIHOOD AFTER]]</f>
        <v>1</v>
      </c>
      <c r="N54" s="1004">
        <f>Table242[[#This Row],[SEVERITY AFTER]]</f>
        <v>2</v>
      </c>
      <c r="O54" s="1005">
        <f>Table242[[#This Row],[LIKELIHOOD REDUCTION]]+Table242[[#This Row],[SEVERITY REDUCTION]]</f>
        <v>3</v>
      </c>
    </row>
    <row r="55" spans="1:15" s="1002" customFormat="1" ht="49.5">
      <c r="A55" s="1002" t="s">
        <v>14</v>
      </c>
      <c r="B55" s="1002" t="s">
        <v>349</v>
      </c>
      <c r="C55" s="1002" t="s">
        <v>20</v>
      </c>
      <c r="D55" s="1002" t="s">
        <v>771</v>
      </c>
      <c r="E55" s="1002" t="s">
        <v>769</v>
      </c>
      <c r="F55" s="1002">
        <v>1</v>
      </c>
      <c r="G55" s="1002">
        <v>2</v>
      </c>
      <c r="H55" s="1002">
        <f t="shared" si="0"/>
        <v>2</v>
      </c>
      <c r="I55" s="1002" t="s">
        <v>789</v>
      </c>
      <c r="J55" s="1002">
        <v>1</v>
      </c>
      <c r="K55" s="1002">
        <v>1</v>
      </c>
      <c r="L55" s="1002">
        <f t="shared" si="1"/>
        <v>1</v>
      </c>
      <c r="M55" s="1004">
        <f>Table242[[#This Row],[LIKELIHOOD AFTER]]</f>
        <v>1</v>
      </c>
      <c r="N55" s="1004">
        <f>Table242[[#This Row],[SEVERITY AFTER]]</f>
        <v>1</v>
      </c>
      <c r="O55" s="1005">
        <f>Table242[[#This Row],[LIKELIHOOD REDUCTION]]+Table242[[#This Row],[SEVERITY REDUCTION]]</f>
        <v>2</v>
      </c>
    </row>
    <row r="56" spans="1:15" s="1002" customFormat="1" ht="82.5">
      <c r="A56" s="1002" t="s">
        <v>14</v>
      </c>
      <c r="B56" s="1002" t="s">
        <v>321</v>
      </c>
      <c r="C56" s="1002" t="s">
        <v>300</v>
      </c>
      <c r="D56" s="1002" t="s">
        <v>772</v>
      </c>
      <c r="E56" s="1002" t="s">
        <v>770</v>
      </c>
      <c r="F56" s="1002">
        <v>1</v>
      </c>
      <c r="G56" s="1002">
        <v>3</v>
      </c>
      <c r="H56" s="1002">
        <f t="shared" si="0"/>
        <v>3</v>
      </c>
      <c r="I56" s="1002" t="s">
        <v>264</v>
      </c>
      <c r="J56" s="1002">
        <v>1</v>
      </c>
      <c r="K56" s="1002">
        <v>2</v>
      </c>
      <c r="L56" s="1002">
        <f t="shared" si="1"/>
        <v>2</v>
      </c>
      <c r="M56" s="1004">
        <f>Table242[[#This Row],[LIKELIHOOD AFTER]]</f>
        <v>1</v>
      </c>
      <c r="N56" s="1004">
        <f>Table242[[#This Row],[SEVERITY AFTER]]</f>
        <v>2</v>
      </c>
      <c r="O56" s="1005">
        <f>Table242[[#This Row],[LIKELIHOOD REDUCTION]]+Table242[[#This Row],[SEVERITY REDUCTION]]</f>
        <v>3</v>
      </c>
    </row>
  </sheetData>
  <mergeCells count="2">
    <mergeCell ref="F20:H20"/>
    <mergeCell ref="J20:L20"/>
  </mergeCells>
  <conditionalFormatting sqref="F20 J20 F1:G1 J1:K1 J11:K19 K2:K10 F11:G19">
    <cfRule type="colorScale" priority="8">
      <colorScale>
        <cfvo type="num" val="0"/>
        <cfvo type="num" val="1.5"/>
        <cfvo type="num" val="3"/>
        <color theme="0"/>
        <color rgb="FFFFEB84"/>
        <color rgb="FFF8696B"/>
      </colorScale>
    </cfRule>
  </conditionalFormatting>
  <conditionalFormatting sqref="H22:H56 L22:L56">
    <cfRule type="colorScale" priority="2">
      <colorScale>
        <cfvo type="num" val="0"/>
        <cfvo type="num" val="9"/>
        <color rgb="FFFCFCFF"/>
        <color rgb="FFF8696B"/>
      </colorScale>
    </cfRule>
  </conditionalFormatting>
  <conditionalFormatting sqref="H57:H1048576 L57:L1048576">
    <cfRule type="colorScale" priority="13">
      <colorScale>
        <cfvo type="num" val="0"/>
        <cfvo type="num" val="9"/>
        <color rgb="FFFCFCFF"/>
        <color rgb="FFF8696B"/>
      </colorScale>
    </cfRule>
  </conditionalFormatting>
  <conditionalFormatting sqref="J22:K56 F22:G56">
    <cfRule type="colorScale" priority="1">
      <colorScale>
        <cfvo type="num" val="0"/>
        <cfvo type="num" val="1.5"/>
        <cfvo type="num" val="3"/>
        <color theme="0"/>
        <color rgb="FFFFEB84"/>
        <color rgb="FFF8696B"/>
      </colorScale>
    </cfRule>
  </conditionalFormatting>
  <conditionalFormatting sqref="J57:K1048576 F57:G1048576">
    <cfRule type="colorScale" priority="12">
      <colorScale>
        <cfvo type="num" val="0"/>
        <cfvo type="num" val="1.5"/>
        <cfvo type="num" val="3"/>
        <color theme="0"/>
        <color rgb="FFFFEB84"/>
        <color rgb="FFF8696B"/>
      </colorScale>
    </cfRule>
  </conditionalFormatting>
  <conditionalFormatting sqref="L1:L19 H1 H11:H19">
    <cfRule type="colorScale" priority="9">
      <colorScale>
        <cfvo type="num" val="0"/>
        <cfvo type="num" val="9"/>
        <color rgb="FFFCFCFF"/>
        <color rgb="FFF8696B"/>
      </colorScale>
    </cfRule>
  </conditionalFormatting>
  <conditionalFormatting sqref="L21">
    <cfRule type="colorScale" priority="5">
      <colorScale>
        <cfvo type="num" val="0"/>
        <cfvo type="num" val="9"/>
        <color rgb="FFFCFCFF"/>
        <color rgb="FFF8696B"/>
      </colorScale>
    </cfRule>
  </conditionalFormatting>
  <conditionalFormatting sqref="M1:N20">
    <cfRule type="colorScale" priority="10">
      <colorScale>
        <cfvo type="num" val="0"/>
        <cfvo type="num" val="9"/>
        <color rgb="FFFCFCFF"/>
        <color rgb="FF63BE7B"/>
      </colorScale>
    </cfRule>
  </conditionalFormatting>
  <conditionalFormatting sqref="M21:N21">
    <cfRule type="colorScale" priority="6">
      <colorScale>
        <cfvo type="num" val="0"/>
        <cfvo type="num" val="9"/>
        <color rgb="FFFCFCFF"/>
        <color rgb="FF63BE7B"/>
      </colorScale>
    </cfRule>
  </conditionalFormatting>
  <conditionalFormatting sqref="M22:N56">
    <cfRule type="colorScale" priority="3">
      <colorScale>
        <cfvo type="num" val="0"/>
        <cfvo type="num" val="9"/>
        <color rgb="FFFCFCFF"/>
        <color rgb="FF63BE7B"/>
      </colorScale>
    </cfRule>
  </conditionalFormatting>
  <conditionalFormatting sqref="M57:N1048576">
    <cfRule type="colorScale" priority="14">
      <colorScale>
        <cfvo type="num" val="0"/>
        <cfvo type="num" val="9"/>
        <color rgb="FFFCFCFF"/>
        <color rgb="FF63BE7B"/>
      </colorScale>
    </cfRule>
  </conditionalFormatting>
  <conditionalFormatting sqref="O1:O20">
    <cfRule type="colorScale" priority="11">
      <colorScale>
        <cfvo type="num" val="0"/>
        <cfvo type="num" val="15"/>
        <color rgb="FFFCFCFF"/>
        <color rgb="FF63BE7B"/>
      </colorScale>
    </cfRule>
  </conditionalFormatting>
  <conditionalFormatting sqref="O21">
    <cfRule type="colorScale" priority="7">
      <colorScale>
        <cfvo type="num" val="0"/>
        <cfvo type="num" val="15"/>
        <color rgb="FFFCFCFF"/>
        <color rgb="FF63BE7B"/>
      </colorScale>
    </cfRule>
  </conditionalFormatting>
  <conditionalFormatting sqref="O22:O56">
    <cfRule type="colorScale" priority="4">
      <colorScale>
        <cfvo type="num" val="0"/>
        <cfvo type="num" val="15"/>
        <color rgb="FFFCFCFF"/>
        <color rgb="FF63BE7B"/>
      </colorScale>
    </cfRule>
  </conditionalFormatting>
  <conditionalFormatting sqref="O57:O1048576">
    <cfRule type="colorScale" priority="15">
      <colorScale>
        <cfvo type="num" val="0"/>
        <cfvo type="num" val="15"/>
        <color rgb="FFFCFCFF"/>
        <color rgb="FF63BE7B"/>
      </colorScale>
    </cfRule>
  </conditionalFormatting>
  <pageMargins left="0.23622047244094488" right="0.23622047244094488" top="0.74803149606299213" bottom="0.74803149606299213" header="0.31496062992125984" footer="0.31496062992125984"/>
  <pageSetup paperSize="9" scale="4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0B488-D874-495F-8611-C97DB764BB7F}">
  <dimension ref="A2:X407"/>
  <sheetViews>
    <sheetView topLeftCell="A66" zoomScale="88" workbookViewId="0">
      <selection activeCell="B291" sqref="B291"/>
    </sheetView>
  </sheetViews>
  <sheetFormatPr defaultRowHeight="15"/>
  <cols>
    <col min="2" max="2" width="8.7109375" style="960"/>
    <col min="3" max="3" width="39.140625" customWidth="1"/>
  </cols>
  <sheetData>
    <row r="2" spans="1:4" ht="36">
      <c r="A2" s="960"/>
      <c r="B2" s="971" t="s">
        <v>350</v>
      </c>
    </row>
    <row r="3" spans="1:4">
      <c r="B3" s="961" t="s">
        <v>351</v>
      </c>
    </row>
    <row r="4" spans="1:4">
      <c r="B4" s="961"/>
    </row>
    <row r="5" spans="1:4" ht="23.25">
      <c r="B5" s="962" t="s">
        <v>352</v>
      </c>
    </row>
    <row r="6" spans="1:4">
      <c r="B6" s="963">
        <v>1</v>
      </c>
      <c r="C6" s="789" t="s">
        <v>353</v>
      </c>
      <c r="D6" s="789">
        <v>4</v>
      </c>
    </row>
    <row r="7" spans="1:4">
      <c r="B7" s="963">
        <v>2</v>
      </c>
      <c r="C7" s="789" t="s">
        <v>354</v>
      </c>
      <c r="D7" s="789">
        <v>7</v>
      </c>
    </row>
    <row r="8" spans="1:4">
      <c r="B8" s="963">
        <v>3</v>
      </c>
      <c r="C8" s="789" t="s">
        <v>355</v>
      </c>
      <c r="D8" s="789">
        <v>9</v>
      </c>
    </row>
    <row r="9" spans="1:4">
      <c r="B9" s="963">
        <v>4</v>
      </c>
      <c r="C9" s="789" t="s">
        <v>356</v>
      </c>
      <c r="D9" s="789">
        <v>11</v>
      </c>
    </row>
    <row r="10" spans="1:4">
      <c r="B10" s="963">
        <v>5</v>
      </c>
      <c r="C10" s="789" t="s">
        <v>46</v>
      </c>
      <c r="D10" s="789">
        <v>12</v>
      </c>
    </row>
    <row r="11" spans="1:4">
      <c r="B11" s="963">
        <v>6</v>
      </c>
      <c r="C11" s="789" t="s">
        <v>357</v>
      </c>
      <c r="D11" s="789">
        <v>14</v>
      </c>
    </row>
    <row r="12" spans="1:4">
      <c r="B12" s="963">
        <v>7</v>
      </c>
      <c r="C12" s="789" t="s">
        <v>262</v>
      </c>
      <c r="D12" s="789">
        <v>16</v>
      </c>
    </row>
    <row r="13" spans="1:4">
      <c r="B13" s="963">
        <v>8</v>
      </c>
      <c r="C13" s="789" t="s">
        <v>254</v>
      </c>
      <c r="D13" s="789">
        <v>17</v>
      </c>
    </row>
    <row r="14" spans="1:4">
      <c r="B14" s="963">
        <v>9</v>
      </c>
      <c r="C14" s="789" t="s">
        <v>358</v>
      </c>
      <c r="D14" s="789">
        <v>19</v>
      </c>
    </row>
    <row r="15" spans="1:4">
      <c r="B15" s="963" t="s">
        <v>359</v>
      </c>
      <c r="C15" s="789">
        <v>22</v>
      </c>
    </row>
    <row r="16" spans="1:4">
      <c r="B16" s="961"/>
    </row>
    <row r="17" spans="2:2">
      <c r="B17" s="961"/>
    </row>
    <row r="19" spans="2:2">
      <c r="B19" s="961"/>
    </row>
    <row r="20" spans="2:2" ht="23.25">
      <c r="B20" s="962" t="s">
        <v>360</v>
      </c>
    </row>
    <row r="21" spans="2:2" ht="23.25">
      <c r="B21" s="962"/>
    </row>
    <row r="22" spans="2:2">
      <c r="B22" s="961" t="s">
        <v>361</v>
      </c>
    </row>
    <row r="23" spans="2:2" ht="15.75">
      <c r="B23" s="798" t="s">
        <v>362</v>
      </c>
    </row>
    <row r="24" spans="2:2" ht="15.75">
      <c r="B24" s="798" t="s">
        <v>363</v>
      </c>
    </row>
    <row r="25" spans="2:2" ht="15.75">
      <c r="B25" s="798" t="s">
        <v>364</v>
      </c>
    </row>
    <row r="26" spans="2:2" ht="15.75">
      <c r="B26" s="798" t="s">
        <v>365</v>
      </c>
    </row>
    <row r="27" spans="2:2" ht="15.75">
      <c r="B27" s="798" t="s">
        <v>366</v>
      </c>
    </row>
    <row r="28" spans="2:2" ht="15.75">
      <c r="B28" s="798" t="s">
        <v>367</v>
      </c>
    </row>
    <row r="29" spans="2:2" ht="15.75">
      <c r="B29" s="798" t="s">
        <v>368</v>
      </c>
    </row>
    <row r="30" spans="2:2" ht="15.75">
      <c r="B30" s="798" t="s">
        <v>369</v>
      </c>
    </row>
    <row r="31" spans="2:2" ht="15.75">
      <c r="B31" s="798" t="s">
        <v>370</v>
      </c>
    </row>
    <row r="32" spans="2:2" ht="15.75">
      <c r="B32" s="799" t="s">
        <v>371</v>
      </c>
    </row>
    <row r="33" spans="2:2" ht="15.75">
      <c r="B33" s="799" t="s">
        <v>372</v>
      </c>
    </row>
    <row r="34" spans="2:2" ht="15.75">
      <c r="B34" s="799" t="s">
        <v>373</v>
      </c>
    </row>
    <row r="35" spans="2:2">
      <c r="B35" s="961" t="s">
        <v>374</v>
      </c>
    </row>
    <row r="36" spans="2:2" ht="15.75">
      <c r="B36" s="798" t="s">
        <v>375</v>
      </c>
    </row>
    <row r="37" spans="2:2" ht="15.75">
      <c r="B37" s="798" t="s">
        <v>376</v>
      </c>
    </row>
    <row r="38" spans="2:2" ht="15.75">
      <c r="B38" s="798" t="s">
        <v>377</v>
      </c>
    </row>
    <row r="39" spans="2:2" ht="15.75">
      <c r="B39" s="798" t="s">
        <v>378</v>
      </c>
    </row>
    <row r="40" spans="2:2" ht="15.75">
      <c r="B40" s="798" t="s">
        <v>379</v>
      </c>
    </row>
    <row r="41" spans="2:2">
      <c r="B41" s="800"/>
    </row>
    <row r="42" spans="2:2">
      <c r="B42" s="800"/>
    </row>
    <row r="43" spans="2:2">
      <c r="B43" s="801" t="s">
        <v>380</v>
      </c>
    </row>
    <row r="44" spans="2:2">
      <c r="B44" s="801" t="s">
        <v>381</v>
      </c>
    </row>
    <row r="45" spans="2:2">
      <c r="B45" s="800"/>
    </row>
    <row r="46" spans="2:2">
      <c r="B46"/>
    </row>
    <row r="47" spans="2:2">
      <c r="B47"/>
    </row>
    <row r="48" spans="2:2" ht="23.25">
      <c r="B48" s="962" t="s">
        <v>382</v>
      </c>
    </row>
    <row r="49" spans="2:2">
      <c r="B49" s="961"/>
    </row>
    <row r="50" spans="2:2">
      <c r="B50" s="961" t="s">
        <v>383</v>
      </c>
    </row>
    <row r="51" spans="2:2">
      <c r="B51" s="961"/>
    </row>
    <row r="52" spans="2:2" ht="15.75">
      <c r="B52" s="964" t="s">
        <v>384</v>
      </c>
    </row>
    <row r="53" spans="2:2">
      <c r="B53" s="961" t="s">
        <v>385</v>
      </c>
    </row>
    <row r="54" spans="2:2">
      <c r="B54" s="961" t="s">
        <v>386</v>
      </c>
    </row>
    <row r="55" spans="2:2">
      <c r="B55" s="961" t="s">
        <v>387</v>
      </c>
    </row>
    <row r="56" spans="2:2">
      <c r="B56" s="961" t="s">
        <v>388</v>
      </c>
    </row>
    <row r="57" spans="2:2" ht="15.75">
      <c r="B57" s="798" t="s">
        <v>389</v>
      </c>
    </row>
    <row r="58" spans="2:2" ht="15.75">
      <c r="B58" s="798" t="s">
        <v>390</v>
      </c>
    </row>
    <row r="59" spans="2:2" ht="15.75">
      <c r="B59" s="798" t="s">
        <v>391</v>
      </c>
    </row>
    <row r="60" spans="2:2">
      <c r="B60" s="961" t="s">
        <v>392</v>
      </c>
    </row>
    <row r="61" spans="2:2" ht="15.75">
      <c r="B61" s="798" t="s">
        <v>393</v>
      </c>
    </row>
    <row r="62" spans="2:2" ht="15.75">
      <c r="B62" s="798" t="s">
        <v>394</v>
      </c>
    </row>
    <row r="63" spans="2:2" ht="15.75">
      <c r="B63" s="798" t="s">
        <v>395</v>
      </c>
    </row>
    <row r="64" spans="2:2" ht="15.75">
      <c r="B64" s="798" t="s">
        <v>396</v>
      </c>
    </row>
    <row r="65" spans="1:24">
      <c r="B65" s="961" t="s">
        <v>397</v>
      </c>
    </row>
    <row r="66" spans="1:24">
      <c r="B66" s="961" t="s">
        <v>398</v>
      </c>
    </row>
    <row r="67" spans="1:24">
      <c r="B67" s="961" t="s">
        <v>399</v>
      </c>
    </row>
    <row r="68" spans="1:24">
      <c r="B68" s="961" t="s">
        <v>400</v>
      </c>
    </row>
    <row r="69" spans="1:24">
      <c r="B69" s="961" t="s">
        <v>401</v>
      </c>
    </row>
    <row r="70" spans="1:24">
      <c r="B70" s="961" t="s">
        <v>402</v>
      </c>
    </row>
    <row r="71" spans="1:24" ht="15.75">
      <c r="B71" s="802" t="s">
        <v>403</v>
      </c>
    </row>
    <row r="72" spans="1:24" ht="15.75">
      <c r="B72" s="802" t="s">
        <v>404</v>
      </c>
    </row>
    <row r="73" spans="1:24">
      <c r="B73" s="963" t="s">
        <v>405</v>
      </c>
    </row>
    <row r="74" spans="1:24">
      <c r="B74" s="965"/>
    </row>
    <row r="76" spans="1:24" s="959" customFormat="1" ht="23.25">
      <c r="B76" s="958" t="s">
        <v>406</v>
      </c>
    </row>
    <row r="77" spans="1:24">
      <c r="B77" s="963" t="s">
        <v>407</v>
      </c>
    </row>
    <row r="78" spans="1:24" ht="17.25">
      <c r="A78" s="955"/>
      <c r="B78" s="956" t="s">
        <v>408</v>
      </c>
      <c r="C78" s="955"/>
      <c r="D78" s="955"/>
      <c r="E78" s="955"/>
      <c r="F78" s="955"/>
      <c r="G78" s="955"/>
      <c r="H78" s="955"/>
      <c r="I78" s="955"/>
      <c r="J78" s="955"/>
      <c r="K78" s="955"/>
      <c r="L78" s="955"/>
      <c r="M78" s="955"/>
      <c r="N78" s="955"/>
      <c r="O78" s="955"/>
      <c r="P78" s="955"/>
      <c r="Q78" s="955"/>
      <c r="R78" s="955"/>
      <c r="S78" s="955"/>
      <c r="T78" s="955"/>
      <c r="U78" s="955"/>
      <c r="V78" s="955"/>
      <c r="W78" s="955"/>
      <c r="X78" s="955"/>
    </row>
    <row r="79" spans="1:24">
      <c r="B79" s="961" t="s">
        <v>409</v>
      </c>
    </row>
    <row r="80" spans="1:24">
      <c r="B80" s="961" t="s">
        <v>410</v>
      </c>
    </row>
    <row r="81" spans="1:24">
      <c r="B81" s="803" t="s">
        <v>682</v>
      </c>
    </row>
    <row r="82" spans="1:24">
      <c r="B82" s="803" t="s">
        <v>411</v>
      </c>
    </row>
    <row r="83" spans="1:24">
      <c r="B83" s="803" t="s">
        <v>412</v>
      </c>
    </row>
    <row r="84" spans="1:24">
      <c r="B84" s="803" t="s">
        <v>413</v>
      </c>
    </row>
    <row r="85" spans="1:24">
      <c r="B85" s="961" t="s">
        <v>414</v>
      </c>
    </row>
    <row r="86" spans="1:24">
      <c r="B86" s="803" t="s">
        <v>415</v>
      </c>
    </row>
    <row r="87" spans="1:24">
      <c r="B87" s="803" t="s">
        <v>416</v>
      </c>
    </row>
    <row r="88" spans="1:24">
      <c r="B88" s="803" t="s">
        <v>417</v>
      </c>
    </row>
    <row r="89" spans="1:24">
      <c r="B89" s="803" t="s">
        <v>418</v>
      </c>
    </row>
    <row r="90" spans="1:24">
      <c r="B90" s="803" t="s">
        <v>419</v>
      </c>
    </row>
    <row r="91" spans="1:24">
      <c r="B91" s="803" t="s">
        <v>420</v>
      </c>
    </row>
    <row r="92" spans="1:24">
      <c r="B92" s="803" t="s">
        <v>421</v>
      </c>
    </row>
    <row r="93" spans="1:24">
      <c r="B93" s="961" t="s">
        <v>422</v>
      </c>
    </row>
    <row r="94" spans="1:24" ht="17.25">
      <c r="A94" s="955"/>
      <c r="B94" s="957" t="s">
        <v>683</v>
      </c>
      <c r="C94" s="955"/>
      <c r="D94" s="955"/>
      <c r="E94" s="955"/>
      <c r="F94" s="955"/>
      <c r="G94" s="955"/>
      <c r="H94" s="955"/>
      <c r="I94" s="955"/>
      <c r="J94" s="955"/>
      <c r="K94" s="955"/>
      <c r="L94" s="955"/>
      <c r="M94" s="955"/>
      <c r="N94" s="955"/>
      <c r="O94" s="955"/>
      <c r="P94" s="955"/>
      <c r="Q94" s="955"/>
      <c r="R94" s="955"/>
      <c r="S94" s="955"/>
      <c r="T94" s="955"/>
      <c r="U94" s="955"/>
      <c r="V94" s="955"/>
      <c r="W94" s="955"/>
      <c r="X94" s="955"/>
    </row>
    <row r="95" spans="1:24">
      <c r="B95" s="961" t="s">
        <v>423</v>
      </c>
    </row>
    <row r="96" spans="1:24">
      <c r="B96" s="961" t="s">
        <v>424</v>
      </c>
    </row>
    <row r="97" spans="1:24" ht="15.75">
      <c r="B97" s="802" t="s">
        <v>425</v>
      </c>
    </row>
    <row r="98" spans="1:24" ht="15.75">
      <c r="B98" s="802" t="s">
        <v>426</v>
      </c>
    </row>
    <row r="99" spans="1:24">
      <c r="B99" s="961" t="s">
        <v>427</v>
      </c>
    </row>
    <row r="100" spans="1:24">
      <c r="B100" s="961" t="s">
        <v>428</v>
      </c>
    </row>
    <row r="101" spans="1:24" ht="17.25">
      <c r="A101" s="955"/>
      <c r="B101" s="957" t="s">
        <v>429</v>
      </c>
      <c r="C101" s="955"/>
      <c r="D101" s="955"/>
      <c r="E101" s="955"/>
      <c r="F101" s="955"/>
      <c r="G101" s="955"/>
      <c r="H101" s="955"/>
      <c r="I101" s="955"/>
      <c r="J101" s="955"/>
      <c r="K101" s="955"/>
      <c r="L101" s="955"/>
      <c r="M101" s="955"/>
      <c r="N101" s="955"/>
      <c r="O101" s="955"/>
      <c r="P101" s="955"/>
      <c r="Q101" s="955"/>
      <c r="R101" s="955"/>
      <c r="S101" s="955"/>
      <c r="T101" s="955"/>
      <c r="U101" s="955"/>
      <c r="V101" s="955"/>
      <c r="W101" s="955"/>
      <c r="X101" s="955"/>
    </row>
    <row r="102" spans="1:24">
      <c r="B102" s="961" t="s">
        <v>430</v>
      </c>
    </row>
    <row r="103" spans="1:24" ht="15.75">
      <c r="B103" s="802" t="s">
        <v>431</v>
      </c>
    </row>
    <row r="104" spans="1:24" ht="15.75">
      <c r="B104" s="802" t="s">
        <v>432</v>
      </c>
    </row>
    <row r="105" spans="1:24">
      <c r="B105" s="961" t="s">
        <v>433</v>
      </c>
    </row>
    <row r="106" spans="1:24">
      <c r="B106" s="961" t="s">
        <v>414</v>
      </c>
    </row>
    <row r="107" spans="1:24" ht="15.75">
      <c r="B107" s="802" t="s">
        <v>434</v>
      </c>
    </row>
    <row r="108" spans="1:24" ht="15.75">
      <c r="B108" s="802" t="s">
        <v>435</v>
      </c>
    </row>
    <row r="109" spans="1:24" ht="15.75">
      <c r="B109" s="802" t="s">
        <v>684</v>
      </c>
    </row>
    <row r="110" spans="1:24">
      <c r="B110" s="961" t="s">
        <v>436</v>
      </c>
    </row>
    <row r="111" spans="1:24" ht="17.25">
      <c r="A111" s="955"/>
      <c r="B111" s="957" t="s">
        <v>437</v>
      </c>
      <c r="C111" s="955"/>
      <c r="D111" s="955"/>
      <c r="E111" s="955"/>
      <c r="F111" s="955"/>
      <c r="G111" s="955"/>
      <c r="H111" s="955"/>
      <c r="I111" s="955"/>
      <c r="J111" s="955"/>
      <c r="K111" s="955"/>
      <c r="L111" s="955"/>
      <c r="M111" s="955"/>
      <c r="N111" s="955"/>
      <c r="O111" s="955"/>
      <c r="P111" s="955"/>
      <c r="Q111" s="955"/>
      <c r="R111" s="955"/>
      <c r="S111" s="955"/>
      <c r="T111" s="955"/>
      <c r="U111" s="955"/>
      <c r="V111" s="955"/>
      <c r="W111" s="955"/>
      <c r="X111" s="955"/>
    </row>
    <row r="112" spans="1:24">
      <c r="B112" s="961" t="s">
        <v>438</v>
      </c>
    </row>
    <row r="113" spans="1:24">
      <c r="B113" s="961" t="s">
        <v>424</v>
      </c>
    </row>
    <row r="114" spans="1:24" ht="15.75">
      <c r="B114" s="804" t="s">
        <v>439</v>
      </c>
    </row>
    <row r="115" spans="1:24" ht="15.75">
      <c r="B115" s="804" t="s">
        <v>440</v>
      </c>
    </row>
    <row r="116" spans="1:24" ht="15.75">
      <c r="B116" s="805" t="s">
        <v>371</v>
      </c>
    </row>
    <row r="117" spans="1:24" ht="15.75">
      <c r="B117" s="805" t="s">
        <v>372</v>
      </c>
    </row>
    <row r="118" spans="1:24" ht="15.75">
      <c r="B118" s="805" t="s">
        <v>373</v>
      </c>
    </row>
    <row r="119" spans="1:24" ht="15.75">
      <c r="B119" s="804" t="s">
        <v>441</v>
      </c>
    </row>
    <row r="120" spans="1:24">
      <c r="B120" s="806"/>
    </row>
    <row r="121" spans="1:24">
      <c r="B121" s="961" t="s">
        <v>442</v>
      </c>
    </row>
    <row r="122" spans="1:24">
      <c r="B122" s="961" t="s">
        <v>443</v>
      </c>
    </row>
    <row r="123" spans="1:24">
      <c r="B123" s="961"/>
    </row>
    <row r="124" spans="1:24" ht="17.25">
      <c r="A124" s="955"/>
      <c r="B124" s="957" t="s">
        <v>685</v>
      </c>
      <c r="C124" s="955"/>
      <c r="D124" s="955"/>
      <c r="E124" s="955"/>
      <c r="F124" s="955"/>
      <c r="G124" s="955"/>
      <c r="H124" s="955"/>
      <c r="I124" s="955"/>
      <c r="J124" s="955"/>
      <c r="K124" s="955"/>
      <c r="L124" s="955"/>
      <c r="M124" s="955"/>
      <c r="N124" s="955"/>
      <c r="O124" s="955"/>
      <c r="P124" s="955"/>
      <c r="Q124" s="955"/>
      <c r="R124" s="955"/>
      <c r="S124" s="955"/>
      <c r="T124" s="955"/>
      <c r="U124" s="955"/>
      <c r="V124" s="955"/>
      <c r="W124" s="955"/>
      <c r="X124" s="955"/>
    </row>
    <row r="125" spans="1:24">
      <c r="B125" s="961" t="s">
        <v>444</v>
      </c>
    </row>
    <row r="126" spans="1:24" ht="15.75">
      <c r="B126" s="802" t="s">
        <v>445</v>
      </c>
    </row>
    <row r="127" spans="1:24" ht="15.75">
      <c r="B127" s="802" t="s">
        <v>446</v>
      </c>
    </row>
    <row r="128" spans="1:24">
      <c r="B128" s="961" t="s">
        <v>447</v>
      </c>
    </row>
    <row r="129" spans="1:24">
      <c r="B129" s="803" t="s">
        <v>448</v>
      </c>
    </row>
    <row r="130" spans="1:24">
      <c r="B130" s="803" t="s">
        <v>449</v>
      </c>
    </row>
    <row r="131" spans="1:24">
      <c r="B131" s="803" t="s">
        <v>450</v>
      </c>
    </row>
    <row r="132" spans="1:24">
      <c r="B132" s="803" t="s">
        <v>451</v>
      </c>
    </row>
    <row r="133" spans="1:24">
      <c r="B133" s="803" t="s">
        <v>452</v>
      </c>
    </row>
    <row r="134" spans="1:24">
      <c r="B134" s="803" t="s">
        <v>453</v>
      </c>
    </row>
    <row r="135" spans="1:24">
      <c r="B135" s="803" t="s">
        <v>454</v>
      </c>
    </row>
    <row r="136" spans="1:24">
      <c r="B136" s="961" t="s">
        <v>455</v>
      </c>
    </row>
    <row r="137" spans="1:24" ht="17.25">
      <c r="A137" s="955"/>
      <c r="B137" s="957" t="s">
        <v>686</v>
      </c>
      <c r="C137" s="955"/>
      <c r="D137" s="955"/>
      <c r="E137" s="955"/>
      <c r="F137" s="955"/>
      <c r="G137" s="955"/>
      <c r="H137" s="955"/>
      <c r="I137" s="955"/>
      <c r="J137" s="955"/>
      <c r="K137" s="955"/>
      <c r="L137" s="955"/>
      <c r="M137" s="955"/>
      <c r="N137" s="955"/>
      <c r="O137" s="955"/>
      <c r="P137" s="955"/>
      <c r="Q137" s="955"/>
      <c r="R137" s="955"/>
      <c r="S137" s="955"/>
      <c r="T137" s="955"/>
      <c r="U137" s="955"/>
      <c r="V137" s="955"/>
      <c r="W137" s="955"/>
      <c r="X137" s="955"/>
    </row>
    <row r="138" spans="1:24">
      <c r="B138" s="961" t="s">
        <v>456</v>
      </c>
    </row>
    <row r="139" spans="1:24">
      <c r="B139" s="961" t="s">
        <v>457</v>
      </c>
    </row>
    <row r="140" spans="1:24">
      <c r="B140" s="961" t="s">
        <v>458</v>
      </c>
    </row>
    <row r="141" spans="1:24" ht="17.25">
      <c r="A141" s="955"/>
      <c r="B141" s="957" t="s">
        <v>713</v>
      </c>
      <c r="C141" s="955"/>
      <c r="D141" s="955"/>
      <c r="E141" s="955"/>
      <c r="F141" s="955"/>
      <c r="G141" s="955"/>
      <c r="H141" s="955"/>
      <c r="I141" s="955"/>
      <c r="J141" s="955"/>
      <c r="K141" s="955"/>
      <c r="L141" s="955"/>
      <c r="M141" s="955"/>
      <c r="N141" s="955"/>
      <c r="O141" s="955"/>
      <c r="P141" s="955"/>
      <c r="Q141" s="955"/>
      <c r="R141" s="955"/>
      <c r="S141" s="955"/>
      <c r="T141" s="955"/>
      <c r="U141" s="955"/>
      <c r="V141" s="955"/>
      <c r="W141" s="955"/>
      <c r="X141" s="955"/>
    </row>
    <row r="142" spans="1:24" ht="15.75">
      <c r="B142" s="961" t="s">
        <v>459</v>
      </c>
    </row>
    <row r="143" spans="1:24" ht="15.75">
      <c r="B143" s="807" t="s">
        <v>460</v>
      </c>
    </row>
    <row r="144" spans="1:24" ht="15.75">
      <c r="B144" s="807" t="s">
        <v>461</v>
      </c>
    </row>
    <row r="145" spans="1:24" ht="15.75">
      <c r="B145" s="807" t="s">
        <v>462</v>
      </c>
    </row>
    <row r="146" spans="1:24">
      <c r="B146" s="961" t="s">
        <v>463</v>
      </c>
    </row>
    <row r="147" spans="1:24">
      <c r="B147" s="961" t="s">
        <v>464</v>
      </c>
    </row>
    <row r="149" spans="1:24">
      <c r="B149" s="961"/>
    </row>
    <row r="150" spans="1:24" s="959" customFormat="1" ht="23.25">
      <c r="B150" s="958" t="s">
        <v>465</v>
      </c>
    </row>
    <row r="151" spans="1:24">
      <c r="B151" s="961" t="s">
        <v>466</v>
      </c>
    </row>
    <row r="152" spans="1:24" ht="17.25">
      <c r="A152" s="955"/>
      <c r="B152" s="957" t="s">
        <v>467</v>
      </c>
      <c r="C152" s="955"/>
      <c r="D152" s="955"/>
      <c r="E152" s="955"/>
      <c r="F152" s="955"/>
      <c r="G152" s="955"/>
      <c r="H152" s="955"/>
      <c r="I152" s="955"/>
      <c r="J152" s="955"/>
      <c r="K152" s="955"/>
      <c r="L152" s="955"/>
      <c r="M152" s="955"/>
      <c r="N152" s="955"/>
      <c r="O152" s="955"/>
      <c r="P152" s="955"/>
      <c r="Q152" s="955"/>
      <c r="R152" s="955"/>
      <c r="S152" s="955"/>
      <c r="T152" s="955"/>
      <c r="U152" s="955"/>
      <c r="V152" s="955"/>
      <c r="W152" s="955"/>
      <c r="X152" s="955"/>
    </row>
    <row r="153" spans="1:24">
      <c r="B153" s="961" t="s">
        <v>468</v>
      </c>
    </row>
    <row r="154" spans="1:24">
      <c r="B154" s="961" t="s">
        <v>469</v>
      </c>
    </row>
    <row r="155" spans="1:24">
      <c r="B155" s="961" t="s">
        <v>470</v>
      </c>
    </row>
    <row r="156" spans="1:24" ht="17.25">
      <c r="A156" s="955"/>
      <c r="B156" s="957" t="s">
        <v>471</v>
      </c>
      <c r="C156" s="955"/>
      <c r="D156" s="955"/>
      <c r="E156" s="955"/>
      <c r="F156" s="955"/>
      <c r="G156" s="955"/>
      <c r="H156" s="955"/>
      <c r="I156" s="955"/>
      <c r="J156" s="955"/>
      <c r="K156" s="955"/>
      <c r="L156" s="955"/>
      <c r="M156" s="955"/>
      <c r="N156" s="955"/>
      <c r="O156" s="955"/>
      <c r="P156" s="955"/>
      <c r="Q156" s="955"/>
      <c r="R156" s="955"/>
      <c r="S156" s="955"/>
      <c r="T156" s="955"/>
      <c r="U156" s="955"/>
      <c r="V156" s="955"/>
      <c r="W156" s="955"/>
      <c r="X156" s="955"/>
    </row>
    <row r="157" spans="1:24">
      <c r="B157" s="961" t="s">
        <v>472</v>
      </c>
    </row>
    <row r="158" spans="1:24">
      <c r="B158" s="961" t="s">
        <v>473</v>
      </c>
    </row>
    <row r="159" spans="1:24">
      <c r="B159" s="961" t="s">
        <v>474</v>
      </c>
    </row>
    <row r="160" spans="1:24" ht="17.25">
      <c r="A160" s="955"/>
      <c r="B160" s="957" t="s">
        <v>475</v>
      </c>
      <c r="C160" s="955"/>
      <c r="D160" s="955"/>
      <c r="E160" s="955"/>
      <c r="F160" s="955"/>
      <c r="G160" s="955"/>
      <c r="H160" s="955"/>
      <c r="I160" s="955"/>
      <c r="J160" s="955"/>
      <c r="K160" s="955"/>
      <c r="L160" s="955"/>
      <c r="M160" s="955"/>
      <c r="N160" s="955"/>
      <c r="O160" s="955"/>
      <c r="P160" s="955"/>
      <c r="Q160" s="955"/>
      <c r="R160" s="955"/>
      <c r="S160" s="955"/>
      <c r="T160" s="955"/>
      <c r="U160" s="955"/>
      <c r="V160" s="955"/>
      <c r="W160" s="955"/>
      <c r="X160" s="955"/>
    </row>
    <row r="161" spans="1:24">
      <c r="B161" s="961" t="s">
        <v>476</v>
      </c>
    </row>
    <row r="162" spans="1:24">
      <c r="B162" s="961" t="s">
        <v>477</v>
      </c>
    </row>
    <row r="163" spans="1:24">
      <c r="B163" s="961" t="s">
        <v>478</v>
      </c>
    </row>
    <row r="164" spans="1:24" ht="17.25">
      <c r="A164" s="955"/>
      <c r="B164" s="957" t="s">
        <v>479</v>
      </c>
      <c r="C164" s="955"/>
      <c r="D164" s="955"/>
      <c r="E164" s="955"/>
      <c r="F164" s="955"/>
      <c r="G164" s="955"/>
      <c r="H164" s="955"/>
      <c r="I164" s="955"/>
      <c r="J164" s="955"/>
      <c r="K164" s="955"/>
      <c r="L164" s="955"/>
      <c r="M164" s="955"/>
      <c r="N164" s="955"/>
      <c r="O164" s="955"/>
      <c r="P164" s="955"/>
      <c r="Q164" s="955"/>
      <c r="R164" s="955"/>
      <c r="S164" s="955"/>
      <c r="T164" s="955"/>
      <c r="U164" s="955"/>
      <c r="V164" s="955"/>
      <c r="W164" s="955"/>
      <c r="X164" s="955"/>
    </row>
    <row r="165" spans="1:24">
      <c r="B165" s="961" t="s">
        <v>480</v>
      </c>
    </row>
    <row r="166" spans="1:24">
      <c r="B166" s="961" t="s">
        <v>481</v>
      </c>
    </row>
    <row r="167" spans="1:24">
      <c r="B167" s="961" t="s">
        <v>482</v>
      </c>
    </row>
    <row r="169" spans="1:24">
      <c r="B169" s="961"/>
    </row>
    <row r="170" spans="1:24" s="959" customFormat="1" ht="23.25">
      <c r="B170" s="958" t="s">
        <v>483</v>
      </c>
    </row>
    <row r="171" spans="1:24">
      <c r="B171" s="966" t="s">
        <v>484</v>
      </c>
    </row>
    <row r="172" spans="1:24" ht="17.25">
      <c r="A172" s="955"/>
      <c r="B172" s="957" t="s">
        <v>485</v>
      </c>
      <c r="C172" s="955"/>
      <c r="D172" s="955"/>
      <c r="E172" s="955"/>
      <c r="F172" s="955"/>
      <c r="G172" s="955"/>
      <c r="H172" s="955"/>
      <c r="I172" s="955"/>
      <c r="J172" s="955"/>
      <c r="K172" s="955"/>
      <c r="L172" s="955"/>
      <c r="M172" s="955"/>
      <c r="N172" s="955"/>
      <c r="O172" s="955"/>
      <c r="P172" s="955"/>
      <c r="Q172" s="955"/>
      <c r="R172" s="955"/>
      <c r="S172" s="955"/>
      <c r="T172" s="955"/>
      <c r="U172" s="955"/>
      <c r="V172" s="955"/>
      <c r="W172" s="955"/>
      <c r="X172" s="955"/>
    </row>
    <row r="173" spans="1:24">
      <c r="B173" s="961" t="s">
        <v>486</v>
      </c>
    </row>
    <row r="174" spans="1:24">
      <c r="B174" s="961" t="s">
        <v>487</v>
      </c>
    </row>
    <row r="175" spans="1:24">
      <c r="B175" s="803" t="s">
        <v>488</v>
      </c>
    </row>
    <row r="176" spans="1:24">
      <c r="B176" s="803" t="s">
        <v>489</v>
      </c>
    </row>
    <row r="177" spans="1:24">
      <c r="B177" s="803" t="s">
        <v>490</v>
      </c>
    </row>
    <row r="178" spans="1:24">
      <c r="B178" s="803" t="s">
        <v>491</v>
      </c>
    </row>
    <row r="179" spans="1:24">
      <c r="B179" s="961" t="s">
        <v>492</v>
      </c>
    </row>
    <row r="180" spans="1:24" ht="17.25">
      <c r="A180" s="955"/>
      <c r="B180" s="957" t="s">
        <v>493</v>
      </c>
      <c r="C180" s="955"/>
      <c r="D180" s="955"/>
      <c r="E180" s="955"/>
      <c r="F180" s="955"/>
      <c r="G180" s="955"/>
      <c r="H180" s="955"/>
      <c r="I180" s="955"/>
      <c r="J180" s="955"/>
      <c r="K180" s="955"/>
      <c r="L180" s="955"/>
      <c r="M180" s="955"/>
      <c r="N180" s="955"/>
      <c r="O180" s="955"/>
      <c r="P180" s="955"/>
      <c r="Q180" s="955"/>
      <c r="R180" s="955"/>
      <c r="S180" s="955"/>
      <c r="T180" s="955"/>
      <c r="U180" s="955"/>
      <c r="V180" s="955"/>
      <c r="W180" s="955"/>
      <c r="X180" s="955"/>
    </row>
    <row r="181" spans="1:24">
      <c r="B181" s="961" t="s">
        <v>494</v>
      </c>
    </row>
    <row r="182" spans="1:24">
      <c r="B182" s="961" t="s">
        <v>495</v>
      </c>
    </row>
    <row r="183" spans="1:24">
      <c r="B183" s="961" t="s">
        <v>496</v>
      </c>
    </row>
    <row r="184" spans="1:24" ht="17.25">
      <c r="A184" s="955"/>
      <c r="B184" s="957" t="s">
        <v>497</v>
      </c>
      <c r="C184" s="955"/>
      <c r="D184" s="955"/>
      <c r="E184" s="955"/>
      <c r="F184" s="955"/>
      <c r="G184" s="955"/>
      <c r="H184" s="955"/>
      <c r="I184" s="955"/>
      <c r="J184" s="955"/>
      <c r="K184" s="955"/>
      <c r="L184" s="955"/>
      <c r="M184" s="955"/>
      <c r="N184" s="955"/>
      <c r="O184" s="955"/>
      <c r="P184" s="955"/>
      <c r="Q184" s="955"/>
      <c r="R184" s="955"/>
      <c r="S184" s="955"/>
      <c r="T184" s="955"/>
      <c r="U184" s="955"/>
      <c r="V184" s="955"/>
      <c r="W184" s="955"/>
      <c r="X184" s="955"/>
    </row>
    <row r="185" spans="1:24">
      <c r="B185" s="961" t="s">
        <v>498</v>
      </c>
    </row>
    <row r="186" spans="1:24">
      <c r="B186" s="961" t="s">
        <v>499</v>
      </c>
    </row>
    <row r="187" spans="1:24">
      <c r="B187" s="961" t="s">
        <v>500</v>
      </c>
    </row>
    <row r="188" spans="1:24" ht="17.25">
      <c r="A188" s="955"/>
      <c r="B188" s="957" t="s">
        <v>501</v>
      </c>
      <c r="C188" s="955"/>
      <c r="D188" s="955"/>
      <c r="E188" s="955"/>
      <c r="F188" s="955"/>
      <c r="G188" s="955"/>
      <c r="H188" s="955"/>
      <c r="I188" s="955"/>
      <c r="J188" s="955"/>
      <c r="K188" s="955"/>
      <c r="L188" s="955"/>
      <c r="M188" s="955"/>
      <c r="N188" s="955"/>
      <c r="O188" s="955"/>
      <c r="P188" s="955"/>
      <c r="Q188" s="955"/>
      <c r="R188" s="955"/>
      <c r="S188" s="955"/>
      <c r="T188" s="955"/>
      <c r="U188" s="955"/>
      <c r="V188" s="955"/>
      <c r="W188" s="955"/>
      <c r="X188" s="955"/>
    </row>
    <row r="189" spans="1:24">
      <c r="B189" s="961" t="s">
        <v>502</v>
      </c>
    </row>
    <row r="190" spans="1:24">
      <c r="B190" s="961" t="s">
        <v>503</v>
      </c>
    </row>
    <row r="191" spans="1:24">
      <c r="B191" s="961" t="s">
        <v>504</v>
      </c>
    </row>
    <row r="193" spans="1:24">
      <c r="B193" s="961"/>
    </row>
    <row r="194" spans="1:24" s="959" customFormat="1" ht="23.25">
      <c r="B194" s="958" t="s">
        <v>505</v>
      </c>
    </row>
    <row r="195" spans="1:24">
      <c r="B195" s="961" t="s">
        <v>506</v>
      </c>
    </row>
    <row r="196" spans="1:24" ht="17.25">
      <c r="A196" s="955"/>
      <c r="B196" s="957" t="s">
        <v>507</v>
      </c>
      <c r="C196" s="955"/>
      <c r="D196" s="955"/>
      <c r="E196" s="955"/>
      <c r="F196" s="955"/>
      <c r="G196" s="955"/>
      <c r="H196" s="955"/>
      <c r="I196" s="955"/>
      <c r="J196" s="955"/>
      <c r="K196" s="955"/>
      <c r="L196" s="955"/>
      <c r="M196" s="955"/>
      <c r="N196" s="955"/>
      <c r="O196" s="955"/>
      <c r="P196" s="955"/>
      <c r="Q196" s="955"/>
      <c r="R196" s="955"/>
      <c r="S196" s="955"/>
      <c r="T196" s="955"/>
      <c r="U196" s="955"/>
      <c r="V196" s="955"/>
      <c r="W196" s="955"/>
      <c r="X196" s="955"/>
    </row>
    <row r="197" spans="1:24">
      <c r="B197" s="961" t="s">
        <v>508</v>
      </c>
    </row>
    <row r="198" spans="1:24">
      <c r="B198" s="961"/>
    </row>
    <row r="199" spans="1:24">
      <c r="B199" s="963" t="s">
        <v>509</v>
      </c>
    </row>
    <row r="200" spans="1:24">
      <c r="B200" s="803" t="s">
        <v>510</v>
      </c>
    </row>
    <row r="201" spans="1:24">
      <c r="B201" s="803" t="s">
        <v>511</v>
      </c>
    </row>
    <row r="202" spans="1:24">
      <c r="B202" s="803" t="s">
        <v>512</v>
      </c>
    </row>
    <row r="203" spans="1:24">
      <c r="B203" s="803" t="s">
        <v>513</v>
      </c>
    </row>
    <row r="204" spans="1:24">
      <c r="B204" s="803" t="s">
        <v>514</v>
      </c>
    </row>
    <row r="205" spans="1:24">
      <c r="B205" s="961" t="s">
        <v>515</v>
      </c>
    </row>
    <row r="206" spans="1:24" ht="17.25">
      <c r="A206" s="955"/>
      <c r="B206" s="957" t="s">
        <v>516</v>
      </c>
      <c r="C206" s="955"/>
      <c r="D206" s="955"/>
      <c r="E206" s="955"/>
      <c r="F206" s="955"/>
      <c r="G206" s="955"/>
      <c r="H206" s="955"/>
      <c r="I206" s="955"/>
      <c r="J206" s="955"/>
      <c r="K206" s="955"/>
      <c r="L206" s="955"/>
      <c r="M206" s="955"/>
      <c r="N206" s="955"/>
      <c r="O206" s="955"/>
      <c r="P206" s="955"/>
      <c r="Q206" s="955"/>
      <c r="R206" s="955"/>
      <c r="S206" s="955"/>
      <c r="T206" s="955"/>
      <c r="U206" s="955"/>
      <c r="V206" s="955"/>
      <c r="W206" s="955"/>
      <c r="X206" s="955"/>
    </row>
    <row r="207" spans="1:24">
      <c r="B207" s="961" t="s">
        <v>517</v>
      </c>
    </row>
    <row r="208" spans="1:24">
      <c r="B208" s="961" t="s">
        <v>487</v>
      </c>
    </row>
    <row r="209" spans="1:24" ht="15.75">
      <c r="B209" s="802" t="s">
        <v>518</v>
      </c>
    </row>
    <row r="210" spans="1:24" ht="15.75">
      <c r="B210" s="802" t="s">
        <v>519</v>
      </c>
    </row>
    <row r="211" spans="1:24" ht="15.75">
      <c r="B211" s="802" t="s">
        <v>520</v>
      </c>
    </row>
    <row r="212" spans="1:24" ht="15.75">
      <c r="B212" s="802" t="s">
        <v>521</v>
      </c>
    </row>
    <row r="213" spans="1:24">
      <c r="B213" s="961" t="s">
        <v>515</v>
      </c>
    </row>
    <row r="214" spans="1:24" s="959" customFormat="1" ht="23.25">
      <c r="B214" s="958" t="s">
        <v>522</v>
      </c>
    </row>
    <row r="215" spans="1:24">
      <c r="B215" s="961" t="s">
        <v>523</v>
      </c>
    </row>
    <row r="216" spans="1:24">
      <c r="B216" s="967"/>
    </row>
    <row r="217" spans="1:24" ht="72">
      <c r="B217" s="968" t="s">
        <v>524</v>
      </c>
    </row>
    <row r="218" spans="1:24" ht="17.25">
      <c r="A218" s="955"/>
      <c r="B218" s="957" t="s">
        <v>525</v>
      </c>
      <c r="C218" s="955"/>
      <c r="D218" s="955"/>
      <c r="E218" s="955"/>
      <c r="F218" s="955"/>
      <c r="G218" s="955"/>
      <c r="H218" s="955"/>
      <c r="I218" s="955"/>
      <c r="J218" s="955"/>
      <c r="K218" s="955"/>
      <c r="L218" s="955"/>
      <c r="M218" s="955"/>
      <c r="N218" s="955"/>
      <c r="O218" s="955"/>
      <c r="P218" s="955"/>
      <c r="Q218" s="955"/>
      <c r="R218" s="955"/>
      <c r="S218" s="955"/>
      <c r="T218" s="955"/>
      <c r="U218" s="955"/>
      <c r="V218" s="955"/>
      <c r="W218" s="955"/>
      <c r="X218" s="955"/>
    </row>
    <row r="219" spans="1:24">
      <c r="B219" s="961" t="s">
        <v>526</v>
      </c>
    </row>
    <row r="220" spans="1:24">
      <c r="B220" s="961" t="s">
        <v>527</v>
      </c>
    </row>
    <row r="221" spans="1:24">
      <c r="B221" s="961" t="s">
        <v>528</v>
      </c>
    </row>
    <row r="222" spans="1:24">
      <c r="B222" s="961"/>
    </row>
    <row r="223" spans="1:24">
      <c r="B223" s="961" t="s">
        <v>529</v>
      </c>
    </row>
    <row r="224" spans="1:24">
      <c r="B224" s="961" t="s">
        <v>530</v>
      </c>
    </row>
    <row r="225" spans="1:24">
      <c r="B225" s="961" t="s">
        <v>531</v>
      </c>
    </row>
    <row r="226" spans="1:24">
      <c r="B226" s="961" t="s">
        <v>532</v>
      </c>
    </row>
    <row r="227" spans="1:24">
      <c r="B227" s="961" t="s">
        <v>533</v>
      </c>
    </row>
    <row r="228" spans="1:24" ht="17.25">
      <c r="A228" s="955"/>
      <c r="B228" s="957" t="s">
        <v>534</v>
      </c>
      <c r="C228" s="955"/>
      <c r="D228" s="955"/>
      <c r="E228" s="955"/>
      <c r="F228" s="955"/>
      <c r="G228" s="955"/>
      <c r="H228" s="955"/>
      <c r="I228" s="955"/>
      <c r="J228" s="955"/>
      <c r="K228" s="955"/>
      <c r="L228" s="955"/>
      <c r="M228" s="955"/>
      <c r="N228" s="955"/>
      <c r="O228" s="955"/>
      <c r="P228" s="955"/>
      <c r="Q228" s="955"/>
      <c r="R228" s="955"/>
      <c r="S228" s="955"/>
      <c r="T228" s="955"/>
      <c r="U228" s="955"/>
      <c r="V228" s="955"/>
      <c r="W228" s="955"/>
      <c r="X228" s="955"/>
    </row>
    <row r="229" spans="1:24">
      <c r="B229" s="961" t="s">
        <v>535</v>
      </c>
    </row>
    <row r="230" spans="1:24">
      <c r="B230" s="961" t="s">
        <v>527</v>
      </c>
    </row>
    <row r="231" spans="1:24">
      <c r="B231" s="961" t="s">
        <v>528</v>
      </c>
    </row>
    <row r="232" spans="1:24">
      <c r="B232" s="961" t="s">
        <v>536</v>
      </c>
    </row>
    <row r="233" spans="1:24">
      <c r="B233" s="961" t="s">
        <v>537</v>
      </c>
    </row>
    <row r="235" spans="1:24">
      <c r="B235" s="961"/>
    </row>
    <row r="236" spans="1:24" s="959" customFormat="1" ht="23.25">
      <c r="B236" s="958" t="s">
        <v>538</v>
      </c>
    </row>
    <row r="237" spans="1:24">
      <c r="B237" s="961" t="s">
        <v>539</v>
      </c>
    </row>
    <row r="238" spans="1:24" ht="17.25">
      <c r="A238" s="955"/>
      <c r="B238" s="957" t="s">
        <v>540</v>
      </c>
      <c r="C238" s="955"/>
      <c r="D238" s="955"/>
      <c r="E238" s="955"/>
      <c r="F238" s="955"/>
      <c r="G238" s="955"/>
      <c r="H238" s="955"/>
      <c r="I238" s="955"/>
      <c r="J238" s="955"/>
      <c r="K238" s="955"/>
      <c r="L238" s="955"/>
      <c r="M238" s="955"/>
      <c r="N238" s="955"/>
      <c r="O238" s="955"/>
      <c r="P238" s="955"/>
      <c r="Q238" s="955"/>
      <c r="R238" s="955"/>
      <c r="S238" s="955"/>
      <c r="T238" s="955"/>
      <c r="U238" s="955"/>
      <c r="V238" s="955"/>
      <c r="W238" s="955"/>
      <c r="X238" s="955"/>
    </row>
    <row r="239" spans="1:24">
      <c r="B239" s="961" t="s">
        <v>541</v>
      </c>
    </row>
    <row r="240" spans="1:24">
      <c r="B240" s="961" t="s">
        <v>542</v>
      </c>
    </row>
    <row r="241" spans="2:2" ht="15.75">
      <c r="B241" s="802" t="s">
        <v>543</v>
      </c>
    </row>
    <row r="242" spans="2:2" ht="15.75">
      <c r="B242" s="802" t="s">
        <v>544</v>
      </c>
    </row>
    <row r="243" spans="2:2" ht="15.75">
      <c r="B243" s="802" t="s">
        <v>545</v>
      </c>
    </row>
    <row r="244" spans="2:2" ht="15.75">
      <c r="B244" s="802" t="s">
        <v>546</v>
      </c>
    </row>
    <row r="245" spans="2:2">
      <c r="B245" s="961" t="s">
        <v>547</v>
      </c>
    </row>
    <row r="246" spans="2:2" ht="15.75">
      <c r="B246" s="802" t="s">
        <v>543</v>
      </c>
    </row>
    <row r="247" spans="2:2" ht="15.75">
      <c r="B247" s="802" t="s">
        <v>544</v>
      </c>
    </row>
    <row r="248" spans="2:2" ht="15.75">
      <c r="B248" s="802" t="s">
        <v>546</v>
      </c>
    </row>
    <row r="249" spans="2:2">
      <c r="B249" s="961" t="s">
        <v>414</v>
      </c>
    </row>
    <row r="250" spans="2:2" ht="15.75">
      <c r="B250" s="798" t="s">
        <v>548</v>
      </c>
    </row>
    <row r="251" spans="2:2" ht="15.75">
      <c r="B251" s="798" t="s">
        <v>549</v>
      </c>
    </row>
    <row r="252" spans="2:2" ht="15.75">
      <c r="B252" s="798" t="s">
        <v>550</v>
      </c>
    </row>
    <row r="253" spans="2:2" ht="15.75">
      <c r="B253" s="798" t="s">
        <v>551</v>
      </c>
    </row>
    <row r="254" spans="2:2" ht="15.75">
      <c r="B254" s="798" t="s">
        <v>552</v>
      </c>
    </row>
    <row r="255" spans="2:2" ht="15.75">
      <c r="B255" s="798" t="s">
        <v>553</v>
      </c>
    </row>
    <row r="256" spans="2:2" ht="15.75">
      <c r="B256" s="798" t="s">
        <v>554</v>
      </c>
    </row>
    <row r="257" spans="1:24" ht="17.25">
      <c r="A257" s="955"/>
      <c r="B257" s="957" t="s">
        <v>711</v>
      </c>
      <c r="C257" s="955"/>
      <c r="D257" s="955"/>
      <c r="E257" s="955"/>
      <c r="F257" s="955"/>
      <c r="G257" s="955"/>
      <c r="H257" s="955"/>
      <c r="I257" s="955"/>
      <c r="J257" s="955"/>
      <c r="K257" s="955"/>
      <c r="L257" s="955"/>
      <c r="M257" s="955"/>
      <c r="N257" s="955"/>
      <c r="O257" s="955"/>
      <c r="P257" s="955"/>
      <c r="Q257" s="955"/>
      <c r="R257" s="955"/>
      <c r="S257" s="955"/>
      <c r="T257" s="955"/>
      <c r="U257" s="955"/>
      <c r="V257" s="955"/>
      <c r="W257" s="955"/>
      <c r="X257" s="955"/>
    </row>
    <row r="258" spans="1:24">
      <c r="B258" s="961" t="s">
        <v>555</v>
      </c>
    </row>
    <row r="259" spans="1:24">
      <c r="B259" s="961" t="s">
        <v>556</v>
      </c>
    </row>
    <row r="260" spans="1:24">
      <c r="B260" s="961" t="s">
        <v>557</v>
      </c>
    </row>
    <row r="261" spans="1:24" ht="17.25">
      <c r="A261" s="955"/>
      <c r="B261" s="957" t="s">
        <v>712</v>
      </c>
      <c r="C261" s="955"/>
      <c r="D261" s="955"/>
      <c r="E261" s="955"/>
      <c r="F261" s="955"/>
      <c r="G261" s="955"/>
      <c r="H261" s="955"/>
      <c r="I261" s="955"/>
      <c r="J261" s="955"/>
      <c r="K261" s="955"/>
      <c r="L261" s="955"/>
      <c r="M261" s="955"/>
      <c r="N261" s="955"/>
      <c r="O261" s="955"/>
      <c r="P261" s="955"/>
      <c r="Q261" s="955"/>
      <c r="R261" s="955"/>
      <c r="S261" s="955"/>
      <c r="T261" s="955"/>
      <c r="U261" s="955"/>
      <c r="V261" s="955"/>
      <c r="W261" s="955"/>
      <c r="X261" s="955"/>
    </row>
    <row r="262" spans="1:24">
      <c r="B262" s="961" t="s">
        <v>558</v>
      </c>
    </row>
    <row r="263" spans="1:24">
      <c r="B263" s="961" t="s">
        <v>559</v>
      </c>
    </row>
    <row r="264" spans="1:24">
      <c r="B264" s="961" t="s">
        <v>560</v>
      </c>
    </row>
    <row r="265" spans="1:24">
      <c r="B265" s="961" t="s">
        <v>561</v>
      </c>
    </row>
    <row r="267" spans="1:24">
      <c r="B267" s="961"/>
    </row>
    <row r="268" spans="1:24" s="959" customFormat="1" ht="23.25">
      <c r="B268" s="958" t="s">
        <v>562</v>
      </c>
    </row>
    <row r="269" spans="1:24">
      <c r="B269" s="961" t="s">
        <v>563</v>
      </c>
    </row>
    <row r="270" spans="1:24" ht="17.25">
      <c r="A270" s="955"/>
      <c r="B270" s="957" t="s">
        <v>564</v>
      </c>
      <c r="C270" s="955"/>
      <c r="D270" s="955"/>
      <c r="E270" s="955"/>
      <c r="F270" s="955"/>
      <c r="G270" s="955"/>
      <c r="H270" s="955"/>
      <c r="I270" s="955"/>
      <c r="J270" s="955"/>
      <c r="K270" s="955"/>
      <c r="L270" s="955"/>
      <c r="M270" s="955"/>
      <c r="N270" s="955"/>
      <c r="O270" s="955"/>
      <c r="P270" s="955"/>
      <c r="Q270" s="955"/>
      <c r="R270" s="955"/>
      <c r="S270" s="955"/>
      <c r="T270" s="955"/>
      <c r="U270" s="955"/>
      <c r="V270" s="955"/>
      <c r="W270" s="955"/>
      <c r="X270" s="955"/>
    </row>
    <row r="271" spans="1:24">
      <c r="B271" s="961" t="s">
        <v>565</v>
      </c>
    </row>
    <row r="272" spans="1:24">
      <c r="B272" s="961" t="s">
        <v>566</v>
      </c>
    </row>
    <row r="273" spans="1:24">
      <c r="B273" s="961" t="s">
        <v>567</v>
      </c>
    </row>
    <row r="274" spans="1:24">
      <c r="B274" s="803" t="s">
        <v>568</v>
      </c>
    </row>
    <row r="275" spans="1:24">
      <c r="B275" s="803" t="s">
        <v>569</v>
      </c>
    </row>
    <row r="276" spans="1:24">
      <c r="B276" s="803" t="s">
        <v>570</v>
      </c>
    </row>
    <row r="277" spans="1:24">
      <c r="B277" s="803" t="s">
        <v>571</v>
      </c>
    </row>
    <row r="278" spans="1:24">
      <c r="B278" s="803" t="s">
        <v>572</v>
      </c>
    </row>
    <row r="279" spans="1:24">
      <c r="B279" s="803" t="s">
        <v>573</v>
      </c>
    </row>
    <row r="280" spans="1:24">
      <c r="B280" s="961" t="s">
        <v>574</v>
      </c>
    </row>
    <row r="281" spans="1:24" ht="17.25">
      <c r="A281" s="955"/>
      <c r="B281" s="957" t="s">
        <v>575</v>
      </c>
      <c r="C281" s="955"/>
      <c r="D281" s="955"/>
      <c r="E281" s="955"/>
      <c r="F281" s="955"/>
      <c r="G281" s="955"/>
      <c r="H281" s="955"/>
      <c r="I281" s="955"/>
      <c r="J281" s="955"/>
      <c r="K281" s="955"/>
      <c r="L281" s="955"/>
      <c r="M281" s="955"/>
      <c r="N281" s="955"/>
      <c r="O281" s="955"/>
      <c r="P281" s="955"/>
      <c r="Q281" s="955"/>
      <c r="R281" s="955"/>
      <c r="S281" s="955"/>
      <c r="T281" s="955"/>
      <c r="U281" s="955"/>
      <c r="V281" s="955"/>
      <c r="W281" s="955"/>
      <c r="X281" s="955"/>
    </row>
    <row r="282" spans="1:24">
      <c r="B282" s="961" t="s">
        <v>576</v>
      </c>
    </row>
    <row r="283" spans="1:24">
      <c r="B283" s="961" t="s">
        <v>577</v>
      </c>
    </row>
    <row r="284" spans="1:24">
      <c r="B284" s="961" t="s">
        <v>578</v>
      </c>
    </row>
    <row r="285" spans="1:24" s="959" customFormat="1" ht="23.25">
      <c r="B285" s="958" t="s">
        <v>579</v>
      </c>
    </row>
    <row r="286" spans="1:24">
      <c r="B286" s="961" t="s">
        <v>580</v>
      </c>
    </row>
    <row r="287" spans="1:24" ht="17.25">
      <c r="A287" s="955"/>
      <c r="B287" s="957" t="s">
        <v>581</v>
      </c>
      <c r="C287" s="955"/>
      <c r="D287" s="955"/>
      <c r="E287" s="955"/>
      <c r="F287" s="955"/>
      <c r="G287" s="955"/>
      <c r="H287" s="955"/>
      <c r="I287" s="955"/>
      <c r="J287" s="955"/>
      <c r="K287" s="955"/>
      <c r="L287" s="955"/>
      <c r="M287" s="955"/>
      <c r="N287" s="955"/>
      <c r="O287" s="955"/>
      <c r="P287" s="955"/>
      <c r="Q287" s="955"/>
      <c r="R287" s="955"/>
      <c r="S287" s="955"/>
      <c r="T287" s="955"/>
      <c r="U287" s="955"/>
      <c r="V287" s="955"/>
      <c r="W287" s="955"/>
      <c r="X287" s="955"/>
    </row>
    <row r="288" spans="1:24">
      <c r="B288" s="808" t="s">
        <v>582</v>
      </c>
    </row>
    <row r="289" spans="1:24">
      <c r="B289" s="808" t="s">
        <v>583</v>
      </c>
    </row>
    <row r="290" spans="1:24">
      <c r="B290" s="808" t="s">
        <v>584</v>
      </c>
    </row>
    <row r="291" spans="1:24">
      <c r="B291" s="808" t="s">
        <v>585</v>
      </c>
    </row>
    <row r="292" spans="1:24">
      <c r="B292" s="809"/>
    </row>
    <row r="293" spans="1:24">
      <c r="B293" s="961" t="s">
        <v>586</v>
      </c>
    </row>
    <row r="294" spans="1:24">
      <c r="B294" s="961" t="s">
        <v>587</v>
      </c>
    </row>
    <row r="295" spans="1:24" ht="17.25">
      <c r="A295" s="955"/>
      <c r="B295" s="957" t="s">
        <v>588</v>
      </c>
      <c r="C295" s="955"/>
      <c r="D295" s="955"/>
      <c r="E295" s="955"/>
      <c r="F295" s="955"/>
      <c r="G295" s="955"/>
      <c r="H295" s="955"/>
      <c r="I295" s="955"/>
      <c r="J295" s="955"/>
      <c r="K295" s="955"/>
      <c r="L295" s="955"/>
      <c r="M295" s="955"/>
      <c r="N295" s="955"/>
      <c r="O295" s="955"/>
      <c r="P295" s="955"/>
      <c r="Q295" s="955"/>
      <c r="R295" s="955"/>
      <c r="S295" s="955"/>
      <c r="T295" s="955"/>
      <c r="U295" s="955"/>
      <c r="V295" s="955"/>
      <c r="W295" s="955"/>
      <c r="X295" s="955"/>
    </row>
    <row r="296" spans="1:24">
      <c r="B296" s="961" t="s">
        <v>589</v>
      </c>
    </row>
    <row r="297" spans="1:24">
      <c r="B297" s="961" t="s">
        <v>590</v>
      </c>
    </row>
    <row r="298" spans="1:24">
      <c r="B298" s="961" t="s">
        <v>591</v>
      </c>
    </row>
    <row r="299" spans="1:24" ht="17.25">
      <c r="A299" s="955"/>
      <c r="B299" s="957" t="s">
        <v>592</v>
      </c>
      <c r="C299" s="955"/>
      <c r="D299" s="955"/>
      <c r="E299" s="955"/>
      <c r="F299" s="955"/>
      <c r="G299" s="955"/>
      <c r="H299" s="955"/>
      <c r="I299" s="955"/>
      <c r="J299" s="955"/>
      <c r="K299" s="955"/>
      <c r="L299" s="955"/>
      <c r="M299" s="955"/>
      <c r="N299" s="955"/>
      <c r="O299" s="955"/>
      <c r="P299" s="955"/>
      <c r="Q299" s="955"/>
      <c r="R299" s="955"/>
      <c r="S299" s="955"/>
      <c r="T299" s="955"/>
      <c r="U299" s="955"/>
      <c r="V299" s="955"/>
      <c r="W299" s="955"/>
      <c r="X299" s="955"/>
    </row>
    <row r="300" spans="1:24">
      <c r="B300" s="961" t="s">
        <v>593</v>
      </c>
    </row>
    <row r="301" spans="1:24">
      <c r="B301" s="961" t="s">
        <v>594</v>
      </c>
    </row>
    <row r="302" spans="1:24">
      <c r="B302" s="961" t="s">
        <v>595</v>
      </c>
    </row>
    <row r="303" spans="1:24" ht="17.25">
      <c r="A303" s="955"/>
      <c r="B303" s="957" t="s">
        <v>596</v>
      </c>
      <c r="C303" s="955"/>
      <c r="D303" s="955"/>
      <c r="E303" s="955"/>
      <c r="F303" s="955"/>
      <c r="G303" s="955"/>
      <c r="H303" s="955"/>
      <c r="I303" s="955"/>
      <c r="J303" s="955"/>
      <c r="K303" s="955"/>
      <c r="L303" s="955"/>
      <c r="M303" s="955"/>
      <c r="N303" s="955"/>
      <c r="O303" s="955"/>
      <c r="P303" s="955"/>
      <c r="Q303" s="955"/>
      <c r="R303" s="955"/>
      <c r="S303" s="955"/>
      <c r="T303" s="955"/>
      <c r="U303" s="955"/>
      <c r="V303" s="955"/>
      <c r="W303" s="955"/>
      <c r="X303" s="955"/>
    </row>
    <row r="304" spans="1:24">
      <c r="B304" s="961" t="s">
        <v>597</v>
      </c>
    </row>
    <row r="305" spans="1:24">
      <c r="B305" s="961" t="s">
        <v>414</v>
      </c>
    </row>
    <row r="306" spans="1:24">
      <c r="B306" s="803" t="s">
        <v>598</v>
      </c>
    </row>
    <row r="307" spans="1:24">
      <c r="B307" s="803" t="s">
        <v>599</v>
      </c>
    </row>
    <row r="308" spans="1:24">
      <c r="B308" s="803" t="s">
        <v>600</v>
      </c>
    </row>
    <row r="309" spans="1:24">
      <c r="B309" s="803" t="s">
        <v>601</v>
      </c>
    </row>
    <row r="310" spans="1:24">
      <c r="B310" s="961" t="s">
        <v>602</v>
      </c>
    </row>
    <row r="311" spans="1:24" s="959" customFormat="1" ht="23.25">
      <c r="B311" s="958" t="s">
        <v>603</v>
      </c>
    </row>
    <row r="312" spans="1:24">
      <c r="B312" s="961" t="s">
        <v>604</v>
      </c>
    </row>
    <row r="313" spans="1:24" ht="17.25">
      <c r="A313" s="955"/>
      <c r="B313" s="957" t="s">
        <v>605</v>
      </c>
      <c r="C313" s="955"/>
      <c r="D313" s="955"/>
      <c r="E313" s="955"/>
      <c r="F313" s="955"/>
      <c r="G313" s="955"/>
      <c r="H313" s="955"/>
      <c r="I313" s="955"/>
      <c r="J313" s="955"/>
      <c r="K313" s="955"/>
      <c r="L313" s="955"/>
      <c r="M313" s="955"/>
      <c r="N313" s="955"/>
      <c r="O313" s="955"/>
      <c r="P313" s="955"/>
      <c r="Q313" s="955"/>
      <c r="R313" s="955"/>
      <c r="S313" s="955"/>
      <c r="T313" s="955"/>
      <c r="U313" s="955"/>
      <c r="V313" s="955"/>
      <c r="W313" s="955"/>
      <c r="X313" s="955"/>
    </row>
    <row r="314" spans="1:24">
      <c r="B314" s="961" t="s">
        <v>606</v>
      </c>
    </row>
    <row r="315" spans="1:24">
      <c r="B315" s="961" t="s">
        <v>607</v>
      </c>
    </row>
    <row r="316" spans="1:24">
      <c r="B316" s="961" t="s">
        <v>608</v>
      </c>
    </row>
    <row r="317" spans="1:24">
      <c r="B317" s="961"/>
    </row>
    <row r="318" spans="1:24">
      <c r="B318" s="967"/>
    </row>
    <row r="319" spans="1:24" ht="72">
      <c r="B319" s="968" t="s">
        <v>609</v>
      </c>
    </row>
    <row r="320" spans="1:24" ht="17.25">
      <c r="A320" s="955"/>
      <c r="B320" s="957" t="s">
        <v>610</v>
      </c>
      <c r="C320" s="955"/>
      <c r="D320" s="955"/>
      <c r="E320" s="955"/>
      <c r="F320" s="955"/>
      <c r="G320" s="955"/>
      <c r="H320" s="955"/>
      <c r="I320" s="955"/>
      <c r="J320" s="955"/>
      <c r="K320" s="955"/>
      <c r="L320" s="955"/>
      <c r="M320" s="955"/>
      <c r="N320" s="955"/>
      <c r="O320" s="955"/>
      <c r="P320" s="955"/>
      <c r="Q320" s="955"/>
      <c r="R320" s="955"/>
      <c r="S320" s="955"/>
      <c r="T320" s="955"/>
      <c r="U320" s="955"/>
      <c r="V320" s="955"/>
      <c r="W320" s="955"/>
      <c r="X320" s="955"/>
    </row>
    <row r="321" spans="1:24">
      <c r="B321" s="961" t="s">
        <v>611</v>
      </c>
    </row>
    <row r="322" spans="1:24">
      <c r="B322" s="961" t="s">
        <v>612</v>
      </c>
    </row>
    <row r="323" spans="1:24">
      <c r="B323" s="961" t="s">
        <v>613</v>
      </c>
    </row>
    <row r="324" spans="1:24" ht="17.25">
      <c r="A324" s="955"/>
      <c r="B324" s="957" t="s">
        <v>614</v>
      </c>
      <c r="C324" s="955"/>
      <c r="D324" s="955"/>
      <c r="E324" s="955"/>
      <c r="F324" s="955"/>
      <c r="G324" s="955"/>
      <c r="H324" s="955"/>
      <c r="I324" s="955"/>
      <c r="J324" s="955"/>
      <c r="K324" s="955"/>
      <c r="L324" s="955"/>
      <c r="M324" s="955"/>
      <c r="N324" s="955"/>
      <c r="O324" s="955"/>
      <c r="P324" s="955"/>
      <c r="Q324" s="955"/>
      <c r="R324" s="955"/>
      <c r="S324" s="955"/>
      <c r="T324" s="955"/>
      <c r="U324" s="955"/>
      <c r="V324" s="955"/>
      <c r="W324" s="955"/>
      <c r="X324" s="955"/>
    </row>
    <row r="325" spans="1:24">
      <c r="B325" s="961" t="s">
        <v>615</v>
      </c>
    </row>
    <row r="326" spans="1:24">
      <c r="B326" s="961" t="s">
        <v>616</v>
      </c>
    </row>
    <row r="327" spans="1:24">
      <c r="B327" s="961" t="s">
        <v>617</v>
      </c>
    </row>
    <row r="328" spans="1:24">
      <c r="B328" s="961" t="s">
        <v>618</v>
      </c>
    </row>
    <row r="329" spans="1:24" ht="17.25">
      <c r="A329" s="955"/>
      <c r="B329" s="957" t="s">
        <v>619</v>
      </c>
      <c r="C329" s="955"/>
      <c r="D329" s="955"/>
      <c r="E329" s="955"/>
      <c r="F329" s="955"/>
      <c r="G329" s="955"/>
      <c r="H329" s="955"/>
      <c r="I329" s="955"/>
      <c r="J329" s="955"/>
      <c r="K329" s="955"/>
      <c r="L329" s="955"/>
      <c r="M329" s="955"/>
      <c r="N329" s="955"/>
      <c r="O329" s="955"/>
      <c r="P329" s="955"/>
      <c r="Q329" s="955"/>
      <c r="R329" s="955"/>
      <c r="S329" s="955"/>
      <c r="T329" s="955"/>
      <c r="U329" s="955"/>
      <c r="V329" s="955"/>
      <c r="W329" s="955"/>
      <c r="X329" s="955"/>
    </row>
    <row r="330" spans="1:24">
      <c r="B330" s="961" t="s">
        <v>620</v>
      </c>
    </row>
    <row r="331" spans="1:24">
      <c r="B331" s="961" t="s">
        <v>621</v>
      </c>
    </row>
    <row r="332" spans="1:24">
      <c r="B332" s="961" t="s">
        <v>622</v>
      </c>
    </row>
    <row r="333" spans="1:24" ht="17.25">
      <c r="A333" s="955"/>
      <c r="B333" s="957" t="s">
        <v>623</v>
      </c>
      <c r="C333" s="955"/>
      <c r="D333" s="955"/>
      <c r="E333" s="955"/>
      <c r="F333" s="955"/>
      <c r="G333" s="955"/>
      <c r="H333" s="955"/>
      <c r="I333" s="955"/>
      <c r="J333" s="955"/>
      <c r="K333" s="955"/>
      <c r="L333" s="955"/>
      <c r="M333" s="955"/>
      <c r="N333" s="955"/>
      <c r="O333" s="955"/>
      <c r="P333" s="955"/>
      <c r="Q333" s="955"/>
      <c r="R333" s="955"/>
      <c r="S333" s="955"/>
      <c r="T333" s="955"/>
      <c r="U333" s="955"/>
      <c r="V333" s="955"/>
      <c r="W333" s="955"/>
      <c r="X333" s="955"/>
    </row>
    <row r="334" spans="1:24" ht="15.75">
      <c r="B334" s="802" t="s">
        <v>624</v>
      </c>
    </row>
    <row r="335" spans="1:24" ht="15.75">
      <c r="B335" s="802" t="s">
        <v>625</v>
      </c>
    </row>
    <row r="336" spans="1:24" ht="15.75">
      <c r="B336" s="802" t="s">
        <v>626</v>
      </c>
    </row>
    <row r="337" spans="1:24">
      <c r="B337" s="961" t="s">
        <v>627</v>
      </c>
    </row>
    <row r="338" spans="1:24">
      <c r="B338" s="961" t="s">
        <v>628</v>
      </c>
    </row>
    <row r="339" spans="1:24">
      <c r="B339" s="961" t="s">
        <v>629</v>
      </c>
    </row>
    <row r="340" spans="1:24" ht="17.25">
      <c r="A340" s="955"/>
      <c r="B340" s="957" t="s">
        <v>630</v>
      </c>
      <c r="C340" s="955"/>
      <c r="D340" s="955"/>
      <c r="E340" s="955"/>
      <c r="F340" s="955"/>
      <c r="G340" s="955"/>
      <c r="H340" s="955"/>
      <c r="I340" s="955"/>
      <c r="J340" s="955"/>
      <c r="K340" s="955"/>
      <c r="L340" s="955"/>
      <c r="M340" s="955"/>
      <c r="N340" s="955"/>
      <c r="O340" s="955"/>
      <c r="P340" s="955"/>
      <c r="Q340" s="955"/>
      <c r="R340" s="955"/>
      <c r="S340" s="955"/>
      <c r="T340" s="955"/>
      <c r="U340" s="955"/>
      <c r="V340" s="955"/>
      <c r="W340" s="955"/>
      <c r="X340" s="955"/>
    </row>
    <row r="341" spans="1:24" ht="15.75">
      <c r="B341" s="802" t="s">
        <v>631</v>
      </c>
    </row>
    <row r="342" spans="1:24" ht="15.75">
      <c r="B342" s="802" t="s">
        <v>632</v>
      </c>
    </row>
    <row r="343" spans="1:24" ht="15.75">
      <c r="B343" s="802" t="s">
        <v>633</v>
      </c>
    </row>
    <row r="344" spans="1:24">
      <c r="B344" s="961" t="s">
        <v>634</v>
      </c>
    </row>
    <row r="345" spans="1:24" ht="15.75">
      <c r="B345" s="802" t="s">
        <v>635</v>
      </c>
    </row>
    <row r="346" spans="1:24" ht="15.75">
      <c r="B346" s="802" t="s">
        <v>636</v>
      </c>
    </row>
    <row r="347" spans="1:24" ht="15.75">
      <c r="B347" s="802" t="s">
        <v>637</v>
      </c>
    </row>
    <row r="348" spans="1:24">
      <c r="B348" s="961" t="s">
        <v>638</v>
      </c>
    </row>
    <row r="349" spans="1:24" ht="17.25">
      <c r="A349" s="955"/>
      <c r="B349" s="957" t="s">
        <v>639</v>
      </c>
      <c r="C349" s="955"/>
      <c r="D349" s="955"/>
      <c r="E349" s="955"/>
      <c r="F349" s="955"/>
      <c r="G349" s="955"/>
      <c r="H349" s="955"/>
      <c r="I349" s="955"/>
      <c r="J349" s="955"/>
      <c r="K349" s="955"/>
      <c r="L349" s="955"/>
      <c r="M349" s="955"/>
      <c r="N349" s="955"/>
      <c r="O349" s="955"/>
      <c r="P349" s="955"/>
      <c r="Q349" s="955"/>
      <c r="R349" s="955"/>
      <c r="S349" s="955"/>
      <c r="T349" s="955"/>
      <c r="U349" s="955"/>
      <c r="V349" s="955"/>
      <c r="W349" s="955"/>
      <c r="X349" s="955"/>
    </row>
    <row r="350" spans="1:24">
      <c r="B350" s="961" t="s">
        <v>640</v>
      </c>
    </row>
    <row r="351" spans="1:24">
      <c r="B351" s="961" t="s">
        <v>641</v>
      </c>
    </row>
    <row r="352" spans="1:24" ht="15.75">
      <c r="B352" s="802" t="s">
        <v>642</v>
      </c>
    </row>
    <row r="353" spans="2:2" ht="15.75">
      <c r="B353" s="802" t="s">
        <v>643</v>
      </c>
    </row>
    <row r="354" spans="2:2" ht="15.75">
      <c r="B354" s="802" t="s">
        <v>644</v>
      </c>
    </row>
    <row r="355" spans="2:2">
      <c r="B355" s="961" t="s">
        <v>645</v>
      </c>
    </row>
    <row r="357" spans="2:2">
      <c r="B357" s="961"/>
    </row>
    <row r="358" spans="2:2" s="959" customFormat="1" ht="23.25">
      <c r="B358" s="958" t="s">
        <v>646</v>
      </c>
    </row>
    <row r="359" spans="2:2">
      <c r="B359" s="961"/>
    </row>
    <row r="360" spans="2:2">
      <c r="B360" s="961" t="s">
        <v>647</v>
      </c>
    </row>
    <row r="361" spans="2:2">
      <c r="B361" s="961" t="s">
        <v>648</v>
      </c>
    </row>
    <row r="362" spans="2:2">
      <c r="B362" s="961" t="s">
        <v>649</v>
      </c>
    </row>
    <row r="363" spans="2:2">
      <c r="B363" s="961" t="s">
        <v>650</v>
      </c>
    </row>
    <row r="364" spans="2:2">
      <c r="B364" s="961" t="s">
        <v>651</v>
      </c>
    </row>
    <row r="365" spans="2:2">
      <c r="B365" s="961" t="s">
        <v>649</v>
      </c>
    </row>
    <row r="366" spans="2:2">
      <c r="B366" s="961" t="s">
        <v>652</v>
      </c>
    </row>
    <row r="367" spans="2:2">
      <c r="B367" s="961" t="s">
        <v>653</v>
      </c>
    </row>
    <row r="368" spans="2:2">
      <c r="B368" s="961" t="s">
        <v>649</v>
      </c>
    </row>
    <row r="369" spans="2:2">
      <c r="B369" s="961" t="s">
        <v>654</v>
      </c>
    </row>
    <row r="370" spans="2:2">
      <c r="B370" s="961" t="s">
        <v>655</v>
      </c>
    </row>
    <row r="371" spans="2:2">
      <c r="B371" s="961" t="s">
        <v>649</v>
      </c>
    </row>
    <row r="372" spans="2:2">
      <c r="B372" s="961" t="s">
        <v>656</v>
      </c>
    </row>
    <row r="373" spans="2:2">
      <c r="B373" s="961" t="s">
        <v>657</v>
      </c>
    </row>
    <row r="374" spans="2:2">
      <c r="B374" s="961" t="s">
        <v>649</v>
      </c>
    </row>
    <row r="375" spans="2:2">
      <c r="B375" s="961" t="s">
        <v>658</v>
      </c>
    </row>
    <row r="376" spans="2:2">
      <c r="B376" s="961" t="s">
        <v>659</v>
      </c>
    </row>
    <row r="377" spans="2:2">
      <c r="B377" s="961" t="s">
        <v>649</v>
      </c>
    </row>
    <row r="378" spans="2:2">
      <c r="B378" s="961" t="s">
        <v>660</v>
      </c>
    </row>
    <row r="379" spans="2:2">
      <c r="B379" s="961" t="s">
        <v>661</v>
      </c>
    </row>
    <row r="380" spans="2:2">
      <c r="B380" s="961" t="s">
        <v>662</v>
      </c>
    </row>
    <row r="381" spans="2:2">
      <c r="B381" s="961" t="s">
        <v>663</v>
      </c>
    </row>
    <row r="382" spans="2:2">
      <c r="B382" s="961" t="s">
        <v>664</v>
      </c>
    </row>
    <row r="383" spans="2:2">
      <c r="B383" s="961" t="s">
        <v>649</v>
      </c>
    </row>
    <row r="384" spans="2:2">
      <c r="B384" s="961" t="s">
        <v>665</v>
      </c>
    </row>
    <row r="385" spans="2:2">
      <c r="B385" s="961" t="s">
        <v>666</v>
      </c>
    </row>
    <row r="386" spans="2:2">
      <c r="B386" s="961" t="s">
        <v>649</v>
      </c>
    </row>
    <row r="387" spans="2:2">
      <c r="B387" s="961" t="s">
        <v>667</v>
      </c>
    </row>
    <row r="388" spans="2:2">
      <c r="B388" s="961" t="s">
        <v>668</v>
      </c>
    </row>
    <row r="389" spans="2:2">
      <c r="B389" s="961" t="s">
        <v>649</v>
      </c>
    </row>
    <row r="390" spans="2:2">
      <c r="B390" s="961" t="s">
        <v>669</v>
      </c>
    </row>
    <row r="391" spans="2:2">
      <c r="B391" s="961" t="s">
        <v>670</v>
      </c>
    </row>
    <row r="392" spans="2:2">
      <c r="B392" s="961" t="s">
        <v>671</v>
      </c>
    </row>
    <row r="393" spans="2:2">
      <c r="B393" s="961" t="s">
        <v>649</v>
      </c>
    </row>
    <row r="394" spans="2:2">
      <c r="B394" s="961" t="s">
        <v>672</v>
      </c>
    </row>
    <row r="395" spans="2:2">
      <c r="B395" s="961" t="s">
        <v>673</v>
      </c>
    </row>
    <row r="396" spans="2:2">
      <c r="B396" s="961" t="s">
        <v>649</v>
      </c>
    </row>
    <row r="397" spans="2:2">
      <c r="B397" s="961" t="s">
        <v>674</v>
      </c>
    </row>
    <row r="398" spans="2:2">
      <c r="B398" s="961" t="s">
        <v>675</v>
      </c>
    </row>
    <row r="399" spans="2:2">
      <c r="B399" s="961" t="s">
        <v>676</v>
      </c>
    </row>
    <row r="400" spans="2:2">
      <c r="B400" s="961" t="s">
        <v>649</v>
      </c>
    </row>
    <row r="401" spans="2:2">
      <c r="B401" s="961"/>
    </row>
    <row r="402" spans="2:2">
      <c r="B402" s="961"/>
    </row>
    <row r="403" spans="2:2">
      <c r="B403" s="969"/>
    </row>
    <row r="404" spans="2:2">
      <c r="B404" s="970"/>
    </row>
    <row r="405" spans="2:2">
      <c r="B405" s="970"/>
    </row>
    <row r="406" spans="2:2">
      <c r="B406" s="970"/>
    </row>
    <row r="407" spans="2:2">
      <c r="B407" s="969"/>
    </row>
  </sheetData>
  <hyperlinks>
    <hyperlink ref="B6" location="_Toc176344442" display="_Toc176344442" xr:uid="{DD5018C3-30F2-41C1-B18B-CBAD9424704E}"/>
    <hyperlink ref="C6" location="_Toc176344442" display="_Toc176344442" xr:uid="{6D70A217-B53B-48C2-A1B0-CD0A2A509745}"/>
    <hyperlink ref="D6" location="_Toc176344442" display="_Toc176344442" xr:uid="{8C2EECD8-CC99-4040-8E94-D6CCF7EC3C16}"/>
    <hyperlink ref="B7" location="_Toc176344443" display="_Toc176344443" xr:uid="{782B30D9-4D32-4058-8807-63DC0BBFDC19}"/>
    <hyperlink ref="C7" location="_Toc176344443" display="_Toc176344443" xr:uid="{C81F50FD-A10E-459C-808A-C9AA00807D6F}"/>
    <hyperlink ref="D7" location="_Toc176344443" display="_Toc176344443" xr:uid="{B870594F-C9EF-412A-9C61-6449EBC8E371}"/>
    <hyperlink ref="B8" location="_Toc176344444" display="_Toc176344444" xr:uid="{54669D5D-8988-4221-AFFC-4DC6933C81B8}"/>
    <hyperlink ref="C8" location="_Toc176344444" display="_Toc176344444" xr:uid="{178D9742-5612-4DE3-BD2B-DDD21CC8FC17}"/>
    <hyperlink ref="D8" location="_Toc176344444" display="_Toc176344444" xr:uid="{A1E7369A-00DF-42D9-ACAD-9E203C867A3C}"/>
    <hyperlink ref="B9" location="_Toc176344445" display="_Toc176344445" xr:uid="{E09C0CC2-04AD-4B0A-936A-EFCCA197C9C8}"/>
    <hyperlink ref="C9" location="_Toc176344445" display="_Toc176344445" xr:uid="{2876ABC8-9F4D-4595-BEDD-B6E84D63AD9F}"/>
    <hyperlink ref="D9" location="_Toc176344445" display="_Toc176344445" xr:uid="{C699031B-A7E2-4409-A2DB-6DB941A9674B}"/>
    <hyperlink ref="B10" location="_Toc176344446" display="_Toc176344446" xr:uid="{572C1B8C-BBE6-497A-895B-0699C7910F2A}"/>
    <hyperlink ref="C10" location="_Toc176344446" display="_Toc176344446" xr:uid="{D9A77131-765F-43E6-BC6A-7721F2597195}"/>
    <hyperlink ref="D10" location="_Toc176344446" display="_Toc176344446" xr:uid="{8D386535-AE2F-4BC3-BE7B-B40DCC11C82A}"/>
    <hyperlink ref="B11" location="_Toc176344447" display="_Toc176344447" xr:uid="{33793DC3-54FC-4A43-A3C1-4C34DB29B670}"/>
    <hyperlink ref="C11" location="_Toc176344447" display="_Toc176344447" xr:uid="{E6B2E498-8298-4F37-8D0E-1BB8D2BE72F8}"/>
    <hyperlink ref="D11" location="_Toc176344447" display="_Toc176344447" xr:uid="{90FAAD08-FF84-4221-A510-2529AAE56B39}"/>
    <hyperlink ref="B12" location="_Toc176344448" display="_Toc176344448" xr:uid="{B468753E-D577-4658-8E4B-09BFEF5FFB10}"/>
    <hyperlink ref="C12" location="_Toc176344448" display="_Toc176344448" xr:uid="{94D065BF-9E7D-40F7-9208-D73C4258E241}"/>
    <hyperlink ref="D12" location="_Toc176344448" display="_Toc176344448" xr:uid="{89CC92CC-CAA3-4D4A-AD26-1605526C5C61}"/>
    <hyperlink ref="B13" location="_Toc176344449" display="_Toc176344449" xr:uid="{3EA5F1CA-5407-4160-9196-CB18CBDEE5F6}"/>
    <hyperlink ref="C13" location="_Toc176344449" display="_Toc176344449" xr:uid="{BF2755D5-48DE-427F-AFFB-83979A0DAD69}"/>
    <hyperlink ref="D13" location="_Toc176344449" display="_Toc176344449" xr:uid="{30526FE3-5552-4BE5-926C-934EAA0F6675}"/>
    <hyperlink ref="B14" location="_Toc176344450" display="_Toc176344450" xr:uid="{C0F9F807-4D48-4267-9943-9C6C183D3798}"/>
    <hyperlink ref="C14" location="_Toc176344450" display="_Toc176344450" xr:uid="{CACB6C02-67BE-4AE0-8DC9-9FDFDAD45CC4}"/>
    <hyperlink ref="D14" location="_Toc176344450" display="_Toc176344450" xr:uid="{2572D649-9261-4C5F-8317-BC299F6934C5}"/>
    <hyperlink ref="B15" location="_Toc176344451" display="_Toc176344451" xr:uid="{1DF2B736-1872-4F87-A2FE-33E1A2515A96}"/>
    <hyperlink ref="C15" location="_Toc176344451" display="_Toc176344451" xr:uid="{E9DCCB8E-4717-4712-99E8-0533EE9BB815}"/>
    <hyperlink ref="B43" r:id="rId1" display="https://check-long-term-flood-risk.service.gov.uk/risk" xr:uid="{08D0B959-8BDB-4888-BBF8-A4F20370E2C9}"/>
    <hyperlink ref="B44" r:id="rId2" location=":~:text=Zone%201%20has%20the%20lowest,underpinned%20by%20historical%20flood%20records" display="https://urban-water.co.uk/flood-zones/ - :~:text=Zone%201%20has%20the%20lowest,underpinned%20by%20historical%20flood%20records" xr:uid="{67F49EF0-294F-427B-979E-C099BA293739}"/>
    <hyperlink ref="B73" r:id="rId3" location="why-you-need-to-plan-for-climate-change-impacts" display="https://www.gov.uk/guidance/climate-change-risk-assessment-and-adaptation-planning-in-your-management-system - why-you-need-to-plan-for-climate-change-impacts" xr:uid="{EF8BCA3F-43E3-4417-A3F0-7862A5D0920A}"/>
    <hyperlink ref="B77" r:id="rId4" display="https://uk-cri.org/" xr:uid="{B28D8F48-88C9-4005-B3CC-B5ECF7934FD2}"/>
    <hyperlink ref="B199" r:id="rId5" display="https://www.gov.uk/government/publications/preparing-for-flooding-a-guide-for-regulated-sites" xr:uid="{0315E02B-2F4B-4FAE-80BE-A316406DCEF8}"/>
  </hyperlinks>
  <pageMargins left="0.7" right="0.7" top="0.75" bottom="0.75" header="0.3" footer="0.3"/>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BB943-D4C0-4395-825C-04F3F71F9C57}">
  <sheetPr>
    <tabColor theme="4"/>
  </sheetPr>
  <dimension ref="A1:H16"/>
  <sheetViews>
    <sheetView zoomScale="53" zoomScaleNormal="85" workbookViewId="0">
      <selection activeCell="AA9" sqref="AA9"/>
    </sheetView>
  </sheetViews>
  <sheetFormatPr defaultRowHeight="15"/>
  <sheetData>
    <row r="1" spans="1:8">
      <c r="A1" s="788" t="s">
        <v>292</v>
      </c>
      <c r="B1" s="789" t="s">
        <v>291</v>
      </c>
    </row>
    <row r="3" spans="1:8">
      <c r="H3" t="s">
        <v>802</v>
      </c>
    </row>
    <row r="4" spans="1:8">
      <c r="H4" s="1007"/>
    </row>
    <row r="16" spans="1:8">
      <c r="A16" t="s">
        <v>733</v>
      </c>
    </row>
  </sheetData>
  <hyperlinks>
    <hyperlink ref="B1" r:id="rId1" display="https://coastal.climatecentral.org/map/11/-2.9581/51.5639/?theme=sea_level_rise&amp;map_type=year&amp;basemap=roadmap&amp;contiguous=true&amp;elevation_model=best_available&amp;forecast_year=2100&amp;pathway=rcp45&amp;percentile=p50&amp;refresh=true&amp;return_level=return_level_0&amp;rl_model=coast_rp&amp;slr_model=kopp_2017" xr:uid="{77DFF59A-E5CE-422D-B1BD-CA7A10A73875}"/>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14257-A779-4DBD-AA68-6CC123C69539}">
  <sheetPr>
    <tabColor rgb="FF002060"/>
  </sheetPr>
  <dimension ref="A1:CN48"/>
  <sheetViews>
    <sheetView zoomScale="43" workbookViewId="0">
      <selection activeCell="P25" sqref="P25"/>
    </sheetView>
  </sheetViews>
  <sheetFormatPr defaultRowHeight="15"/>
  <cols>
    <col min="2" max="2" width="27.140625" bestFit="1" customWidth="1"/>
    <col min="3" max="3" width="14" customWidth="1"/>
    <col min="4" max="4" width="10.42578125" customWidth="1"/>
    <col min="5" max="5" width="11.85546875" customWidth="1"/>
    <col min="6" max="6" width="10.85546875" customWidth="1"/>
    <col min="7" max="9" width="12.7109375" customWidth="1"/>
    <col min="10" max="11" width="18" customWidth="1"/>
    <col min="12" max="14" width="16.85546875" customWidth="1"/>
    <col min="15" max="16" width="19.140625" customWidth="1"/>
    <col min="17" max="19" width="12.7109375" customWidth="1"/>
    <col min="20" max="21" width="16.85546875" customWidth="1"/>
    <col min="22" max="24" width="12.7109375" customWidth="1"/>
    <col min="25" max="26" width="18.42578125" customWidth="1"/>
    <col min="27" max="27" width="10.5703125" customWidth="1"/>
    <col min="28" max="29" width="9.7109375" customWidth="1"/>
    <col min="30" max="31" width="16.5703125" customWidth="1"/>
    <col min="32" max="32" width="9.85546875" customWidth="1"/>
    <col min="33" max="34" width="9.140625" customWidth="1"/>
    <col min="35" max="36" width="15.85546875" customWidth="1"/>
    <col min="37" max="37" width="10.85546875" customWidth="1"/>
    <col min="38" max="39" width="10.140625" customWidth="1"/>
    <col min="40" max="41" width="16.85546875" customWidth="1"/>
    <col min="42" max="42" width="11" customWidth="1"/>
    <col min="43" max="44" width="10.140625" customWidth="1"/>
    <col min="45" max="46" width="17.140625" customWidth="1"/>
    <col min="47" max="47" width="12" customWidth="1"/>
    <col min="48" max="49" width="11.140625" customWidth="1"/>
    <col min="50" max="51" width="18" customWidth="1"/>
    <col min="52" max="52" width="11.85546875" customWidth="1"/>
    <col min="53" max="54" width="11" customWidth="1"/>
    <col min="55" max="56" width="17.85546875" customWidth="1"/>
    <col min="57" max="57" width="12.7109375" customWidth="1"/>
    <col min="58" max="59" width="12" customWidth="1"/>
    <col min="60" max="61" width="18.85546875" customWidth="1"/>
    <col min="62" max="62" width="10.5703125" customWidth="1"/>
    <col min="63" max="64" width="9.7109375" customWidth="1"/>
    <col min="65" max="66" width="16.5703125" customWidth="1"/>
    <col min="67" max="67" width="14.85546875" customWidth="1"/>
    <col min="68" max="68" width="15.140625" customWidth="1"/>
    <col min="69" max="69" width="15.85546875" customWidth="1"/>
    <col min="70" max="71" width="10.140625" customWidth="1"/>
    <col min="72" max="72" width="16.85546875" customWidth="1"/>
    <col min="73" max="74" width="7.140625" customWidth="1"/>
    <col min="75" max="75" width="16.7109375" customWidth="1"/>
    <col min="76" max="76" width="10.5703125" bestFit="1" customWidth="1"/>
    <col min="77" max="77" width="10.42578125" bestFit="1" customWidth="1"/>
    <col min="78" max="80" width="14.140625" customWidth="1"/>
    <col min="81" max="81" width="27.42578125" customWidth="1"/>
    <col min="82" max="82" width="19" customWidth="1"/>
    <col min="83" max="83" width="24.42578125" customWidth="1"/>
    <col min="84" max="84" width="13.85546875" customWidth="1"/>
    <col min="85" max="86" width="25.42578125" customWidth="1"/>
    <col min="87" max="87" width="107.140625" style="2" customWidth="1"/>
    <col min="88" max="88" width="91" style="2" customWidth="1"/>
    <col min="89" max="89" width="26.85546875" customWidth="1"/>
    <col min="90" max="90" width="34.28515625" customWidth="1"/>
    <col min="92" max="92" width="27.140625" bestFit="1" customWidth="1"/>
  </cols>
  <sheetData>
    <row r="1" spans="1:92">
      <c r="H1" s="1"/>
      <c r="I1" s="1"/>
      <c r="J1" s="1"/>
      <c r="K1" s="1"/>
      <c r="M1" s="1"/>
      <c r="N1" s="1"/>
      <c r="O1" s="1"/>
      <c r="P1" s="1"/>
      <c r="R1" s="1"/>
      <c r="S1" s="1"/>
      <c r="T1" s="1"/>
      <c r="U1" s="1"/>
      <c r="W1" s="1"/>
      <c r="X1" s="1"/>
      <c r="Y1" s="1"/>
      <c r="Z1" s="1"/>
      <c r="AB1" s="1"/>
      <c r="AC1" s="1"/>
      <c r="AD1" s="1"/>
      <c r="AE1" s="1"/>
      <c r="AG1" s="1"/>
      <c r="AH1" s="1"/>
      <c r="AI1" s="1"/>
      <c r="AJ1" s="1"/>
      <c r="AL1" s="1"/>
      <c r="AM1" s="1"/>
      <c r="AN1" s="1"/>
      <c r="AO1" s="1"/>
      <c r="AQ1" s="1"/>
      <c r="AR1" s="1"/>
      <c r="AS1" s="1"/>
      <c r="AT1" s="1"/>
      <c r="AV1" s="1"/>
      <c r="AW1" s="1"/>
      <c r="AX1" s="1"/>
      <c r="AY1" s="1"/>
      <c r="BA1" s="1"/>
      <c r="BB1" s="1"/>
      <c r="BC1" s="1"/>
      <c r="BD1" s="1"/>
      <c r="BF1" s="1"/>
      <c r="BG1" s="1"/>
      <c r="BH1" s="1"/>
      <c r="BI1" s="1"/>
      <c r="BK1" s="1"/>
      <c r="BL1" s="1"/>
      <c r="BM1" s="1"/>
      <c r="BN1" s="1"/>
      <c r="CL1" s="3" t="s">
        <v>29</v>
      </c>
    </row>
    <row r="2" spans="1:92" ht="15.75" thickBot="1">
      <c r="A2" s="4"/>
      <c r="H2" s="1"/>
      <c r="I2" s="1"/>
      <c r="J2" s="1"/>
      <c r="K2" s="1"/>
      <c r="M2" s="1"/>
      <c r="N2" s="1"/>
      <c r="O2" s="1"/>
      <c r="P2" s="1"/>
      <c r="R2" s="1"/>
      <c r="S2" s="1"/>
      <c r="T2" s="1"/>
      <c r="U2" s="1"/>
      <c r="W2" s="1"/>
      <c r="X2" s="1"/>
      <c r="Y2" s="1"/>
      <c r="Z2" s="1"/>
      <c r="AB2" s="1"/>
      <c r="AC2" s="1"/>
      <c r="AD2" s="1"/>
      <c r="AE2" s="1"/>
      <c r="AG2" s="1"/>
      <c r="AH2" s="1"/>
      <c r="AI2" s="1"/>
      <c r="AJ2" s="1"/>
      <c r="AL2" s="1"/>
      <c r="AM2" s="1"/>
      <c r="AN2" s="1"/>
      <c r="AO2" s="1"/>
      <c r="AQ2" s="1"/>
      <c r="AR2" s="1"/>
      <c r="AS2" s="1"/>
      <c r="AT2" s="1"/>
      <c r="AV2" s="1"/>
      <c r="AW2" s="1"/>
      <c r="AX2" s="1"/>
      <c r="AY2" s="1"/>
      <c r="BA2" s="1"/>
      <c r="BB2" s="1"/>
      <c r="BC2" s="1"/>
      <c r="BD2" s="1"/>
      <c r="BF2" s="1"/>
      <c r="BG2" s="1"/>
      <c r="BH2" s="1"/>
      <c r="BI2" s="1"/>
      <c r="BK2" s="1"/>
      <c r="BL2" s="1"/>
      <c r="BM2" s="1"/>
      <c r="BN2" s="1"/>
      <c r="CC2" s="5"/>
      <c r="CD2" s="5"/>
      <c r="CE2" s="5"/>
      <c r="CF2" s="5"/>
      <c r="CL2" s="6" t="s">
        <v>30</v>
      </c>
      <c r="CM2" s="4"/>
    </row>
    <row r="3" spans="1:92">
      <c r="A3" s="7"/>
      <c r="B3" s="7"/>
      <c r="C3" s="7"/>
      <c r="D3" s="7"/>
      <c r="E3" s="7"/>
      <c r="F3" s="7"/>
      <c r="G3" s="8" t="s">
        <v>31</v>
      </c>
      <c r="H3" s="9"/>
      <c r="I3" s="9"/>
      <c r="J3" s="9"/>
      <c r="K3" s="10"/>
      <c r="L3" s="11" t="s">
        <v>32</v>
      </c>
      <c r="M3" s="12"/>
      <c r="N3" s="12"/>
      <c r="O3" s="12"/>
      <c r="P3" s="13"/>
      <c r="Q3" s="14" t="s">
        <v>33</v>
      </c>
      <c r="R3" s="15"/>
      <c r="S3" s="15"/>
      <c r="T3" s="15"/>
      <c r="U3" s="16"/>
      <c r="V3" s="17" t="s">
        <v>34</v>
      </c>
      <c r="W3" s="18"/>
      <c r="X3" s="18"/>
      <c r="Y3" s="18"/>
      <c r="Z3" s="19"/>
      <c r="AA3" s="20" t="s">
        <v>35</v>
      </c>
      <c r="AB3" s="21"/>
      <c r="AC3" s="21"/>
      <c r="AD3" s="21"/>
      <c r="AE3" s="22"/>
      <c r="AF3" s="23" t="s">
        <v>36</v>
      </c>
      <c r="AG3" s="24"/>
      <c r="AH3" s="24"/>
      <c r="AI3" s="24"/>
      <c r="AJ3" s="25"/>
      <c r="AK3" s="26" t="s">
        <v>37</v>
      </c>
      <c r="AL3" s="27"/>
      <c r="AM3" s="27"/>
      <c r="AN3" s="27"/>
      <c r="AO3" s="28"/>
      <c r="AP3" s="29" t="s">
        <v>38</v>
      </c>
      <c r="AQ3" s="30"/>
      <c r="AR3" s="30"/>
      <c r="AS3" s="30"/>
      <c r="AT3" s="31"/>
      <c r="AU3" s="32" t="s">
        <v>39</v>
      </c>
      <c r="AV3" s="33"/>
      <c r="AW3" s="33"/>
      <c r="AX3" s="33"/>
      <c r="AY3" s="34"/>
      <c r="AZ3" s="35" t="s">
        <v>40</v>
      </c>
      <c r="BA3" s="36"/>
      <c r="BB3" s="36"/>
      <c r="BC3" s="36"/>
      <c r="BD3" s="37"/>
      <c r="BE3" s="38" t="s">
        <v>41</v>
      </c>
      <c r="BF3" s="39"/>
      <c r="BG3" s="39"/>
      <c r="BH3" s="39"/>
      <c r="BI3" s="40"/>
      <c r="BJ3" s="41" t="s">
        <v>42</v>
      </c>
      <c r="BK3" s="42"/>
      <c r="BL3" s="42"/>
      <c r="BM3" s="42"/>
      <c r="BN3" s="43"/>
      <c r="BO3" s="1014" t="s">
        <v>43</v>
      </c>
      <c r="BP3" s="1015"/>
      <c r="BQ3" s="1016"/>
      <c r="BR3" s="44" t="s">
        <v>44</v>
      </c>
      <c r="BS3" s="45"/>
      <c r="BT3" s="45"/>
      <c r="BU3" s="46" t="s">
        <v>45</v>
      </c>
      <c r="BV3" s="47"/>
      <c r="BW3" s="48"/>
      <c r="BX3" s="1017" t="s">
        <v>46</v>
      </c>
      <c r="BY3" s="1018"/>
      <c r="BZ3" s="1019" t="s">
        <v>47</v>
      </c>
      <c r="CA3" s="1020"/>
      <c r="CB3" s="1021"/>
      <c r="CC3" s="49"/>
      <c r="CD3" s="50" t="s">
        <v>48</v>
      </c>
      <c r="CE3" s="50"/>
      <c r="CF3" s="51"/>
      <c r="CG3" s="52" t="s">
        <v>49</v>
      </c>
      <c r="CH3" s="53"/>
      <c r="CI3" s="53"/>
      <c r="CJ3" s="53" t="s">
        <v>50</v>
      </c>
      <c r="CK3" s="53"/>
      <c r="CL3" s="54"/>
      <c r="CM3" s="7"/>
      <c r="CN3" s="7"/>
    </row>
    <row r="4" spans="1:92" s="57" customFormat="1" ht="15.75" thickBot="1">
      <c r="A4" s="819" t="s">
        <v>51</v>
      </c>
      <c r="B4" s="819" t="s">
        <v>52</v>
      </c>
      <c r="C4" s="819" t="s">
        <v>53</v>
      </c>
      <c r="D4" s="819" t="s">
        <v>54</v>
      </c>
      <c r="E4" s="819" t="s">
        <v>55</v>
      </c>
      <c r="F4" s="841" t="s">
        <v>56</v>
      </c>
      <c r="G4" s="820" t="s">
        <v>57</v>
      </c>
      <c r="H4" s="821" t="s">
        <v>58</v>
      </c>
      <c r="I4" s="821" t="s">
        <v>59</v>
      </c>
      <c r="J4" s="822" t="s">
        <v>60</v>
      </c>
      <c r="K4" s="823" t="s">
        <v>61</v>
      </c>
      <c r="L4" s="820" t="s">
        <v>62</v>
      </c>
      <c r="M4" s="821" t="s">
        <v>63</v>
      </c>
      <c r="N4" s="821" t="s">
        <v>64</v>
      </c>
      <c r="O4" s="822" t="s">
        <v>687</v>
      </c>
      <c r="P4" s="823" t="s">
        <v>688</v>
      </c>
      <c r="Q4" s="820" t="s">
        <v>65</v>
      </c>
      <c r="R4" s="821" t="s">
        <v>66</v>
      </c>
      <c r="S4" s="821" t="s">
        <v>67</v>
      </c>
      <c r="T4" s="822" t="s">
        <v>68</v>
      </c>
      <c r="U4" s="823" t="s">
        <v>69</v>
      </c>
      <c r="V4" s="820" t="s">
        <v>70</v>
      </c>
      <c r="W4" s="821" t="s">
        <v>71</v>
      </c>
      <c r="X4" s="821" t="s">
        <v>72</v>
      </c>
      <c r="Y4" s="822" t="s">
        <v>73</v>
      </c>
      <c r="Z4" s="823" t="s">
        <v>74</v>
      </c>
      <c r="AA4" s="820" t="s">
        <v>75</v>
      </c>
      <c r="AB4" s="821" t="s">
        <v>76</v>
      </c>
      <c r="AC4" s="821" t="s">
        <v>77</v>
      </c>
      <c r="AD4" s="822" t="s">
        <v>78</v>
      </c>
      <c r="AE4" s="823" t="s">
        <v>79</v>
      </c>
      <c r="AF4" s="820" t="s">
        <v>80</v>
      </c>
      <c r="AG4" s="821" t="s">
        <v>81</v>
      </c>
      <c r="AH4" s="821" t="s">
        <v>82</v>
      </c>
      <c r="AI4" s="822" t="s">
        <v>83</v>
      </c>
      <c r="AJ4" s="823" t="s">
        <v>84</v>
      </c>
      <c r="AK4" s="820" t="s">
        <v>85</v>
      </c>
      <c r="AL4" s="821" t="s">
        <v>86</v>
      </c>
      <c r="AM4" s="821" t="s">
        <v>87</v>
      </c>
      <c r="AN4" s="822" t="s">
        <v>88</v>
      </c>
      <c r="AO4" s="823" t="s">
        <v>89</v>
      </c>
      <c r="AP4" s="820" t="s">
        <v>90</v>
      </c>
      <c r="AQ4" s="821" t="s">
        <v>91</v>
      </c>
      <c r="AR4" s="821" t="s">
        <v>92</v>
      </c>
      <c r="AS4" s="822" t="s">
        <v>93</v>
      </c>
      <c r="AT4" s="823" t="s">
        <v>94</v>
      </c>
      <c r="AU4" s="820" t="s">
        <v>95</v>
      </c>
      <c r="AV4" s="821" t="s">
        <v>96</v>
      </c>
      <c r="AW4" s="821" t="s">
        <v>97</v>
      </c>
      <c r="AX4" s="822" t="s">
        <v>98</v>
      </c>
      <c r="AY4" s="823" t="s">
        <v>99</v>
      </c>
      <c r="AZ4" s="820" t="s">
        <v>100</v>
      </c>
      <c r="BA4" s="821" t="s">
        <v>101</v>
      </c>
      <c r="BB4" s="821" t="s">
        <v>102</v>
      </c>
      <c r="BC4" s="822" t="s">
        <v>103</v>
      </c>
      <c r="BD4" s="823" t="s">
        <v>104</v>
      </c>
      <c r="BE4" s="820" t="s">
        <v>105</v>
      </c>
      <c r="BF4" s="821" t="s">
        <v>106</v>
      </c>
      <c r="BG4" s="821" t="s">
        <v>107</v>
      </c>
      <c r="BH4" s="822" t="s">
        <v>108</v>
      </c>
      <c r="BI4" s="823" t="s">
        <v>109</v>
      </c>
      <c r="BJ4" s="820" t="s">
        <v>110</v>
      </c>
      <c r="BK4" s="821" t="s">
        <v>111</v>
      </c>
      <c r="BL4" s="821" t="s">
        <v>112</v>
      </c>
      <c r="BM4" s="822" t="s">
        <v>113</v>
      </c>
      <c r="BN4" s="824" t="s">
        <v>114</v>
      </c>
      <c r="BO4" s="825" t="s">
        <v>115</v>
      </c>
      <c r="BP4" s="842" t="s">
        <v>116</v>
      </c>
      <c r="BQ4" s="824" t="s">
        <v>117</v>
      </c>
      <c r="BR4" s="841" t="s">
        <v>118</v>
      </c>
      <c r="BS4" s="841" t="s">
        <v>119</v>
      </c>
      <c r="BT4" s="823" t="s">
        <v>120</v>
      </c>
      <c r="BU4" s="825" t="s">
        <v>25</v>
      </c>
      <c r="BV4" s="841" t="s">
        <v>689</v>
      </c>
      <c r="BW4" s="824" t="s">
        <v>121</v>
      </c>
      <c r="BX4" s="825" t="s">
        <v>690</v>
      </c>
      <c r="BY4" s="826" t="s">
        <v>122</v>
      </c>
      <c r="BZ4" s="843" t="s">
        <v>691</v>
      </c>
      <c r="CA4" s="827" t="s">
        <v>123</v>
      </c>
      <c r="CB4" s="828" t="s">
        <v>692</v>
      </c>
      <c r="CC4" s="829" t="s">
        <v>124</v>
      </c>
      <c r="CD4" s="830" t="s">
        <v>125</v>
      </c>
      <c r="CE4" s="831" t="s">
        <v>126</v>
      </c>
      <c r="CF4" s="832" t="s">
        <v>127</v>
      </c>
      <c r="CG4" s="844" t="s">
        <v>693</v>
      </c>
      <c r="CH4" s="833" t="s">
        <v>128</v>
      </c>
      <c r="CI4" s="833" t="s">
        <v>129</v>
      </c>
      <c r="CJ4" s="833" t="s">
        <v>130</v>
      </c>
      <c r="CK4" s="834" t="s">
        <v>131</v>
      </c>
      <c r="CL4" s="56"/>
      <c r="CM4" s="55" t="s">
        <v>51</v>
      </c>
      <c r="CN4" s="55" t="s">
        <v>52</v>
      </c>
    </row>
    <row r="5" spans="1:92" ht="15.75" thickBot="1">
      <c r="A5" s="58">
        <v>1190</v>
      </c>
      <c r="B5" s="845" t="s">
        <v>201</v>
      </c>
      <c r="C5" s="845" t="s">
        <v>694</v>
      </c>
      <c r="D5" s="845">
        <v>51.26</v>
      </c>
      <c r="E5" s="845">
        <v>-0.73</v>
      </c>
      <c r="F5" s="59">
        <v>238</v>
      </c>
      <c r="G5" s="558">
        <v>0.3</v>
      </c>
      <c r="H5" s="101">
        <v>0.7</v>
      </c>
      <c r="I5" s="276">
        <v>4.7</v>
      </c>
      <c r="J5" s="239">
        <v>0.5</v>
      </c>
      <c r="K5" s="734">
        <v>4.4000000000000004</v>
      </c>
      <c r="L5" s="427">
        <v>32.01</v>
      </c>
      <c r="M5" s="329">
        <v>35.58</v>
      </c>
      <c r="N5" s="501">
        <v>39.619999999999997</v>
      </c>
      <c r="O5" s="61">
        <v>3.6</v>
      </c>
      <c r="P5" s="93">
        <v>7.6</v>
      </c>
      <c r="Q5" s="94">
        <v>17.399999999999999</v>
      </c>
      <c r="R5" s="735">
        <v>19.66</v>
      </c>
      <c r="S5" s="717">
        <v>22.04</v>
      </c>
      <c r="T5" s="584">
        <v>2.2999999999999998</v>
      </c>
      <c r="U5" s="410">
        <v>4.5999999999999996</v>
      </c>
      <c r="V5" s="578">
        <v>30.1</v>
      </c>
      <c r="W5" s="146">
        <v>42.2</v>
      </c>
      <c r="X5" s="736">
        <v>76.5</v>
      </c>
      <c r="Y5" s="203">
        <v>12.1</v>
      </c>
      <c r="Z5" s="737">
        <v>46.4</v>
      </c>
      <c r="AA5" s="685">
        <v>1.3</v>
      </c>
      <c r="AB5" s="738">
        <v>0.9</v>
      </c>
      <c r="AC5" s="739">
        <v>0.1</v>
      </c>
      <c r="AD5" s="329">
        <v>-0.4</v>
      </c>
      <c r="AE5" s="488">
        <v>-1.1000000000000001</v>
      </c>
      <c r="AF5" s="245">
        <v>0.27</v>
      </c>
      <c r="AG5" s="275">
        <v>1.03</v>
      </c>
      <c r="AH5" s="713">
        <v>5.7</v>
      </c>
      <c r="AI5" s="574">
        <v>0.8</v>
      </c>
      <c r="AJ5" s="201">
        <v>5.4</v>
      </c>
      <c r="AK5" s="846">
        <v>1.2</v>
      </c>
      <c r="AL5" s="386">
        <v>1.9</v>
      </c>
      <c r="AM5" s="847">
        <v>5.23</v>
      </c>
      <c r="AN5" s="288">
        <v>0.7</v>
      </c>
      <c r="AO5" s="93">
        <v>3.3</v>
      </c>
      <c r="AP5" s="632">
        <v>8</v>
      </c>
      <c r="AQ5" s="90">
        <v>7</v>
      </c>
      <c r="AR5" s="91">
        <v>5</v>
      </c>
      <c r="AS5" s="61">
        <v>-1</v>
      </c>
      <c r="AT5" s="92">
        <v>-2</v>
      </c>
      <c r="AU5" s="89">
        <v>11</v>
      </c>
      <c r="AV5" s="61">
        <v>11</v>
      </c>
      <c r="AW5" s="61">
        <v>11</v>
      </c>
      <c r="AX5" s="91">
        <v>0</v>
      </c>
      <c r="AY5" s="93">
        <v>0</v>
      </c>
      <c r="AZ5" s="154">
        <v>45</v>
      </c>
      <c r="BA5" s="61">
        <v>61</v>
      </c>
      <c r="BB5" s="389">
        <v>52</v>
      </c>
      <c r="BC5" s="516">
        <v>16</v>
      </c>
      <c r="BD5" s="103">
        <v>7</v>
      </c>
      <c r="BE5" s="740">
        <v>46</v>
      </c>
      <c r="BF5" s="61">
        <v>42</v>
      </c>
      <c r="BG5" s="741">
        <v>54</v>
      </c>
      <c r="BH5" s="149">
        <v>-4</v>
      </c>
      <c r="BI5" s="103">
        <v>8</v>
      </c>
      <c r="BJ5" s="848">
        <v>25</v>
      </c>
      <c r="BK5" s="161">
        <v>38.299999999999997</v>
      </c>
      <c r="BL5" s="565">
        <v>67.099999999999994</v>
      </c>
      <c r="BM5" s="436">
        <v>13</v>
      </c>
      <c r="BN5" s="708">
        <v>41.9</v>
      </c>
      <c r="BO5" s="466">
        <v>-1.048</v>
      </c>
      <c r="BP5" s="835">
        <v>-11.265000000000001</v>
      </c>
      <c r="BQ5" s="639">
        <v>-10.199999999999999</v>
      </c>
      <c r="BR5" s="721">
        <v>25</v>
      </c>
      <c r="BS5" s="722">
        <v>46</v>
      </c>
      <c r="BT5" s="678">
        <v>21</v>
      </c>
      <c r="BU5" s="640">
        <v>-7.806</v>
      </c>
      <c r="BV5" s="641">
        <v>-79.765000000000001</v>
      </c>
      <c r="BW5" s="642">
        <v>-72</v>
      </c>
      <c r="BX5" s="116" t="s">
        <v>133</v>
      </c>
      <c r="BY5" s="117" t="s">
        <v>133</v>
      </c>
      <c r="BZ5" s="118" t="s">
        <v>134</v>
      </c>
      <c r="CA5" s="119" t="s">
        <v>134</v>
      </c>
      <c r="CB5" s="120" t="s">
        <v>134</v>
      </c>
      <c r="CC5" s="121" t="s">
        <v>136</v>
      </c>
      <c r="CD5" s="122" t="s">
        <v>137</v>
      </c>
      <c r="CE5" s="122" t="s">
        <v>135</v>
      </c>
      <c r="CF5" s="123" t="s">
        <v>138</v>
      </c>
      <c r="CG5" s="124" t="s">
        <v>139</v>
      </c>
      <c r="CH5" s="54"/>
      <c r="CI5" s="125" t="s">
        <v>194</v>
      </c>
      <c r="CJ5" s="125" t="s">
        <v>28</v>
      </c>
      <c r="CK5" s="818" t="s">
        <v>28</v>
      </c>
      <c r="CL5" s="54"/>
      <c r="CM5" s="126">
        <v>1128</v>
      </c>
      <c r="CN5" s="127" t="s">
        <v>141</v>
      </c>
    </row>
    <row r="6" spans="1:92">
      <c r="A6" s="58">
        <v>1115</v>
      </c>
      <c r="B6" s="845" t="s">
        <v>132</v>
      </c>
      <c r="C6" s="845" t="s">
        <v>695</v>
      </c>
      <c r="D6" s="845">
        <v>53.09</v>
      </c>
      <c r="E6" s="845">
        <v>-1.35</v>
      </c>
      <c r="F6" s="59">
        <v>830</v>
      </c>
      <c r="G6" s="60">
        <v>0.2</v>
      </c>
      <c r="H6" s="61">
        <v>0.4</v>
      </c>
      <c r="I6" s="62">
        <v>2.7</v>
      </c>
      <c r="J6" s="63">
        <v>0.2</v>
      </c>
      <c r="K6" s="64">
        <v>2.5</v>
      </c>
      <c r="L6" s="65">
        <v>30.98</v>
      </c>
      <c r="M6" s="66">
        <v>34.18</v>
      </c>
      <c r="N6" s="67">
        <v>37.93</v>
      </c>
      <c r="O6" s="68">
        <v>3.2</v>
      </c>
      <c r="P6" s="69">
        <v>6.9</v>
      </c>
      <c r="Q6" s="70">
        <v>16.29</v>
      </c>
      <c r="R6" s="71">
        <v>18.420000000000002</v>
      </c>
      <c r="S6" s="72">
        <v>20.63</v>
      </c>
      <c r="T6" s="73">
        <v>2.1</v>
      </c>
      <c r="U6" s="74">
        <v>4.3</v>
      </c>
      <c r="V6" s="75">
        <v>19.3</v>
      </c>
      <c r="W6" s="76">
        <v>28.4</v>
      </c>
      <c r="X6" s="77">
        <v>52.5</v>
      </c>
      <c r="Y6" s="78">
        <v>9.1</v>
      </c>
      <c r="Z6" s="79">
        <v>33.200000000000003</v>
      </c>
      <c r="AA6" s="80">
        <v>1</v>
      </c>
      <c r="AB6" s="81">
        <v>0.7</v>
      </c>
      <c r="AC6" s="82">
        <v>0.1</v>
      </c>
      <c r="AD6" s="83">
        <v>-0.3</v>
      </c>
      <c r="AE6" s="84">
        <v>-0.9</v>
      </c>
      <c r="AF6" s="326">
        <v>0.1</v>
      </c>
      <c r="AG6" s="239">
        <v>0.47</v>
      </c>
      <c r="AH6" s="273">
        <v>4.2</v>
      </c>
      <c r="AI6" s="85">
        <v>0.4</v>
      </c>
      <c r="AJ6" s="86">
        <v>4.0999999999999996</v>
      </c>
      <c r="AK6" s="849">
        <v>0.87</v>
      </c>
      <c r="AL6" s="850">
        <v>1.43</v>
      </c>
      <c r="AM6" s="313">
        <v>4.13</v>
      </c>
      <c r="AN6" s="87">
        <v>0.6</v>
      </c>
      <c r="AO6" s="88">
        <v>2.7</v>
      </c>
      <c r="AP6" s="89">
        <v>9</v>
      </c>
      <c r="AQ6" s="61">
        <v>9</v>
      </c>
      <c r="AR6" s="90">
        <v>7</v>
      </c>
      <c r="AS6" s="91">
        <v>0</v>
      </c>
      <c r="AT6" s="92">
        <v>-2</v>
      </c>
      <c r="AU6" s="89">
        <v>11</v>
      </c>
      <c r="AV6" s="61">
        <v>11</v>
      </c>
      <c r="AW6" s="61">
        <v>11</v>
      </c>
      <c r="AX6" s="91">
        <v>0</v>
      </c>
      <c r="AY6" s="93">
        <v>0</v>
      </c>
      <c r="AZ6" s="94">
        <v>54</v>
      </c>
      <c r="BA6" s="95">
        <v>65</v>
      </c>
      <c r="BB6" s="96">
        <v>68</v>
      </c>
      <c r="BC6" s="97">
        <v>11</v>
      </c>
      <c r="BD6" s="98">
        <v>14</v>
      </c>
      <c r="BE6" s="99">
        <v>37</v>
      </c>
      <c r="BF6" s="100">
        <v>38</v>
      </c>
      <c r="BG6" s="101">
        <v>45</v>
      </c>
      <c r="BH6" s="102">
        <v>1</v>
      </c>
      <c r="BI6" s="103">
        <v>8</v>
      </c>
      <c r="BJ6" s="851">
        <v>16</v>
      </c>
      <c r="BK6" s="104">
        <v>23.8</v>
      </c>
      <c r="BL6" s="105">
        <v>46.3</v>
      </c>
      <c r="BM6" s="106">
        <v>8.3000000000000007</v>
      </c>
      <c r="BN6" s="107">
        <v>30.8</v>
      </c>
      <c r="BO6" s="108">
        <v>-6.82</v>
      </c>
      <c r="BP6" s="599">
        <v>-28.37</v>
      </c>
      <c r="BQ6" s="109">
        <v>-21.6</v>
      </c>
      <c r="BR6" s="110">
        <v>38</v>
      </c>
      <c r="BS6" s="111">
        <v>63</v>
      </c>
      <c r="BT6" s="112">
        <v>25</v>
      </c>
      <c r="BU6" s="113">
        <v>-10.398999999999999</v>
      </c>
      <c r="BV6" s="114">
        <v>-80.960999999999999</v>
      </c>
      <c r="BW6" s="115">
        <v>-70.599999999999994</v>
      </c>
      <c r="BX6" s="173" t="s">
        <v>133</v>
      </c>
      <c r="BY6" s="174" t="s">
        <v>133</v>
      </c>
      <c r="BZ6" s="175" t="s">
        <v>134</v>
      </c>
      <c r="CA6" s="176" t="s">
        <v>134</v>
      </c>
      <c r="CB6" s="177" t="s">
        <v>134</v>
      </c>
      <c r="CC6" s="121" t="s">
        <v>135</v>
      </c>
      <c r="CD6" s="122" t="s">
        <v>136</v>
      </c>
      <c r="CE6" s="122" t="s">
        <v>137</v>
      </c>
      <c r="CF6" s="123" t="s">
        <v>138</v>
      </c>
      <c r="CG6" s="124" t="s">
        <v>139</v>
      </c>
      <c r="CH6" s="54"/>
      <c r="CI6" s="125"/>
      <c r="CJ6" s="125" t="s">
        <v>140</v>
      </c>
      <c r="CK6" s="818" t="s">
        <v>28</v>
      </c>
      <c r="CL6" s="54"/>
      <c r="CM6" s="126">
        <v>1131</v>
      </c>
      <c r="CN6" s="127" t="s">
        <v>147</v>
      </c>
    </row>
    <row r="7" spans="1:92" ht="30">
      <c r="A7" s="58">
        <v>1116</v>
      </c>
      <c r="B7" s="845" t="s">
        <v>142</v>
      </c>
      <c r="C7" s="845" t="s">
        <v>696</v>
      </c>
      <c r="D7" s="845">
        <v>51.51</v>
      </c>
      <c r="E7" s="845">
        <v>-2.7</v>
      </c>
      <c r="F7" s="59">
        <v>288</v>
      </c>
      <c r="G7" s="128">
        <v>0.1</v>
      </c>
      <c r="H7" s="61">
        <v>0.4</v>
      </c>
      <c r="I7" s="129">
        <v>2.4</v>
      </c>
      <c r="J7" s="130">
        <v>0.3</v>
      </c>
      <c r="K7" s="131">
        <v>2.2999999999999998</v>
      </c>
      <c r="L7" s="132">
        <v>30.88</v>
      </c>
      <c r="M7" s="133">
        <v>34.35</v>
      </c>
      <c r="N7" s="134">
        <v>38.1</v>
      </c>
      <c r="O7" s="135">
        <v>3.5</v>
      </c>
      <c r="P7" s="136">
        <v>7.2</v>
      </c>
      <c r="Q7" s="137">
        <v>17.47</v>
      </c>
      <c r="R7" s="138">
        <v>19.600000000000001</v>
      </c>
      <c r="S7" s="139">
        <v>21.91</v>
      </c>
      <c r="T7" s="73">
        <v>2.1</v>
      </c>
      <c r="U7" s="140">
        <v>4.4000000000000004</v>
      </c>
      <c r="V7" s="141">
        <v>19.8</v>
      </c>
      <c r="W7" s="61">
        <v>28.5</v>
      </c>
      <c r="X7" s="83">
        <v>59.2</v>
      </c>
      <c r="Y7" s="142">
        <v>8.8000000000000007</v>
      </c>
      <c r="Z7" s="143">
        <v>39.5</v>
      </c>
      <c r="AA7" s="144">
        <v>1</v>
      </c>
      <c r="AB7" s="145">
        <v>0.6</v>
      </c>
      <c r="AC7" s="82">
        <v>0.1</v>
      </c>
      <c r="AD7" s="146">
        <v>-0.4</v>
      </c>
      <c r="AE7" s="112">
        <v>-0.9</v>
      </c>
      <c r="AF7" s="346">
        <v>0.13</v>
      </c>
      <c r="AG7" s="133">
        <v>0.43</v>
      </c>
      <c r="AH7" s="852">
        <v>2.6</v>
      </c>
      <c r="AI7" s="147">
        <v>0.3</v>
      </c>
      <c r="AJ7" s="148">
        <v>2.5</v>
      </c>
      <c r="AK7" s="326">
        <v>0.97</v>
      </c>
      <c r="AL7" s="853">
        <v>1.03</v>
      </c>
      <c r="AM7" s="179">
        <v>3.3</v>
      </c>
      <c r="AN7" s="149">
        <v>0.1</v>
      </c>
      <c r="AO7" s="150">
        <v>2.2999999999999998</v>
      </c>
      <c r="AP7" s="151">
        <v>10</v>
      </c>
      <c r="AQ7" s="61">
        <v>9</v>
      </c>
      <c r="AR7" s="90">
        <v>7</v>
      </c>
      <c r="AS7" s="61">
        <v>-1</v>
      </c>
      <c r="AT7" s="92">
        <v>-2</v>
      </c>
      <c r="AU7" s="152">
        <v>12</v>
      </c>
      <c r="AV7" s="153">
        <v>12</v>
      </c>
      <c r="AW7" s="153">
        <v>12</v>
      </c>
      <c r="AX7" s="91">
        <v>0</v>
      </c>
      <c r="AY7" s="93">
        <v>0</v>
      </c>
      <c r="AZ7" s="154">
        <v>45</v>
      </c>
      <c r="BA7" s="155">
        <v>51</v>
      </c>
      <c r="BB7" s="156">
        <v>60</v>
      </c>
      <c r="BC7" s="156">
        <v>6</v>
      </c>
      <c r="BD7" s="157">
        <v>15</v>
      </c>
      <c r="BE7" s="75">
        <v>36</v>
      </c>
      <c r="BF7" s="158">
        <v>40</v>
      </c>
      <c r="BG7" s="97">
        <v>51</v>
      </c>
      <c r="BH7" s="159">
        <v>4</v>
      </c>
      <c r="BI7" s="160">
        <v>15</v>
      </c>
      <c r="BJ7" s="854">
        <v>28</v>
      </c>
      <c r="BK7" s="161">
        <v>38.299999999999997</v>
      </c>
      <c r="BL7" s="162">
        <v>63.3</v>
      </c>
      <c r="BM7" s="163">
        <v>10.3</v>
      </c>
      <c r="BN7" s="164">
        <v>35.299999999999997</v>
      </c>
      <c r="BO7" s="165">
        <v>-0.52200000000000002</v>
      </c>
      <c r="BP7" s="166">
        <v>-3.899</v>
      </c>
      <c r="BQ7" s="167">
        <v>-3.4</v>
      </c>
      <c r="BR7" s="110">
        <v>38</v>
      </c>
      <c r="BS7" s="168">
        <v>71</v>
      </c>
      <c r="BT7" s="169">
        <v>33</v>
      </c>
      <c r="BU7" s="170">
        <v>-9.1910000000000007</v>
      </c>
      <c r="BV7" s="171">
        <v>-80.069999999999993</v>
      </c>
      <c r="BW7" s="172">
        <v>-70.900000000000006</v>
      </c>
      <c r="BX7" s="173" t="s">
        <v>143</v>
      </c>
      <c r="BY7" s="174" t="s">
        <v>143</v>
      </c>
      <c r="BZ7" s="175" t="s">
        <v>134</v>
      </c>
      <c r="CA7" s="176" t="s">
        <v>134</v>
      </c>
      <c r="CB7" s="177" t="s">
        <v>134</v>
      </c>
      <c r="CC7" s="121" t="s">
        <v>144</v>
      </c>
      <c r="CD7" s="122" t="s">
        <v>137</v>
      </c>
      <c r="CE7" s="122" t="s">
        <v>135</v>
      </c>
      <c r="CF7" s="123" t="s">
        <v>138</v>
      </c>
      <c r="CG7" s="124" t="s">
        <v>139</v>
      </c>
      <c r="CH7" s="54"/>
      <c r="CI7" s="125" t="s">
        <v>145</v>
      </c>
      <c r="CJ7" s="125" t="s">
        <v>146</v>
      </c>
      <c r="CK7" s="818" t="s">
        <v>28</v>
      </c>
      <c r="CL7" s="54"/>
      <c r="CM7" s="126">
        <v>1170</v>
      </c>
      <c r="CN7" s="127" t="s">
        <v>149</v>
      </c>
    </row>
    <row r="8" spans="1:92">
      <c r="A8" s="58">
        <v>1117</v>
      </c>
      <c r="B8" s="845" t="s">
        <v>148</v>
      </c>
      <c r="C8" s="845" t="s">
        <v>697</v>
      </c>
      <c r="D8" s="845">
        <v>51.52</v>
      </c>
      <c r="E8" s="845">
        <v>-2.69</v>
      </c>
      <c r="F8" s="59">
        <v>322</v>
      </c>
      <c r="G8" s="128">
        <v>0.1</v>
      </c>
      <c r="H8" s="178">
        <v>0.3</v>
      </c>
      <c r="I8" s="179">
        <v>2.4</v>
      </c>
      <c r="J8" s="180">
        <v>0.2</v>
      </c>
      <c r="K8" s="98">
        <v>2.2999999999999998</v>
      </c>
      <c r="L8" s="181">
        <v>30.6</v>
      </c>
      <c r="M8" s="182">
        <v>33.94</v>
      </c>
      <c r="N8" s="83">
        <v>37.630000000000003</v>
      </c>
      <c r="O8" s="183">
        <v>3.3</v>
      </c>
      <c r="P8" s="184">
        <v>7</v>
      </c>
      <c r="Q8" s="185">
        <v>17.510000000000002</v>
      </c>
      <c r="R8" s="138">
        <v>19.61</v>
      </c>
      <c r="S8" s="186">
        <v>21.93</v>
      </c>
      <c r="T8" s="187">
        <v>2.1</v>
      </c>
      <c r="U8" s="69">
        <v>4.4000000000000004</v>
      </c>
      <c r="V8" s="141">
        <v>19.8</v>
      </c>
      <c r="W8" s="76">
        <v>28.5</v>
      </c>
      <c r="X8" s="83">
        <v>59.2</v>
      </c>
      <c r="Y8" s="188">
        <v>8.6999999999999993</v>
      </c>
      <c r="Z8" s="143">
        <v>39.4</v>
      </c>
      <c r="AA8" s="189">
        <v>0.6</v>
      </c>
      <c r="AB8" s="190">
        <v>0.3</v>
      </c>
      <c r="AC8" s="191">
        <v>0.1</v>
      </c>
      <c r="AD8" s="62">
        <v>-0.3</v>
      </c>
      <c r="AE8" s="192">
        <v>-0.5</v>
      </c>
      <c r="AF8" s="346">
        <v>0.13</v>
      </c>
      <c r="AG8" s="133">
        <v>0.43</v>
      </c>
      <c r="AH8" s="852">
        <v>2.6</v>
      </c>
      <c r="AI8" s="147">
        <v>0.3</v>
      </c>
      <c r="AJ8" s="148">
        <v>2.5</v>
      </c>
      <c r="AK8" s="326">
        <v>0.97</v>
      </c>
      <c r="AL8" s="853">
        <v>1.03</v>
      </c>
      <c r="AM8" s="179">
        <v>3.3</v>
      </c>
      <c r="AN8" s="149">
        <v>0.1</v>
      </c>
      <c r="AO8" s="150">
        <v>2.2999999999999998</v>
      </c>
      <c r="AP8" s="151">
        <v>10</v>
      </c>
      <c r="AQ8" s="61">
        <v>9</v>
      </c>
      <c r="AR8" s="90">
        <v>7</v>
      </c>
      <c r="AS8" s="61">
        <v>-1</v>
      </c>
      <c r="AT8" s="92">
        <v>-2</v>
      </c>
      <c r="AU8" s="152">
        <v>12</v>
      </c>
      <c r="AV8" s="153">
        <v>12</v>
      </c>
      <c r="AW8" s="153">
        <v>12</v>
      </c>
      <c r="AX8" s="91">
        <v>0</v>
      </c>
      <c r="AY8" s="93">
        <v>0</v>
      </c>
      <c r="AZ8" s="154">
        <v>45</v>
      </c>
      <c r="BA8" s="155">
        <v>51</v>
      </c>
      <c r="BB8" s="156">
        <v>60</v>
      </c>
      <c r="BC8" s="156">
        <v>6</v>
      </c>
      <c r="BD8" s="157">
        <v>15</v>
      </c>
      <c r="BE8" s="75">
        <v>36</v>
      </c>
      <c r="BF8" s="158">
        <v>40</v>
      </c>
      <c r="BG8" s="97">
        <v>51</v>
      </c>
      <c r="BH8" s="159">
        <v>4</v>
      </c>
      <c r="BI8" s="160">
        <v>15</v>
      </c>
      <c r="BJ8" s="854">
        <v>28</v>
      </c>
      <c r="BK8" s="161">
        <v>38.299999999999997</v>
      </c>
      <c r="BL8" s="162">
        <v>63.3</v>
      </c>
      <c r="BM8" s="163">
        <v>10.3</v>
      </c>
      <c r="BN8" s="164">
        <v>35.299999999999997</v>
      </c>
      <c r="BO8" s="165">
        <v>-0.52200000000000002</v>
      </c>
      <c r="BP8" s="166">
        <v>-3.899</v>
      </c>
      <c r="BQ8" s="167">
        <v>-3.4</v>
      </c>
      <c r="BR8" s="110">
        <v>38</v>
      </c>
      <c r="BS8" s="168">
        <v>71</v>
      </c>
      <c r="BT8" s="169">
        <v>33</v>
      </c>
      <c r="BU8" s="170">
        <v>-9.1910000000000007</v>
      </c>
      <c r="BV8" s="171">
        <v>-80.069999999999993</v>
      </c>
      <c r="BW8" s="172">
        <v>-70.900000000000006</v>
      </c>
      <c r="BX8" s="173" t="s">
        <v>143</v>
      </c>
      <c r="BY8" s="174" t="s">
        <v>143</v>
      </c>
      <c r="BZ8" s="175" t="s">
        <v>134</v>
      </c>
      <c r="CA8" s="176" t="s">
        <v>134</v>
      </c>
      <c r="CB8" s="177" t="s">
        <v>134</v>
      </c>
      <c r="CC8" s="121" t="s">
        <v>144</v>
      </c>
      <c r="CD8" s="122" t="s">
        <v>137</v>
      </c>
      <c r="CE8" s="122" t="s">
        <v>135</v>
      </c>
      <c r="CF8" s="123" t="s">
        <v>138</v>
      </c>
      <c r="CG8" s="124" t="s">
        <v>139</v>
      </c>
      <c r="CH8" s="54"/>
      <c r="CI8" s="125" t="s">
        <v>145</v>
      </c>
      <c r="CJ8" s="125" t="s">
        <v>28</v>
      </c>
      <c r="CK8" s="818" t="s">
        <v>28</v>
      </c>
      <c r="CL8" s="54"/>
      <c r="CM8" s="126">
        <v>1135</v>
      </c>
      <c r="CN8" s="127" t="s">
        <v>151</v>
      </c>
    </row>
    <row r="9" spans="1:92">
      <c r="A9" s="58">
        <v>1125</v>
      </c>
      <c r="B9" s="845" t="s">
        <v>158</v>
      </c>
      <c r="C9" s="845" t="s">
        <v>159</v>
      </c>
      <c r="D9" s="845">
        <v>53.59</v>
      </c>
      <c r="E9" s="845">
        <v>-1.43</v>
      </c>
      <c r="F9" s="59">
        <v>949</v>
      </c>
      <c r="G9" s="267">
        <v>0.1</v>
      </c>
      <c r="H9" s="178">
        <v>0.3</v>
      </c>
      <c r="I9" s="342">
        <v>2</v>
      </c>
      <c r="J9" s="306">
        <v>0.2</v>
      </c>
      <c r="K9" s="343">
        <v>1.9</v>
      </c>
      <c r="L9" s="344">
        <v>30.54</v>
      </c>
      <c r="M9" s="183">
        <v>33.659999999999997</v>
      </c>
      <c r="N9" s="345">
        <v>37.090000000000003</v>
      </c>
      <c r="O9" s="265">
        <v>3.1</v>
      </c>
      <c r="P9" s="281">
        <v>6.5</v>
      </c>
      <c r="Q9" s="346">
        <v>16.55</v>
      </c>
      <c r="R9" s="183">
        <v>18.66</v>
      </c>
      <c r="S9" s="347">
        <v>20.79</v>
      </c>
      <c r="T9" s="348">
        <v>2.1</v>
      </c>
      <c r="U9" s="311">
        <v>4.2</v>
      </c>
      <c r="V9" s="349">
        <v>18.600000000000001</v>
      </c>
      <c r="W9" s="182">
        <v>27.3</v>
      </c>
      <c r="X9" s="350">
        <v>51.1</v>
      </c>
      <c r="Y9" s="163">
        <v>8.6999999999999993</v>
      </c>
      <c r="Z9" s="86">
        <v>32.5</v>
      </c>
      <c r="AA9" s="351">
        <v>0.8</v>
      </c>
      <c r="AB9" s="190">
        <v>0.3</v>
      </c>
      <c r="AC9" s="284">
        <v>0</v>
      </c>
      <c r="AD9" s="135">
        <v>-0.5</v>
      </c>
      <c r="AE9" s="352">
        <v>-0.8</v>
      </c>
      <c r="AF9" s="611">
        <v>7.0000000000000007E-2</v>
      </c>
      <c r="AG9" s="327">
        <v>0.2</v>
      </c>
      <c r="AH9" s="477">
        <v>2.63</v>
      </c>
      <c r="AI9" s="320">
        <v>0.1</v>
      </c>
      <c r="AJ9" s="321">
        <v>2.6</v>
      </c>
      <c r="AK9" s="855">
        <v>1.67</v>
      </c>
      <c r="AL9" s="401">
        <v>2.7</v>
      </c>
      <c r="AM9" s="856">
        <v>5.4</v>
      </c>
      <c r="AN9" s="322">
        <v>1</v>
      </c>
      <c r="AO9" s="88">
        <v>2.7</v>
      </c>
      <c r="AP9" s="151">
        <v>10</v>
      </c>
      <c r="AQ9" s="61">
        <v>9</v>
      </c>
      <c r="AR9" s="90">
        <v>7</v>
      </c>
      <c r="AS9" s="61">
        <v>-1</v>
      </c>
      <c r="AT9" s="92">
        <v>-2</v>
      </c>
      <c r="AU9" s="89">
        <v>11</v>
      </c>
      <c r="AV9" s="61">
        <v>11</v>
      </c>
      <c r="AW9" s="61">
        <v>11</v>
      </c>
      <c r="AX9" s="91">
        <v>0</v>
      </c>
      <c r="AY9" s="93">
        <v>0</v>
      </c>
      <c r="AZ9" s="353">
        <v>65</v>
      </c>
      <c r="BA9" s="354">
        <v>70</v>
      </c>
      <c r="BB9" s="355">
        <v>72</v>
      </c>
      <c r="BC9" s="356">
        <v>5</v>
      </c>
      <c r="BD9" s="103">
        <v>7</v>
      </c>
      <c r="BE9" s="357">
        <v>38</v>
      </c>
      <c r="BF9" s="158">
        <v>40</v>
      </c>
      <c r="BG9" s="358">
        <v>44</v>
      </c>
      <c r="BH9" s="142">
        <v>2</v>
      </c>
      <c r="BI9" s="359">
        <v>6</v>
      </c>
      <c r="BJ9" s="848">
        <v>25</v>
      </c>
      <c r="BK9" s="360">
        <v>42.3</v>
      </c>
      <c r="BL9" s="361">
        <v>68.3</v>
      </c>
      <c r="BM9" s="356">
        <v>17</v>
      </c>
      <c r="BN9" s="362">
        <v>43</v>
      </c>
      <c r="BO9" s="333">
        <v>-0.752</v>
      </c>
      <c r="BP9" s="334">
        <v>4.2329999999999997</v>
      </c>
      <c r="BQ9" s="335">
        <v>5</v>
      </c>
      <c r="BR9" s="363">
        <v>36</v>
      </c>
      <c r="BS9" s="364">
        <v>60</v>
      </c>
      <c r="BT9" s="92">
        <v>24</v>
      </c>
      <c r="BU9" s="339">
        <v>-7.5720000000000001</v>
      </c>
      <c r="BV9" s="340">
        <v>-66.340999999999994</v>
      </c>
      <c r="BW9" s="341">
        <v>-58.8</v>
      </c>
      <c r="BX9" s="173" t="s">
        <v>133</v>
      </c>
      <c r="BY9" s="174" t="s">
        <v>133</v>
      </c>
      <c r="BZ9" s="175" t="s">
        <v>134</v>
      </c>
      <c r="CA9" s="176" t="s">
        <v>134</v>
      </c>
      <c r="CB9" s="177" t="s">
        <v>134</v>
      </c>
      <c r="CC9" s="121" t="s">
        <v>135</v>
      </c>
      <c r="CD9" s="122" t="s">
        <v>135</v>
      </c>
      <c r="CE9" s="122" t="s">
        <v>136</v>
      </c>
      <c r="CF9" s="123" t="s">
        <v>138</v>
      </c>
      <c r="CG9" s="124" t="s">
        <v>139</v>
      </c>
      <c r="CH9" s="54"/>
      <c r="CI9" s="125"/>
      <c r="CJ9" s="125" t="s">
        <v>28</v>
      </c>
      <c r="CK9" s="818" t="s">
        <v>28</v>
      </c>
      <c r="CL9" s="54"/>
      <c r="CM9" s="126">
        <v>1137</v>
      </c>
      <c r="CN9" s="127" t="s">
        <v>153</v>
      </c>
    </row>
    <row r="10" spans="1:92">
      <c r="A10" s="58">
        <v>1119</v>
      </c>
      <c r="B10" s="845" t="s">
        <v>150</v>
      </c>
      <c r="C10" s="845" t="s">
        <v>698</v>
      </c>
      <c r="D10" s="845">
        <v>50.46</v>
      </c>
      <c r="E10" s="845">
        <v>-4.7</v>
      </c>
      <c r="F10" s="59">
        <v>35</v>
      </c>
      <c r="G10" s="193">
        <v>0</v>
      </c>
      <c r="H10" s="194">
        <v>0</v>
      </c>
      <c r="I10" s="195">
        <v>1</v>
      </c>
      <c r="J10" s="194">
        <v>0</v>
      </c>
      <c r="K10" s="196">
        <v>1</v>
      </c>
      <c r="L10" s="197">
        <v>28.28</v>
      </c>
      <c r="M10" s="198">
        <v>31.53</v>
      </c>
      <c r="N10" s="199">
        <v>34.96</v>
      </c>
      <c r="O10" s="200">
        <v>3.3</v>
      </c>
      <c r="P10" s="201">
        <v>6.7</v>
      </c>
      <c r="Q10" s="202">
        <v>16.350000000000001</v>
      </c>
      <c r="R10" s="203">
        <v>18.32</v>
      </c>
      <c r="S10" s="204">
        <v>20.399999999999999</v>
      </c>
      <c r="T10" s="205">
        <v>2</v>
      </c>
      <c r="U10" s="206">
        <v>4.0999999999999996</v>
      </c>
      <c r="V10" s="207">
        <v>10.1</v>
      </c>
      <c r="W10" s="163">
        <v>17.7</v>
      </c>
      <c r="X10" s="208">
        <v>38.799999999999997</v>
      </c>
      <c r="Y10" s="209">
        <v>7.7</v>
      </c>
      <c r="Z10" s="210">
        <v>28.8</v>
      </c>
      <c r="AA10" s="211">
        <v>0.3</v>
      </c>
      <c r="AB10" s="212">
        <v>0.2</v>
      </c>
      <c r="AC10" s="213">
        <v>0</v>
      </c>
      <c r="AD10" s="214">
        <v>-0.1</v>
      </c>
      <c r="AE10" s="215">
        <v>-0.3</v>
      </c>
      <c r="AF10" s="193">
        <v>0</v>
      </c>
      <c r="AG10" s="73">
        <v>7.0000000000000007E-2</v>
      </c>
      <c r="AH10" s="551">
        <v>0.9</v>
      </c>
      <c r="AI10" s="216">
        <v>0.1</v>
      </c>
      <c r="AJ10" s="217">
        <v>0.9</v>
      </c>
      <c r="AK10" s="193">
        <v>0.63</v>
      </c>
      <c r="AL10" s="548">
        <v>0.93</v>
      </c>
      <c r="AM10" s="263">
        <v>2.33</v>
      </c>
      <c r="AN10" s="218">
        <v>0.3</v>
      </c>
      <c r="AO10" s="219">
        <v>1.4</v>
      </c>
      <c r="AP10" s="220">
        <v>12</v>
      </c>
      <c r="AQ10" s="221">
        <v>11</v>
      </c>
      <c r="AR10" s="222">
        <v>8</v>
      </c>
      <c r="AS10" s="61">
        <v>-1</v>
      </c>
      <c r="AT10" s="223">
        <v>-3</v>
      </c>
      <c r="AU10" s="193">
        <v>16</v>
      </c>
      <c r="AV10" s="149">
        <v>16</v>
      </c>
      <c r="AW10" s="149">
        <v>16</v>
      </c>
      <c r="AX10" s="91">
        <v>0</v>
      </c>
      <c r="AY10" s="93">
        <v>0</v>
      </c>
      <c r="AZ10" s="224">
        <v>62</v>
      </c>
      <c r="BA10" s="225">
        <v>69</v>
      </c>
      <c r="BB10" s="156">
        <v>60</v>
      </c>
      <c r="BC10" s="61">
        <v>7</v>
      </c>
      <c r="BD10" s="226">
        <v>-2</v>
      </c>
      <c r="BE10" s="227">
        <v>49</v>
      </c>
      <c r="BF10" s="228">
        <v>55</v>
      </c>
      <c r="BG10" s="229">
        <v>62</v>
      </c>
      <c r="BH10" s="230">
        <v>6</v>
      </c>
      <c r="BI10" s="231">
        <v>13</v>
      </c>
      <c r="BJ10" s="390">
        <v>5</v>
      </c>
      <c r="BK10" s="232">
        <v>10.3</v>
      </c>
      <c r="BL10" s="102">
        <v>14.8</v>
      </c>
      <c r="BM10" s="233">
        <v>5.2</v>
      </c>
      <c r="BN10" s="234">
        <v>9.6999999999999993</v>
      </c>
      <c r="BO10" s="165">
        <v>-0.52200000000000002</v>
      </c>
      <c r="BP10" s="166">
        <v>-3.899</v>
      </c>
      <c r="BQ10" s="167">
        <v>-3.4</v>
      </c>
      <c r="BR10" s="235">
        <v>43</v>
      </c>
      <c r="BS10" s="236">
        <v>74</v>
      </c>
      <c r="BT10" s="237">
        <v>31</v>
      </c>
      <c r="BU10" s="170">
        <v>-9.1910000000000007</v>
      </c>
      <c r="BV10" s="171">
        <v>-80.069999999999993</v>
      </c>
      <c r="BW10" s="172">
        <v>-70.900000000000006</v>
      </c>
      <c r="BX10" s="173" t="s">
        <v>133</v>
      </c>
      <c r="BY10" s="174" t="s">
        <v>133</v>
      </c>
      <c r="BZ10" s="175" t="s">
        <v>134</v>
      </c>
      <c r="CA10" s="176" t="s">
        <v>134</v>
      </c>
      <c r="CB10" s="177" t="s">
        <v>134</v>
      </c>
      <c r="CC10" s="121" t="s">
        <v>135</v>
      </c>
      <c r="CD10" s="122" t="s">
        <v>135</v>
      </c>
      <c r="CE10" s="122" t="s">
        <v>137</v>
      </c>
      <c r="CF10" s="123" t="s">
        <v>138</v>
      </c>
      <c r="CG10" s="124" t="s">
        <v>139</v>
      </c>
      <c r="CH10" s="54"/>
      <c r="CI10" s="125"/>
      <c r="CJ10" s="125" t="s">
        <v>28</v>
      </c>
      <c r="CK10" s="818" t="s">
        <v>28</v>
      </c>
      <c r="CL10" s="54"/>
      <c r="CM10" s="126">
        <v>1133</v>
      </c>
      <c r="CN10" s="127" t="s">
        <v>155</v>
      </c>
    </row>
    <row r="11" spans="1:92">
      <c r="A11" s="58">
        <v>1120</v>
      </c>
      <c r="B11" s="845" t="s">
        <v>152</v>
      </c>
      <c r="C11" s="845" t="s">
        <v>699</v>
      </c>
      <c r="D11" s="845">
        <v>51.47</v>
      </c>
      <c r="E11" s="845">
        <v>-2.57</v>
      </c>
      <c r="F11" s="59">
        <v>289</v>
      </c>
      <c r="G11" s="238">
        <v>0.2</v>
      </c>
      <c r="H11" s="239">
        <v>0.5</v>
      </c>
      <c r="I11" s="83">
        <v>3.5</v>
      </c>
      <c r="J11" s="240">
        <v>0.3</v>
      </c>
      <c r="K11" s="86">
        <v>3.3</v>
      </c>
      <c r="L11" s="241">
        <v>31.34</v>
      </c>
      <c r="M11" s="242">
        <v>34.81</v>
      </c>
      <c r="N11" s="243">
        <v>38.71</v>
      </c>
      <c r="O11" s="135">
        <v>3.5</v>
      </c>
      <c r="P11" s="244">
        <v>7.4</v>
      </c>
      <c r="Q11" s="137">
        <v>17.48</v>
      </c>
      <c r="R11" s="138">
        <v>19.61</v>
      </c>
      <c r="S11" s="186">
        <v>21.94</v>
      </c>
      <c r="T11" s="73">
        <v>2.1</v>
      </c>
      <c r="U11" s="184">
        <v>4.5</v>
      </c>
      <c r="V11" s="245">
        <v>23.5</v>
      </c>
      <c r="W11" s="161">
        <v>36</v>
      </c>
      <c r="X11" s="246">
        <v>68</v>
      </c>
      <c r="Y11" s="247">
        <v>12.6</v>
      </c>
      <c r="Z11" s="136">
        <v>44.6</v>
      </c>
      <c r="AA11" s="248">
        <v>0.9</v>
      </c>
      <c r="AB11" s="249">
        <v>0.5</v>
      </c>
      <c r="AC11" s="82">
        <v>0.1</v>
      </c>
      <c r="AD11" s="250">
        <v>-0.4</v>
      </c>
      <c r="AE11" s="251">
        <v>-0.8</v>
      </c>
      <c r="AF11" s="75">
        <v>0.2</v>
      </c>
      <c r="AG11" s="559">
        <v>0.6</v>
      </c>
      <c r="AH11" s="530">
        <v>3.7</v>
      </c>
      <c r="AI11" s="252">
        <v>0.4</v>
      </c>
      <c r="AJ11" s="253">
        <v>3.5</v>
      </c>
      <c r="AK11" s="857">
        <v>0.83</v>
      </c>
      <c r="AL11" s="644">
        <v>1.33</v>
      </c>
      <c r="AM11" s="858">
        <v>4</v>
      </c>
      <c r="AN11" s="102">
        <v>0.5</v>
      </c>
      <c r="AO11" s="254">
        <v>2.7</v>
      </c>
      <c r="AP11" s="151">
        <v>10</v>
      </c>
      <c r="AQ11" s="61">
        <v>9</v>
      </c>
      <c r="AR11" s="90">
        <v>7</v>
      </c>
      <c r="AS11" s="61">
        <v>-1</v>
      </c>
      <c r="AT11" s="92">
        <v>-2</v>
      </c>
      <c r="AU11" s="152">
        <v>12</v>
      </c>
      <c r="AV11" s="153">
        <v>12</v>
      </c>
      <c r="AW11" s="153">
        <v>12</v>
      </c>
      <c r="AX11" s="91">
        <v>0</v>
      </c>
      <c r="AY11" s="93">
        <v>0</v>
      </c>
      <c r="AZ11" s="255">
        <v>52</v>
      </c>
      <c r="BA11" s="256">
        <v>53</v>
      </c>
      <c r="BB11" s="257">
        <v>64</v>
      </c>
      <c r="BC11" s="258">
        <v>1</v>
      </c>
      <c r="BD11" s="259">
        <v>12</v>
      </c>
      <c r="BE11" s="260">
        <v>35</v>
      </c>
      <c r="BF11" s="261">
        <v>39</v>
      </c>
      <c r="BG11" s="101">
        <v>45</v>
      </c>
      <c r="BH11" s="159">
        <v>4</v>
      </c>
      <c r="BI11" s="262">
        <v>10</v>
      </c>
      <c r="BJ11" s="859">
        <v>22</v>
      </c>
      <c r="BK11" s="263">
        <v>37.700000000000003</v>
      </c>
      <c r="BL11" s="264">
        <v>62.3</v>
      </c>
      <c r="BM11" s="265">
        <v>15.3</v>
      </c>
      <c r="BN11" s="266">
        <v>39.9</v>
      </c>
      <c r="BO11" s="165">
        <v>-0.52200000000000002</v>
      </c>
      <c r="BP11" s="166">
        <v>-3.899</v>
      </c>
      <c r="BQ11" s="167">
        <v>-3.4</v>
      </c>
      <c r="BR11" s="110">
        <v>38</v>
      </c>
      <c r="BS11" s="168">
        <v>71</v>
      </c>
      <c r="BT11" s="169">
        <v>33</v>
      </c>
      <c r="BU11" s="170">
        <v>-9.1910000000000007</v>
      </c>
      <c r="BV11" s="171">
        <v>-80.069999999999993</v>
      </c>
      <c r="BW11" s="172">
        <v>-70.900000000000006</v>
      </c>
      <c r="BX11" s="173" t="s">
        <v>133</v>
      </c>
      <c r="BY11" s="174" t="s">
        <v>133</v>
      </c>
      <c r="BZ11" s="175" t="s">
        <v>134</v>
      </c>
      <c r="CA11" s="176" t="s">
        <v>134</v>
      </c>
      <c r="CB11" s="177" t="s">
        <v>134</v>
      </c>
      <c r="CC11" s="121" t="s">
        <v>135</v>
      </c>
      <c r="CD11" s="122" t="s">
        <v>144</v>
      </c>
      <c r="CE11" s="122" t="s">
        <v>137</v>
      </c>
      <c r="CF11" s="123" t="s">
        <v>138</v>
      </c>
      <c r="CG11" s="124" t="s">
        <v>139</v>
      </c>
      <c r="CH11" s="54"/>
      <c r="CI11" s="125" t="s">
        <v>145</v>
      </c>
      <c r="CJ11" s="125" t="s">
        <v>28</v>
      </c>
      <c r="CK11" s="818" t="s">
        <v>28</v>
      </c>
      <c r="CL11" s="54"/>
      <c r="CM11" s="126">
        <v>1124</v>
      </c>
      <c r="CN11" s="127" t="s">
        <v>156</v>
      </c>
    </row>
    <row r="12" spans="1:92">
      <c r="A12" s="58">
        <v>1123</v>
      </c>
      <c r="B12" s="845" t="s">
        <v>154</v>
      </c>
      <c r="C12" s="845" t="s">
        <v>700</v>
      </c>
      <c r="D12" s="845">
        <v>51.47</v>
      </c>
      <c r="E12" s="845">
        <v>-3.14</v>
      </c>
      <c r="F12" s="59">
        <v>285</v>
      </c>
      <c r="G12" s="267">
        <v>0.1</v>
      </c>
      <c r="H12" s="268">
        <v>0.2</v>
      </c>
      <c r="I12" s="269">
        <v>2.1</v>
      </c>
      <c r="J12" s="270">
        <v>0.2</v>
      </c>
      <c r="K12" s="271">
        <v>2</v>
      </c>
      <c r="L12" s="272">
        <v>30.42</v>
      </c>
      <c r="M12" s="158">
        <v>33.409999999999997</v>
      </c>
      <c r="N12" s="273">
        <v>37.58</v>
      </c>
      <c r="O12" s="100">
        <v>3</v>
      </c>
      <c r="P12" s="274">
        <v>7.2</v>
      </c>
      <c r="Q12" s="75">
        <v>17.34</v>
      </c>
      <c r="R12" s="275">
        <v>19.39</v>
      </c>
      <c r="S12" s="276">
        <v>21.71</v>
      </c>
      <c r="T12" s="277">
        <v>2.1</v>
      </c>
      <c r="U12" s="278">
        <v>4.4000000000000004</v>
      </c>
      <c r="V12" s="241">
        <v>18.100000000000001</v>
      </c>
      <c r="W12" s="135">
        <v>27.7</v>
      </c>
      <c r="X12" s="279">
        <v>57</v>
      </c>
      <c r="Y12" s="280">
        <v>9.6</v>
      </c>
      <c r="Z12" s="281">
        <v>38.9</v>
      </c>
      <c r="AA12" s="282">
        <v>0.6</v>
      </c>
      <c r="AB12" s="283">
        <v>0.4</v>
      </c>
      <c r="AC12" s="284">
        <v>0</v>
      </c>
      <c r="AD12" s="285">
        <v>-0.3</v>
      </c>
      <c r="AE12" s="286">
        <v>-0.6</v>
      </c>
      <c r="AF12" s="860">
        <v>0.17</v>
      </c>
      <c r="AG12" s="559">
        <v>0.56999999999999995</v>
      </c>
      <c r="AH12" s="77">
        <v>3.4</v>
      </c>
      <c r="AI12" s="252">
        <v>0.4</v>
      </c>
      <c r="AJ12" s="287">
        <v>3.2</v>
      </c>
      <c r="AK12" s="65">
        <v>1.17</v>
      </c>
      <c r="AL12" s="239">
        <v>1.87</v>
      </c>
      <c r="AM12" s="406">
        <v>4.57</v>
      </c>
      <c r="AN12" s="288">
        <v>0.7</v>
      </c>
      <c r="AO12" s="88">
        <v>2.7</v>
      </c>
      <c r="AP12" s="220">
        <v>12</v>
      </c>
      <c r="AQ12" s="221">
        <v>11</v>
      </c>
      <c r="AR12" s="222">
        <v>8</v>
      </c>
      <c r="AS12" s="61">
        <v>-1</v>
      </c>
      <c r="AT12" s="223">
        <v>-3</v>
      </c>
      <c r="AU12" s="193">
        <v>16</v>
      </c>
      <c r="AV12" s="149">
        <v>16</v>
      </c>
      <c r="AW12" s="149">
        <v>16</v>
      </c>
      <c r="AX12" s="91">
        <v>0</v>
      </c>
      <c r="AY12" s="93">
        <v>0</v>
      </c>
      <c r="AZ12" s="245">
        <v>57</v>
      </c>
      <c r="BA12" s="289">
        <v>76</v>
      </c>
      <c r="BB12" s="290">
        <v>77</v>
      </c>
      <c r="BC12" s="67">
        <v>19</v>
      </c>
      <c r="BD12" s="291">
        <v>20</v>
      </c>
      <c r="BE12" s="292">
        <v>53</v>
      </c>
      <c r="BF12" s="293">
        <v>73</v>
      </c>
      <c r="BG12" s="294">
        <v>76</v>
      </c>
      <c r="BH12" s="134">
        <v>20</v>
      </c>
      <c r="BI12" s="69">
        <v>23</v>
      </c>
      <c r="BJ12" s="70">
        <v>12</v>
      </c>
      <c r="BK12" s="142">
        <v>17.100000000000001</v>
      </c>
      <c r="BL12" s="295">
        <v>33.700000000000003</v>
      </c>
      <c r="BM12" s="296">
        <v>5.2</v>
      </c>
      <c r="BN12" s="297">
        <v>21.8</v>
      </c>
      <c r="BO12" s="298">
        <v>0.746</v>
      </c>
      <c r="BP12" s="299">
        <v>19.876000000000001</v>
      </c>
      <c r="BQ12" s="300">
        <v>19.100000000000001</v>
      </c>
      <c r="BR12" s="301">
        <v>20</v>
      </c>
      <c r="BS12" s="299">
        <v>110</v>
      </c>
      <c r="BT12" s="93">
        <v>90</v>
      </c>
      <c r="BU12" s="302">
        <v>-11.923</v>
      </c>
      <c r="BV12" s="303">
        <v>-76.325000000000003</v>
      </c>
      <c r="BW12" s="304">
        <v>-64.400000000000006</v>
      </c>
      <c r="BX12" s="173" t="s">
        <v>143</v>
      </c>
      <c r="BY12" s="174" t="s">
        <v>143</v>
      </c>
      <c r="BZ12" s="175" t="s">
        <v>134</v>
      </c>
      <c r="CA12" s="176" t="s">
        <v>134</v>
      </c>
      <c r="CB12" s="177" t="s">
        <v>134</v>
      </c>
      <c r="CC12" s="121" t="s">
        <v>135</v>
      </c>
      <c r="CD12" s="122" t="s">
        <v>135</v>
      </c>
      <c r="CE12" s="122" t="s">
        <v>136</v>
      </c>
      <c r="CF12" s="123" t="s">
        <v>138</v>
      </c>
      <c r="CG12" s="124" t="s">
        <v>139</v>
      </c>
      <c r="CH12" s="54"/>
      <c r="CI12" s="125"/>
      <c r="CJ12" s="125" t="s">
        <v>28</v>
      </c>
      <c r="CK12" s="818" t="s">
        <v>28</v>
      </c>
      <c r="CL12" s="54"/>
      <c r="CM12" s="126">
        <v>1132</v>
      </c>
      <c r="CN12" s="127" t="s">
        <v>160</v>
      </c>
    </row>
    <row r="13" spans="1:92">
      <c r="A13" s="58">
        <v>1124</v>
      </c>
      <c r="B13" s="845" t="s">
        <v>156</v>
      </c>
      <c r="C13" s="845" t="s">
        <v>157</v>
      </c>
      <c r="D13" s="845">
        <v>53.73</v>
      </c>
      <c r="E13" s="845">
        <v>-1.35</v>
      </c>
      <c r="F13" s="59">
        <v>968</v>
      </c>
      <c r="G13" s="267">
        <v>0.1</v>
      </c>
      <c r="H13" s="178">
        <v>0.3</v>
      </c>
      <c r="I13" s="305">
        <v>2</v>
      </c>
      <c r="J13" s="306">
        <v>0.2</v>
      </c>
      <c r="K13" s="307">
        <v>2</v>
      </c>
      <c r="L13" s="181">
        <v>30.6</v>
      </c>
      <c r="M13" s="308">
        <v>33.700000000000003</v>
      </c>
      <c r="N13" s="309">
        <v>37.11</v>
      </c>
      <c r="O13" s="310">
        <v>3.1</v>
      </c>
      <c r="P13" s="311">
        <v>6.5</v>
      </c>
      <c r="Q13" s="312">
        <v>16.739999999999998</v>
      </c>
      <c r="R13" s="182">
        <v>18.84</v>
      </c>
      <c r="S13" s="313">
        <v>20.99</v>
      </c>
      <c r="T13" s="187">
        <v>2.1</v>
      </c>
      <c r="U13" s="311">
        <v>4.3</v>
      </c>
      <c r="V13" s="314">
        <v>19.8</v>
      </c>
      <c r="W13" s="315">
        <v>28.3</v>
      </c>
      <c r="X13" s="309">
        <v>54.4</v>
      </c>
      <c r="Y13" s="252">
        <v>8.5</v>
      </c>
      <c r="Z13" s="316">
        <v>34.6</v>
      </c>
      <c r="AA13" s="282">
        <v>0.6</v>
      </c>
      <c r="AB13" s="317">
        <v>0.2</v>
      </c>
      <c r="AC13" s="91">
        <v>0</v>
      </c>
      <c r="AD13" s="318">
        <v>-0.4</v>
      </c>
      <c r="AE13" s="319">
        <v>-0.6</v>
      </c>
      <c r="AF13" s="611">
        <v>7.0000000000000007E-2</v>
      </c>
      <c r="AG13" s="327">
        <v>0.2</v>
      </c>
      <c r="AH13" s="477">
        <v>2.63</v>
      </c>
      <c r="AI13" s="320">
        <v>0.1</v>
      </c>
      <c r="AJ13" s="321">
        <v>2.6</v>
      </c>
      <c r="AK13" s="855">
        <v>1.67</v>
      </c>
      <c r="AL13" s="401">
        <v>2.7</v>
      </c>
      <c r="AM13" s="856">
        <v>5.4</v>
      </c>
      <c r="AN13" s="322">
        <v>1</v>
      </c>
      <c r="AO13" s="88">
        <v>2.7</v>
      </c>
      <c r="AP13" s="89">
        <v>9</v>
      </c>
      <c r="AQ13" s="61">
        <v>9</v>
      </c>
      <c r="AR13" s="90">
        <v>7</v>
      </c>
      <c r="AS13" s="91">
        <v>0</v>
      </c>
      <c r="AT13" s="92">
        <v>-2</v>
      </c>
      <c r="AU13" s="323">
        <v>10</v>
      </c>
      <c r="AV13" s="90">
        <v>10</v>
      </c>
      <c r="AW13" s="90">
        <v>10</v>
      </c>
      <c r="AX13" s="91">
        <v>0</v>
      </c>
      <c r="AY13" s="93">
        <v>0</v>
      </c>
      <c r="AZ13" s="324">
        <v>59</v>
      </c>
      <c r="BA13" s="208">
        <v>66</v>
      </c>
      <c r="BB13" s="95">
        <v>65</v>
      </c>
      <c r="BC13" s="61">
        <v>7</v>
      </c>
      <c r="BD13" s="325">
        <v>6</v>
      </c>
      <c r="BE13" s="326">
        <v>32</v>
      </c>
      <c r="BF13" s="142">
        <v>35</v>
      </c>
      <c r="BG13" s="327">
        <v>36</v>
      </c>
      <c r="BH13" s="280">
        <v>3</v>
      </c>
      <c r="BI13" s="328">
        <v>4</v>
      </c>
      <c r="BJ13" s="848">
        <v>25</v>
      </c>
      <c r="BK13" s="329">
        <v>42.6</v>
      </c>
      <c r="BL13" s="330">
        <v>69.2</v>
      </c>
      <c r="BM13" s="331">
        <v>17.3</v>
      </c>
      <c r="BN13" s="332">
        <v>43.9</v>
      </c>
      <c r="BO13" s="333">
        <v>-0.752</v>
      </c>
      <c r="BP13" s="334">
        <v>4.2329999999999997</v>
      </c>
      <c r="BQ13" s="335">
        <v>5</v>
      </c>
      <c r="BR13" s="336">
        <v>31</v>
      </c>
      <c r="BS13" s="337">
        <v>51</v>
      </c>
      <c r="BT13" s="338">
        <v>20</v>
      </c>
      <c r="BU13" s="339">
        <v>-7.5720000000000001</v>
      </c>
      <c r="BV13" s="340">
        <v>-66.340999999999994</v>
      </c>
      <c r="BW13" s="341">
        <v>-58.8</v>
      </c>
      <c r="BX13" s="384" t="s">
        <v>133</v>
      </c>
      <c r="BY13" s="385" t="s">
        <v>133</v>
      </c>
      <c r="BZ13" s="175" t="s">
        <v>134</v>
      </c>
      <c r="CA13" s="176" t="s">
        <v>134</v>
      </c>
      <c r="CB13" s="177" t="s">
        <v>134</v>
      </c>
      <c r="CC13" s="121" t="s">
        <v>144</v>
      </c>
      <c r="CD13" s="122" t="s">
        <v>137</v>
      </c>
      <c r="CE13" s="122" t="s">
        <v>136</v>
      </c>
      <c r="CF13" s="123" t="s">
        <v>138</v>
      </c>
      <c r="CG13" s="124" t="s">
        <v>139</v>
      </c>
      <c r="CH13" s="54"/>
      <c r="CI13" s="125"/>
      <c r="CJ13" s="125" t="s">
        <v>28</v>
      </c>
      <c r="CK13" s="818" t="s">
        <v>28</v>
      </c>
      <c r="CL13" s="54"/>
      <c r="CM13" s="126">
        <v>1125</v>
      </c>
      <c r="CN13" s="127" t="s">
        <v>158</v>
      </c>
    </row>
    <row r="14" spans="1:92">
      <c r="A14" s="58">
        <v>1127</v>
      </c>
      <c r="B14" s="845" t="s">
        <v>161</v>
      </c>
      <c r="C14" s="845" t="s">
        <v>162</v>
      </c>
      <c r="D14" s="845">
        <v>52.94</v>
      </c>
      <c r="E14" s="845">
        <v>-1.47</v>
      </c>
      <c r="F14" s="59">
        <v>798</v>
      </c>
      <c r="G14" s="238">
        <v>0.2</v>
      </c>
      <c r="H14" s="61">
        <v>0.4</v>
      </c>
      <c r="I14" s="365">
        <v>3</v>
      </c>
      <c r="J14" s="366">
        <v>0.2</v>
      </c>
      <c r="K14" s="367">
        <v>2.9</v>
      </c>
      <c r="L14" s="368">
        <v>31.2</v>
      </c>
      <c r="M14" s="239">
        <v>34.409999999999997</v>
      </c>
      <c r="N14" s="134">
        <v>38.1</v>
      </c>
      <c r="O14" s="369">
        <v>3.2</v>
      </c>
      <c r="P14" s="370">
        <v>6.9</v>
      </c>
      <c r="Q14" s="346">
        <v>16.55</v>
      </c>
      <c r="R14" s="371">
        <v>18.71</v>
      </c>
      <c r="S14" s="273">
        <v>20.92</v>
      </c>
      <c r="T14" s="296">
        <v>2.2000000000000002</v>
      </c>
      <c r="U14" s="278">
        <v>4.4000000000000004</v>
      </c>
      <c r="V14" s="372">
        <v>21.7</v>
      </c>
      <c r="W14" s="358">
        <v>31.2</v>
      </c>
      <c r="X14" s="279">
        <v>57.2</v>
      </c>
      <c r="Y14" s="63">
        <v>9.6</v>
      </c>
      <c r="Z14" s="373">
        <v>35.6</v>
      </c>
      <c r="AA14" s="80">
        <v>1</v>
      </c>
      <c r="AB14" s="331">
        <v>0.5</v>
      </c>
      <c r="AC14" s="82">
        <v>0.1</v>
      </c>
      <c r="AD14" s="101">
        <v>-0.5</v>
      </c>
      <c r="AE14" s="84">
        <v>-0.9</v>
      </c>
      <c r="AF14" s="326">
        <v>0.1</v>
      </c>
      <c r="AG14" s="239">
        <v>0.5</v>
      </c>
      <c r="AH14" s="285">
        <v>4.17</v>
      </c>
      <c r="AI14" s="252">
        <v>0.4</v>
      </c>
      <c r="AJ14" s="374">
        <v>4.0999999999999996</v>
      </c>
      <c r="AK14" s="857">
        <v>0.83</v>
      </c>
      <c r="AL14" s="100">
        <v>1.47</v>
      </c>
      <c r="AM14" s="628">
        <v>4.33</v>
      </c>
      <c r="AN14" s="198">
        <v>0.6</v>
      </c>
      <c r="AO14" s="74">
        <v>2.9</v>
      </c>
      <c r="AP14" s="89">
        <v>9</v>
      </c>
      <c r="AQ14" s="61">
        <v>9</v>
      </c>
      <c r="AR14" s="90">
        <v>7</v>
      </c>
      <c r="AS14" s="91">
        <v>0</v>
      </c>
      <c r="AT14" s="92">
        <v>-2</v>
      </c>
      <c r="AU14" s="89">
        <v>11</v>
      </c>
      <c r="AV14" s="61">
        <v>11</v>
      </c>
      <c r="AW14" s="61">
        <v>11</v>
      </c>
      <c r="AX14" s="91">
        <v>0</v>
      </c>
      <c r="AY14" s="93">
        <v>0</v>
      </c>
      <c r="AZ14" s="224">
        <v>62</v>
      </c>
      <c r="BA14" s="257">
        <v>64</v>
      </c>
      <c r="BB14" s="354">
        <v>70</v>
      </c>
      <c r="BC14" s="375">
        <v>2</v>
      </c>
      <c r="BD14" s="376">
        <v>8</v>
      </c>
      <c r="BE14" s="377">
        <v>31</v>
      </c>
      <c r="BF14" s="378">
        <v>32</v>
      </c>
      <c r="BG14" s="358">
        <v>44</v>
      </c>
      <c r="BH14" s="102">
        <v>1</v>
      </c>
      <c r="BI14" s="231">
        <v>13</v>
      </c>
      <c r="BJ14" s="861">
        <v>17</v>
      </c>
      <c r="BK14" s="158">
        <v>26.8</v>
      </c>
      <c r="BL14" s="129">
        <v>50.8</v>
      </c>
      <c r="BM14" s="379">
        <v>9.5</v>
      </c>
      <c r="BN14" s="380">
        <v>33.6</v>
      </c>
      <c r="BO14" s="381">
        <v>-1.349</v>
      </c>
      <c r="BP14" s="382">
        <v>-4.2910000000000004</v>
      </c>
      <c r="BQ14" s="383">
        <v>-2.9</v>
      </c>
      <c r="BR14" s="110">
        <v>38</v>
      </c>
      <c r="BS14" s="111">
        <v>63</v>
      </c>
      <c r="BT14" s="112">
        <v>25</v>
      </c>
      <c r="BU14" s="113">
        <v>-10.398999999999999</v>
      </c>
      <c r="BV14" s="114">
        <v>-80.960999999999999</v>
      </c>
      <c r="BW14" s="115">
        <v>-70.599999999999994</v>
      </c>
      <c r="BX14" s="173" t="s">
        <v>133</v>
      </c>
      <c r="BY14" s="174" t="s">
        <v>133</v>
      </c>
      <c r="BZ14" s="175" t="s">
        <v>134</v>
      </c>
      <c r="CA14" s="176" t="s">
        <v>134</v>
      </c>
      <c r="CB14" s="177" t="s">
        <v>134</v>
      </c>
      <c r="CC14" s="121" t="s">
        <v>136</v>
      </c>
      <c r="CD14" s="122" t="s">
        <v>136</v>
      </c>
      <c r="CE14" s="122" t="s">
        <v>135</v>
      </c>
      <c r="CF14" s="123" t="s">
        <v>163</v>
      </c>
      <c r="CG14" s="124" t="s">
        <v>139</v>
      </c>
      <c r="CH14" s="54"/>
      <c r="CI14" s="125"/>
      <c r="CJ14" s="125" t="s">
        <v>28</v>
      </c>
      <c r="CK14" s="818" t="s">
        <v>28</v>
      </c>
      <c r="CL14" s="54"/>
      <c r="CM14" s="126">
        <v>1151</v>
      </c>
      <c r="CN14" s="127" t="s">
        <v>165</v>
      </c>
    </row>
    <row r="15" spans="1:92" s="868" customFormat="1">
      <c r="A15" s="845">
        <v>1128</v>
      </c>
      <c r="B15" s="954" t="s">
        <v>141</v>
      </c>
      <c r="C15" s="845" t="s">
        <v>164</v>
      </c>
      <c r="D15" s="845">
        <v>55.09</v>
      </c>
      <c r="E15" s="845">
        <v>-3.65</v>
      </c>
      <c r="F15" s="884">
        <v>1335</v>
      </c>
      <c r="G15" s="885">
        <v>0</v>
      </c>
      <c r="H15" s="886">
        <v>0</v>
      </c>
      <c r="I15" s="887">
        <v>0.5</v>
      </c>
      <c r="J15" s="886">
        <v>0</v>
      </c>
      <c r="K15" s="888">
        <v>0.5</v>
      </c>
      <c r="L15" s="885">
        <v>28.16</v>
      </c>
      <c r="M15" s="889">
        <v>31.13</v>
      </c>
      <c r="N15" s="890">
        <v>34.36</v>
      </c>
      <c r="O15" s="891">
        <v>3</v>
      </c>
      <c r="P15" s="892">
        <v>6.2</v>
      </c>
      <c r="Q15" s="885">
        <v>15.02</v>
      </c>
      <c r="R15" s="893">
        <v>16.93</v>
      </c>
      <c r="S15" s="894">
        <v>18.84</v>
      </c>
      <c r="T15" s="886">
        <v>1.9</v>
      </c>
      <c r="U15" s="895">
        <v>3.8</v>
      </c>
      <c r="V15" s="896">
        <v>8.5</v>
      </c>
      <c r="W15" s="897">
        <v>11.9</v>
      </c>
      <c r="X15" s="898">
        <v>23.9</v>
      </c>
      <c r="Y15" s="886">
        <v>3.5</v>
      </c>
      <c r="Z15" s="899">
        <v>15.5</v>
      </c>
      <c r="AA15" s="900">
        <v>0.8</v>
      </c>
      <c r="AB15" s="901">
        <v>0.6</v>
      </c>
      <c r="AC15" s="902">
        <v>0.2</v>
      </c>
      <c r="AD15" s="903">
        <v>-0.2</v>
      </c>
      <c r="AE15" s="904">
        <v>-0.6</v>
      </c>
      <c r="AF15" s="885">
        <v>0</v>
      </c>
      <c r="AG15" s="886">
        <v>0</v>
      </c>
      <c r="AH15" s="905">
        <v>0.56999999999999995</v>
      </c>
      <c r="AI15" s="886">
        <v>0</v>
      </c>
      <c r="AJ15" s="906">
        <v>0.6</v>
      </c>
      <c r="AK15" s="907">
        <v>0.67</v>
      </c>
      <c r="AL15" s="908">
        <v>0.93</v>
      </c>
      <c r="AM15" s="909">
        <v>2</v>
      </c>
      <c r="AN15" s="910">
        <v>0.3</v>
      </c>
      <c r="AO15" s="911">
        <v>1.1000000000000001</v>
      </c>
      <c r="AP15" s="885">
        <v>13</v>
      </c>
      <c r="AQ15" s="912">
        <v>12</v>
      </c>
      <c r="AR15" s="913">
        <v>10</v>
      </c>
      <c r="AS15" s="914">
        <v>-1</v>
      </c>
      <c r="AT15" s="915">
        <v>-2</v>
      </c>
      <c r="AU15" s="916">
        <v>15</v>
      </c>
      <c r="AV15" s="917">
        <v>15</v>
      </c>
      <c r="AW15" s="917">
        <v>15</v>
      </c>
      <c r="AX15" s="918">
        <v>0</v>
      </c>
      <c r="AY15" s="919">
        <v>0</v>
      </c>
      <c r="AZ15" s="920">
        <v>52</v>
      </c>
      <c r="BA15" s="921">
        <v>59</v>
      </c>
      <c r="BB15" s="922">
        <v>60</v>
      </c>
      <c r="BC15" s="914">
        <v>7</v>
      </c>
      <c r="BD15" s="923">
        <v>8</v>
      </c>
      <c r="BE15" s="924">
        <v>56</v>
      </c>
      <c r="BF15" s="925">
        <v>59</v>
      </c>
      <c r="BG15" s="926">
        <v>72</v>
      </c>
      <c r="BH15" s="927">
        <v>3</v>
      </c>
      <c r="BI15" s="928">
        <v>16</v>
      </c>
      <c r="BJ15" s="885">
        <v>3</v>
      </c>
      <c r="BK15" s="929">
        <v>4.7</v>
      </c>
      <c r="BL15" s="930">
        <v>7.9</v>
      </c>
      <c r="BM15" s="886">
        <v>1.4</v>
      </c>
      <c r="BN15" s="931">
        <v>4.5999999999999996</v>
      </c>
      <c r="BO15" s="932">
        <v>0.28299999999999997</v>
      </c>
      <c r="BP15" s="933">
        <v>18.789000000000001</v>
      </c>
      <c r="BQ15" s="934">
        <v>18.5</v>
      </c>
      <c r="BR15" s="935">
        <v>20</v>
      </c>
      <c r="BS15" s="936">
        <v>53</v>
      </c>
      <c r="BT15" s="937">
        <v>33</v>
      </c>
      <c r="BU15" s="938">
        <v>-5.3680000000000003</v>
      </c>
      <c r="BV15" s="939">
        <v>-56.877000000000002</v>
      </c>
      <c r="BW15" s="940">
        <v>-51.5</v>
      </c>
      <c r="BX15" s="941" t="s">
        <v>133</v>
      </c>
      <c r="BY15" s="942" t="s">
        <v>133</v>
      </c>
      <c r="BZ15" s="943" t="s">
        <v>134</v>
      </c>
      <c r="CA15" s="944" t="s">
        <v>134</v>
      </c>
      <c r="CB15" s="945" t="s">
        <v>134</v>
      </c>
      <c r="CC15" s="946" t="s">
        <v>135</v>
      </c>
      <c r="CD15" s="947" t="s">
        <v>137</v>
      </c>
      <c r="CE15" s="947" t="s">
        <v>137</v>
      </c>
      <c r="CF15" s="948" t="s">
        <v>138</v>
      </c>
      <c r="CG15" s="949" t="s">
        <v>139</v>
      </c>
      <c r="CH15" s="947"/>
      <c r="CI15" s="950"/>
      <c r="CJ15" s="950" t="s">
        <v>28</v>
      </c>
      <c r="CK15" s="951" t="s">
        <v>28</v>
      </c>
      <c r="CL15" s="947"/>
      <c r="CM15" s="952">
        <v>1139</v>
      </c>
      <c r="CN15" s="953" t="s">
        <v>169</v>
      </c>
    </row>
    <row r="16" spans="1:92">
      <c r="A16" s="58">
        <v>1129</v>
      </c>
      <c r="B16" s="845" t="s">
        <v>166</v>
      </c>
      <c r="C16" s="845" t="s">
        <v>167</v>
      </c>
      <c r="D16" s="845">
        <v>50.71</v>
      </c>
      <c r="E16" s="845">
        <v>-3.53</v>
      </c>
      <c r="F16" s="59">
        <v>69</v>
      </c>
      <c r="G16" s="193">
        <v>0</v>
      </c>
      <c r="H16" s="400">
        <v>0</v>
      </c>
      <c r="I16" s="401">
        <v>1.6</v>
      </c>
      <c r="J16" s="400">
        <v>0</v>
      </c>
      <c r="K16" s="402">
        <v>1.6</v>
      </c>
      <c r="L16" s="267">
        <v>29.42</v>
      </c>
      <c r="M16" s="403">
        <v>32.630000000000003</v>
      </c>
      <c r="N16" s="404">
        <v>36.39</v>
      </c>
      <c r="O16" s="369">
        <v>3.2</v>
      </c>
      <c r="P16" s="405">
        <v>7</v>
      </c>
      <c r="Q16" s="238">
        <v>17.010000000000002</v>
      </c>
      <c r="R16" s="386">
        <v>19.16</v>
      </c>
      <c r="S16" s="406">
        <v>21.37</v>
      </c>
      <c r="T16" s="233">
        <v>2.2000000000000002</v>
      </c>
      <c r="U16" s="407">
        <v>4.4000000000000004</v>
      </c>
      <c r="V16" s="408">
        <v>15.9</v>
      </c>
      <c r="W16" s="76">
        <v>28.4</v>
      </c>
      <c r="X16" s="409">
        <v>62.7</v>
      </c>
      <c r="Y16" s="158">
        <v>12.5</v>
      </c>
      <c r="Z16" s="410">
        <v>46.8</v>
      </c>
      <c r="AA16" s="411">
        <v>0.6</v>
      </c>
      <c r="AB16" s="190">
        <v>0.3</v>
      </c>
      <c r="AC16" s="284">
        <v>0</v>
      </c>
      <c r="AD16" s="412">
        <v>-0.3</v>
      </c>
      <c r="AE16" s="413">
        <v>-0.5</v>
      </c>
      <c r="AF16" s="326">
        <v>0.1</v>
      </c>
      <c r="AG16" s="158">
        <v>0.3</v>
      </c>
      <c r="AH16" s="228">
        <v>2.4</v>
      </c>
      <c r="AI16" s="414">
        <v>0.2</v>
      </c>
      <c r="AJ16" s="415">
        <v>2.2999999999999998</v>
      </c>
      <c r="AK16" s="846">
        <v>1.2</v>
      </c>
      <c r="AL16" s="263">
        <v>2.33</v>
      </c>
      <c r="AM16" s="862">
        <v>5.13</v>
      </c>
      <c r="AN16" s="133">
        <v>1.1000000000000001</v>
      </c>
      <c r="AO16" s="416">
        <v>2.8</v>
      </c>
      <c r="AP16" s="89">
        <v>9</v>
      </c>
      <c r="AQ16" s="222">
        <v>8</v>
      </c>
      <c r="AR16" s="417">
        <v>6</v>
      </c>
      <c r="AS16" s="61">
        <v>-1</v>
      </c>
      <c r="AT16" s="92">
        <v>-2</v>
      </c>
      <c r="AU16" s="418">
        <v>14</v>
      </c>
      <c r="AV16" s="419">
        <v>14</v>
      </c>
      <c r="AW16" s="419">
        <v>14</v>
      </c>
      <c r="AX16" s="91">
        <v>0</v>
      </c>
      <c r="AY16" s="93">
        <v>0</v>
      </c>
      <c r="AZ16" s="420">
        <v>46</v>
      </c>
      <c r="BA16" s="421">
        <v>55</v>
      </c>
      <c r="BB16" s="389">
        <v>52</v>
      </c>
      <c r="BC16" s="275">
        <v>9</v>
      </c>
      <c r="BD16" s="325">
        <v>6</v>
      </c>
      <c r="BE16" s="227">
        <v>49</v>
      </c>
      <c r="BF16" s="396">
        <v>59</v>
      </c>
      <c r="BG16" s="396">
        <v>59</v>
      </c>
      <c r="BH16" s="422">
        <v>10</v>
      </c>
      <c r="BI16" s="262">
        <v>10</v>
      </c>
      <c r="BJ16" s="863">
        <v>16</v>
      </c>
      <c r="BK16" s="310">
        <v>24.6</v>
      </c>
      <c r="BL16" s="225">
        <v>47.5</v>
      </c>
      <c r="BM16" s="102">
        <v>8.9</v>
      </c>
      <c r="BN16" s="423">
        <v>31.8</v>
      </c>
      <c r="BO16" s="165">
        <v>-0.52200000000000002</v>
      </c>
      <c r="BP16" s="166">
        <v>-3.899</v>
      </c>
      <c r="BQ16" s="167">
        <v>-3.4</v>
      </c>
      <c r="BR16" s="424">
        <v>55</v>
      </c>
      <c r="BS16" s="425">
        <v>96</v>
      </c>
      <c r="BT16" s="426">
        <v>41</v>
      </c>
      <c r="BU16" s="170">
        <v>-9.1910000000000007</v>
      </c>
      <c r="BV16" s="171">
        <v>-80.069999999999993</v>
      </c>
      <c r="BW16" s="172">
        <v>-70.900000000000006</v>
      </c>
      <c r="BX16" s="173" t="s">
        <v>133</v>
      </c>
      <c r="BY16" s="174" t="s">
        <v>168</v>
      </c>
      <c r="BZ16" s="175" t="s">
        <v>134</v>
      </c>
      <c r="CA16" s="176" t="s">
        <v>134</v>
      </c>
      <c r="CB16" s="177" t="s">
        <v>134</v>
      </c>
      <c r="CC16" s="121" t="s">
        <v>144</v>
      </c>
      <c r="CD16" s="122" t="s">
        <v>135</v>
      </c>
      <c r="CE16" s="122" t="s">
        <v>136</v>
      </c>
      <c r="CF16" s="123" t="s">
        <v>163</v>
      </c>
      <c r="CG16" s="124" t="s">
        <v>139</v>
      </c>
      <c r="CH16" s="54"/>
      <c r="CI16" s="125"/>
      <c r="CJ16" s="125" t="s">
        <v>28</v>
      </c>
      <c r="CK16" s="818" t="s">
        <v>28</v>
      </c>
      <c r="CL16" s="54"/>
      <c r="CM16" s="126">
        <v>1115</v>
      </c>
      <c r="CN16" s="127" t="s">
        <v>132</v>
      </c>
    </row>
    <row r="17" spans="1:92">
      <c r="A17" s="58">
        <v>1130</v>
      </c>
      <c r="B17" s="845" t="s">
        <v>170</v>
      </c>
      <c r="C17" s="845" t="s">
        <v>171</v>
      </c>
      <c r="D17" s="845">
        <v>52.46</v>
      </c>
      <c r="E17" s="845">
        <v>-2.1</v>
      </c>
      <c r="F17" s="59">
        <v>616</v>
      </c>
      <c r="G17" s="427">
        <v>0.2</v>
      </c>
      <c r="H17" s="386">
        <v>0.5</v>
      </c>
      <c r="I17" s="428">
        <v>4</v>
      </c>
      <c r="J17" s="310">
        <v>0.3</v>
      </c>
      <c r="K17" s="429">
        <v>3.7</v>
      </c>
      <c r="L17" s="94">
        <v>31.74</v>
      </c>
      <c r="M17" s="138">
        <v>35.229999999999997</v>
      </c>
      <c r="N17" s="430">
        <v>39.08</v>
      </c>
      <c r="O17" s="431">
        <v>3.5</v>
      </c>
      <c r="P17" s="432">
        <v>7.3</v>
      </c>
      <c r="Q17" s="368">
        <v>17.02</v>
      </c>
      <c r="R17" s="433">
        <v>19.190000000000001</v>
      </c>
      <c r="S17" s="330">
        <v>21.46</v>
      </c>
      <c r="T17" s="218">
        <v>2.2000000000000002</v>
      </c>
      <c r="U17" s="140">
        <v>4.4000000000000004</v>
      </c>
      <c r="V17" s="434">
        <v>26.8</v>
      </c>
      <c r="W17" s="138">
        <v>37.1</v>
      </c>
      <c r="X17" s="435">
        <v>65.8</v>
      </c>
      <c r="Y17" s="436">
        <v>10.3</v>
      </c>
      <c r="Z17" s="281">
        <v>39</v>
      </c>
      <c r="AA17" s="437">
        <v>1.1000000000000001</v>
      </c>
      <c r="AB17" s="438">
        <v>0.7</v>
      </c>
      <c r="AC17" s="82">
        <v>0.1</v>
      </c>
      <c r="AD17" s="439">
        <v>-0.3</v>
      </c>
      <c r="AE17" s="440">
        <v>-1</v>
      </c>
      <c r="AF17" s="864">
        <v>0.03</v>
      </c>
      <c r="AG17" s="133">
        <v>0.43</v>
      </c>
      <c r="AH17" s="617">
        <v>4.0999999999999996</v>
      </c>
      <c r="AI17" s="252">
        <v>0.4</v>
      </c>
      <c r="AJ17" s="374">
        <v>4.0999999999999996</v>
      </c>
      <c r="AK17" s="846">
        <v>1.2</v>
      </c>
      <c r="AL17" s="865">
        <v>1.67</v>
      </c>
      <c r="AM17" s="562">
        <v>4.7300000000000004</v>
      </c>
      <c r="AN17" s="441">
        <v>0.5</v>
      </c>
      <c r="AO17" s="442">
        <v>3.1</v>
      </c>
      <c r="AP17" s="89">
        <v>9</v>
      </c>
      <c r="AQ17" s="222">
        <v>8</v>
      </c>
      <c r="AR17" s="417">
        <v>6</v>
      </c>
      <c r="AS17" s="61">
        <v>-1</v>
      </c>
      <c r="AT17" s="92">
        <v>-2</v>
      </c>
      <c r="AU17" s="418">
        <v>14</v>
      </c>
      <c r="AV17" s="419">
        <v>14</v>
      </c>
      <c r="AW17" s="419">
        <v>14</v>
      </c>
      <c r="AX17" s="91">
        <v>0</v>
      </c>
      <c r="AY17" s="93">
        <v>0</v>
      </c>
      <c r="AZ17" s="420">
        <v>46</v>
      </c>
      <c r="BA17" s="421">
        <v>55</v>
      </c>
      <c r="BB17" s="389">
        <v>52</v>
      </c>
      <c r="BC17" s="275">
        <v>9</v>
      </c>
      <c r="BD17" s="325">
        <v>6</v>
      </c>
      <c r="BE17" s="227">
        <v>49</v>
      </c>
      <c r="BF17" s="396">
        <v>59</v>
      </c>
      <c r="BG17" s="396">
        <v>59</v>
      </c>
      <c r="BH17" s="422">
        <v>10</v>
      </c>
      <c r="BI17" s="262">
        <v>10</v>
      </c>
      <c r="BJ17" s="132">
        <v>16</v>
      </c>
      <c r="BK17" s="356">
        <v>27.4</v>
      </c>
      <c r="BL17" s="355">
        <v>53.5</v>
      </c>
      <c r="BM17" s="63">
        <v>11.8</v>
      </c>
      <c r="BN17" s="443">
        <v>37.9</v>
      </c>
      <c r="BO17" s="165">
        <v>-0.55500000000000005</v>
      </c>
      <c r="BP17" s="444">
        <v>3.6659999999999999</v>
      </c>
      <c r="BQ17" s="445">
        <v>4.2</v>
      </c>
      <c r="BR17" s="110">
        <v>38</v>
      </c>
      <c r="BS17" s="446">
        <v>67</v>
      </c>
      <c r="BT17" s="103">
        <v>29</v>
      </c>
      <c r="BU17" s="447">
        <v>-11.003</v>
      </c>
      <c r="BV17" s="448">
        <v>-76.36</v>
      </c>
      <c r="BW17" s="449">
        <v>-65.400000000000006</v>
      </c>
      <c r="BX17" s="173" t="s">
        <v>133</v>
      </c>
      <c r="BY17" s="174" t="s">
        <v>133</v>
      </c>
      <c r="BZ17" s="175" t="s">
        <v>134</v>
      </c>
      <c r="CA17" s="176" t="s">
        <v>134</v>
      </c>
      <c r="CB17" s="177" t="s">
        <v>134</v>
      </c>
      <c r="CC17" s="121" t="s">
        <v>135</v>
      </c>
      <c r="CD17" s="122" t="s">
        <v>137</v>
      </c>
      <c r="CE17" s="122" t="s">
        <v>137</v>
      </c>
      <c r="CF17" s="123" t="s">
        <v>138</v>
      </c>
      <c r="CG17" s="124" t="s">
        <v>139</v>
      </c>
      <c r="CH17" s="54"/>
      <c r="CI17" s="125"/>
      <c r="CJ17" s="125" t="s">
        <v>28</v>
      </c>
      <c r="CK17" s="818" t="s">
        <v>28</v>
      </c>
      <c r="CL17" s="54"/>
      <c r="CM17" s="126">
        <v>1127</v>
      </c>
      <c r="CN17" s="127" t="s">
        <v>161</v>
      </c>
    </row>
    <row r="18" spans="1:92">
      <c r="A18" s="58">
        <v>1131</v>
      </c>
      <c r="B18" s="845" t="s">
        <v>147</v>
      </c>
      <c r="C18" s="845" t="s">
        <v>701</v>
      </c>
      <c r="D18" s="845">
        <v>54.67</v>
      </c>
      <c r="E18" s="845">
        <v>-1.21</v>
      </c>
      <c r="F18" s="59">
        <v>1220</v>
      </c>
      <c r="G18" s="193">
        <v>0</v>
      </c>
      <c r="H18" s="400">
        <v>0</v>
      </c>
      <c r="I18" s="450">
        <v>0.3</v>
      </c>
      <c r="J18" s="400">
        <v>0</v>
      </c>
      <c r="K18" s="451">
        <v>0.3</v>
      </c>
      <c r="L18" s="197">
        <v>28.28</v>
      </c>
      <c r="M18" s="252">
        <v>31.07</v>
      </c>
      <c r="N18" s="239">
        <v>34.39</v>
      </c>
      <c r="O18" s="288">
        <v>2.8</v>
      </c>
      <c r="P18" s="429">
        <v>6.1</v>
      </c>
      <c r="Q18" s="452">
        <v>15.62</v>
      </c>
      <c r="R18" s="258">
        <v>17.54</v>
      </c>
      <c r="S18" s="453">
        <v>19.54</v>
      </c>
      <c r="T18" s="454">
        <v>1.9</v>
      </c>
      <c r="U18" s="455">
        <v>3.9</v>
      </c>
      <c r="V18" s="197">
        <v>7.4</v>
      </c>
      <c r="W18" s="456">
        <v>12.7</v>
      </c>
      <c r="X18" s="101">
        <v>32.299999999999997</v>
      </c>
      <c r="Y18" s="398">
        <v>5.3</v>
      </c>
      <c r="Z18" s="457">
        <v>24.9</v>
      </c>
      <c r="AA18" s="458">
        <v>0.4</v>
      </c>
      <c r="AB18" s="82">
        <v>0.1</v>
      </c>
      <c r="AC18" s="91">
        <v>0</v>
      </c>
      <c r="AD18" s="347">
        <v>-0.3</v>
      </c>
      <c r="AE18" s="231">
        <v>-0.4</v>
      </c>
      <c r="AF18" s="864">
        <v>0.03</v>
      </c>
      <c r="AG18" s="648">
        <v>0.03</v>
      </c>
      <c r="AH18" s="603">
        <v>1</v>
      </c>
      <c r="AI18" s="149">
        <v>0</v>
      </c>
      <c r="AJ18" s="459">
        <v>1</v>
      </c>
      <c r="AK18" s="475">
        <v>0.9</v>
      </c>
      <c r="AL18" s="865">
        <v>1.67</v>
      </c>
      <c r="AM18" s="435">
        <v>4.5999999999999996</v>
      </c>
      <c r="AN18" s="460">
        <v>0.8</v>
      </c>
      <c r="AO18" s="461">
        <v>2.9</v>
      </c>
      <c r="AP18" s="151">
        <v>10</v>
      </c>
      <c r="AQ18" s="61">
        <v>9</v>
      </c>
      <c r="AR18" s="222">
        <v>8</v>
      </c>
      <c r="AS18" s="61">
        <v>-1</v>
      </c>
      <c r="AT18" s="103">
        <v>-1</v>
      </c>
      <c r="AU18" s="89">
        <v>11</v>
      </c>
      <c r="AV18" s="61">
        <v>11</v>
      </c>
      <c r="AW18" s="61">
        <v>11</v>
      </c>
      <c r="AX18" s="91">
        <v>0</v>
      </c>
      <c r="AY18" s="93">
        <v>0</v>
      </c>
      <c r="AZ18" s="462">
        <v>60</v>
      </c>
      <c r="BA18" s="354">
        <v>70</v>
      </c>
      <c r="BB18" s="396">
        <v>71</v>
      </c>
      <c r="BC18" s="95">
        <v>10</v>
      </c>
      <c r="BD18" s="463">
        <v>11</v>
      </c>
      <c r="BE18" s="377">
        <v>31</v>
      </c>
      <c r="BF18" s="261">
        <v>39</v>
      </c>
      <c r="BG18" s="142">
        <v>35</v>
      </c>
      <c r="BH18" s="61">
        <v>8</v>
      </c>
      <c r="BI18" s="328">
        <v>4</v>
      </c>
      <c r="BJ18" s="224">
        <v>33</v>
      </c>
      <c r="BK18" s="401">
        <v>43.1</v>
      </c>
      <c r="BL18" s="464">
        <v>62.8</v>
      </c>
      <c r="BM18" s="252">
        <v>10</v>
      </c>
      <c r="BN18" s="465">
        <v>29.7</v>
      </c>
      <c r="BO18" s="466">
        <v>-1.006</v>
      </c>
      <c r="BP18" s="467">
        <v>3.12</v>
      </c>
      <c r="BQ18" s="468">
        <v>4.0999999999999996</v>
      </c>
      <c r="BR18" s="469">
        <v>41</v>
      </c>
      <c r="BS18" s="470">
        <v>61</v>
      </c>
      <c r="BT18" s="338">
        <v>20</v>
      </c>
      <c r="BU18" s="471">
        <v>-9.3010000000000002</v>
      </c>
      <c r="BV18" s="472">
        <v>-54.741</v>
      </c>
      <c r="BW18" s="300">
        <v>-45.4</v>
      </c>
      <c r="BX18" s="173" t="s">
        <v>143</v>
      </c>
      <c r="BY18" s="174" t="s">
        <v>143</v>
      </c>
      <c r="BZ18" s="175" t="s">
        <v>134</v>
      </c>
      <c r="CA18" s="176" t="s">
        <v>134</v>
      </c>
      <c r="CB18" s="177" t="s">
        <v>134</v>
      </c>
      <c r="CC18" s="121" t="s">
        <v>135</v>
      </c>
      <c r="CD18" s="122" t="s">
        <v>137</v>
      </c>
      <c r="CE18" s="122" t="s">
        <v>137</v>
      </c>
      <c r="CF18" s="123" t="s">
        <v>138</v>
      </c>
      <c r="CG18" s="124" t="s">
        <v>139</v>
      </c>
      <c r="CH18" s="54"/>
      <c r="CI18" s="125"/>
      <c r="CJ18" s="125" t="s">
        <v>28</v>
      </c>
      <c r="CK18" s="818" t="s">
        <v>28</v>
      </c>
      <c r="CL18" s="54"/>
      <c r="CM18" s="126">
        <v>1142</v>
      </c>
      <c r="CN18" s="127" t="s">
        <v>172</v>
      </c>
    </row>
    <row r="19" spans="1:92">
      <c r="A19" s="58">
        <v>1132</v>
      </c>
      <c r="B19" s="845" t="s">
        <v>160</v>
      </c>
      <c r="C19" s="845" t="s">
        <v>702</v>
      </c>
      <c r="D19" s="845">
        <v>53.64</v>
      </c>
      <c r="E19" s="845">
        <v>-1.77</v>
      </c>
      <c r="F19" s="59">
        <v>947</v>
      </c>
      <c r="G19" s="390">
        <v>0</v>
      </c>
      <c r="H19" s="209">
        <v>0.1</v>
      </c>
      <c r="I19" s="138">
        <v>1.2</v>
      </c>
      <c r="J19" s="473">
        <v>0.1</v>
      </c>
      <c r="K19" s="474">
        <v>1.2</v>
      </c>
      <c r="L19" s="475">
        <v>29.55</v>
      </c>
      <c r="M19" s="476">
        <v>32.68</v>
      </c>
      <c r="N19" s="477">
        <v>36.24</v>
      </c>
      <c r="O19" s="478">
        <v>3.1</v>
      </c>
      <c r="P19" s="201">
        <v>6.7</v>
      </c>
      <c r="Q19" s="479">
        <v>15.76</v>
      </c>
      <c r="R19" s="480">
        <v>17.829999999999998</v>
      </c>
      <c r="S19" s="250">
        <v>19.95</v>
      </c>
      <c r="T19" s="481">
        <v>2.1</v>
      </c>
      <c r="U19" s="482">
        <v>4.2</v>
      </c>
      <c r="V19" s="483">
        <v>12.4</v>
      </c>
      <c r="W19" s="327">
        <v>19.3</v>
      </c>
      <c r="X19" s="484">
        <v>38.299999999999997</v>
      </c>
      <c r="Y19" s="473">
        <v>6.9</v>
      </c>
      <c r="Z19" s="485">
        <v>25.9</v>
      </c>
      <c r="AA19" s="486">
        <v>1.2</v>
      </c>
      <c r="AB19" s="261">
        <v>0.6</v>
      </c>
      <c r="AC19" s="82">
        <v>0.1</v>
      </c>
      <c r="AD19" s="487">
        <v>-0.6</v>
      </c>
      <c r="AE19" s="488">
        <v>-1.1000000000000001</v>
      </c>
      <c r="AF19" s="611">
        <v>7.0000000000000007E-2</v>
      </c>
      <c r="AG19" s="106">
        <v>0.13</v>
      </c>
      <c r="AH19" s="582">
        <v>1.73</v>
      </c>
      <c r="AI19" s="216">
        <v>0.1</v>
      </c>
      <c r="AJ19" s="489">
        <v>1.7</v>
      </c>
      <c r="AK19" s="349">
        <v>1.27</v>
      </c>
      <c r="AL19" s="133">
        <v>1.83</v>
      </c>
      <c r="AM19" s="134">
        <v>4.4000000000000004</v>
      </c>
      <c r="AN19" s="87">
        <v>0.6</v>
      </c>
      <c r="AO19" s="388">
        <v>2.6</v>
      </c>
      <c r="AP19" s="220">
        <v>12</v>
      </c>
      <c r="AQ19" s="221">
        <v>11</v>
      </c>
      <c r="AR19" s="61">
        <v>9</v>
      </c>
      <c r="AS19" s="61">
        <v>-1</v>
      </c>
      <c r="AT19" s="92">
        <v>-2</v>
      </c>
      <c r="AU19" s="418">
        <v>14</v>
      </c>
      <c r="AV19" s="419">
        <v>14</v>
      </c>
      <c r="AW19" s="419">
        <v>14</v>
      </c>
      <c r="AX19" s="91">
        <v>0</v>
      </c>
      <c r="AY19" s="93">
        <v>0</v>
      </c>
      <c r="AZ19" s="89">
        <v>61</v>
      </c>
      <c r="BA19" s="396">
        <v>71</v>
      </c>
      <c r="BB19" s="289">
        <v>76</v>
      </c>
      <c r="BC19" s="95">
        <v>10</v>
      </c>
      <c r="BD19" s="157">
        <v>15</v>
      </c>
      <c r="BE19" s="292">
        <v>53</v>
      </c>
      <c r="BF19" s="396">
        <v>59</v>
      </c>
      <c r="BG19" s="62">
        <v>61</v>
      </c>
      <c r="BH19" s="230">
        <v>6</v>
      </c>
      <c r="BI19" s="103">
        <v>8</v>
      </c>
      <c r="BJ19" s="861">
        <v>17</v>
      </c>
      <c r="BK19" s="230">
        <v>26.4</v>
      </c>
      <c r="BL19" s="342">
        <v>47</v>
      </c>
      <c r="BM19" s="490">
        <v>9.1</v>
      </c>
      <c r="BN19" s="465">
        <v>29.7</v>
      </c>
      <c r="BO19" s="333">
        <v>-0.752</v>
      </c>
      <c r="BP19" s="334">
        <v>4.2329999999999997</v>
      </c>
      <c r="BQ19" s="335">
        <v>5</v>
      </c>
      <c r="BR19" s="336">
        <v>31</v>
      </c>
      <c r="BS19" s="337">
        <v>51</v>
      </c>
      <c r="BT19" s="338">
        <v>20</v>
      </c>
      <c r="BU19" s="339">
        <v>-7.5720000000000001</v>
      </c>
      <c r="BV19" s="340">
        <v>-66.340999999999994</v>
      </c>
      <c r="BW19" s="341">
        <v>-58.8</v>
      </c>
      <c r="BX19" s="173" t="s">
        <v>133</v>
      </c>
      <c r="BY19" s="174" t="s">
        <v>133</v>
      </c>
      <c r="BZ19" s="175" t="s">
        <v>134</v>
      </c>
      <c r="CA19" s="176" t="s">
        <v>134</v>
      </c>
      <c r="CB19" s="177" t="s">
        <v>134</v>
      </c>
      <c r="CC19" s="121" t="s">
        <v>135</v>
      </c>
      <c r="CD19" s="122" t="s">
        <v>137</v>
      </c>
      <c r="CE19" s="122" t="s">
        <v>135</v>
      </c>
      <c r="CF19" s="123" t="s">
        <v>138</v>
      </c>
      <c r="CG19" s="124" t="s">
        <v>139</v>
      </c>
      <c r="CH19" s="54"/>
      <c r="CI19" s="125"/>
      <c r="CJ19" s="125" t="s">
        <v>28</v>
      </c>
      <c r="CK19" s="818" t="s">
        <v>28</v>
      </c>
      <c r="CL19" s="54"/>
      <c r="CM19" s="126">
        <v>1143</v>
      </c>
      <c r="CN19" s="127" t="s">
        <v>174</v>
      </c>
    </row>
    <row r="20" spans="1:92">
      <c r="A20" s="58">
        <v>1133</v>
      </c>
      <c r="B20" s="845" t="s">
        <v>155</v>
      </c>
      <c r="C20" s="845" t="s">
        <v>703</v>
      </c>
      <c r="D20" s="845">
        <v>53.74</v>
      </c>
      <c r="E20" s="845">
        <v>-0.26</v>
      </c>
      <c r="F20" s="59">
        <v>974</v>
      </c>
      <c r="G20" s="128">
        <v>0.1</v>
      </c>
      <c r="H20" s="209">
        <v>0.1</v>
      </c>
      <c r="I20" s="101">
        <v>0.8</v>
      </c>
      <c r="J20" s="277">
        <v>0</v>
      </c>
      <c r="K20" s="491">
        <v>0.7</v>
      </c>
      <c r="L20" s="492">
        <v>30.24</v>
      </c>
      <c r="M20" s="493">
        <v>33.11</v>
      </c>
      <c r="N20" s="477">
        <v>36.229999999999997</v>
      </c>
      <c r="O20" s="494">
        <v>2.9</v>
      </c>
      <c r="P20" s="206">
        <v>6</v>
      </c>
      <c r="Q20" s="408">
        <v>16.7</v>
      </c>
      <c r="R20" s="495">
        <v>18.77</v>
      </c>
      <c r="S20" s="496">
        <v>20.78</v>
      </c>
      <c r="T20" s="481">
        <v>2.1</v>
      </c>
      <c r="U20" s="497">
        <v>4.0999999999999996</v>
      </c>
      <c r="V20" s="498">
        <v>15.8</v>
      </c>
      <c r="W20" s="183">
        <v>26.3</v>
      </c>
      <c r="X20" s="77">
        <v>52.4</v>
      </c>
      <c r="Y20" s="159">
        <v>10.6</v>
      </c>
      <c r="Z20" s="499">
        <v>36.700000000000003</v>
      </c>
      <c r="AA20" s="211">
        <v>0.3</v>
      </c>
      <c r="AB20" s="500">
        <v>0.2</v>
      </c>
      <c r="AC20" s="91">
        <v>0</v>
      </c>
      <c r="AD20" s="501">
        <v>-0.1</v>
      </c>
      <c r="AE20" s="64">
        <v>-0.3</v>
      </c>
      <c r="AF20" s="864">
        <v>0.03</v>
      </c>
      <c r="AG20" s="106">
        <v>0.13</v>
      </c>
      <c r="AH20" s="179">
        <v>2.9</v>
      </c>
      <c r="AI20" s="277">
        <v>0.1</v>
      </c>
      <c r="AJ20" s="502">
        <v>2.9</v>
      </c>
      <c r="AK20" s="475">
        <v>0.9</v>
      </c>
      <c r="AL20" s="865">
        <v>1.67</v>
      </c>
      <c r="AM20" s="667">
        <v>4.83</v>
      </c>
      <c r="AN20" s="460">
        <v>0.8</v>
      </c>
      <c r="AO20" s="503">
        <v>3.2</v>
      </c>
      <c r="AP20" s="89">
        <v>9</v>
      </c>
      <c r="AQ20" s="61">
        <v>9</v>
      </c>
      <c r="AR20" s="90">
        <v>7</v>
      </c>
      <c r="AS20" s="91">
        <v>0</v>
      </c>
      <c r="AT20" s="92">
        <v>-2</v>
      </c>
      <c r="AU20" s="323">
        <v>10</v>
      </c>
      <c r="AV20" s="90">
        <v>10</v>
      </c>
      <c r="AW20" s="90">
        <v>10</v>
      </c>
      <c r="AX20" s="91">
        <v>0</v>
      </c>
      <c r="AY20" s="93">
        <v>0</v>
      </c>
      <c r="AZ20" s="353">
        <v>65</v>
      </c>
      <c r="BA20" s="318">
        <v>67</v>
      </c>
      <c r="BB20" s="208">
        <v>66</v>
      </c>
      <c r="BC20" s="375">
        <v>2</v>
      </c>
      <c r="BD20" s="84">
        <v>1</v>
      </c>
      <c r="BE20" s="377">
        <v>31</v>
      </c>
      <c r="BF20" s="327">
        <v>36</v>
      </c>
      <c r="BG20" s="61">
        <v>42</v>
      </c>
      <c r="BH20" s="504">
        <v>5</v>
      </c>
      <c r="BI20" s="505">
        <v>11</v>
      </c>
      <c r="BJ20" s="716">
        <v>32</v>
      </c>
      <c r="BK20" s="329">
        <v>42.5</v>
      </c>
      <c r="BL20" s="506">
        <v>65.8</v>
      </c>
      <c r="BM20" s="252">
        <v>10</v>
      </c>
      <c r="BN20" s="380">
        <v>33.4</v>
      </c>
      <c r="BO20" s="333">
        <v>-0.752</v>
      </c>
      <c r="BP20" s="334">
        <v>4.2329999999999997</v>
      </c>
      <c r="BQ20" s="335">
        <v>5</v>
      </c>
      <c r="BR20" s="507">
        <v>37</v>
      </c>
      <c r="BS20" s="508">
        <v>66</v>
      </c>
      <c r="BT20" s="103">
        <v>29</v>
      </c>
      <c r="BU20" s="339">
        <v>-7.5720000000000001</v>
      </c>
      <c r="BV20" s="340">
        <v>-66.340999999999994</v>
      </c>
      <c r="BW20" s="341">
        <v>-58.8</v>
      </c>
      <c r="BX20" s="173" t="s">
        <v>143</v>
      </c>
      <c r="BY20" s="174" t="s">
        <v>143</v>
      </c>
      <c r="BZ20" s="175" t="s">
        <v>134</v>
      </c>
      <c r="CA20" s="176" t="s">
        <v>134</v>
      </c>
      <c r="CB20" s="177" t="s">
        <v>134</v>
      </c>
      <c r="CC20" s="121" t="s">
        <v>136</v>
      </c>
      <c r="CD20" s="122" t="s">
        <v>137</v>
      </c>
      <c r="CE20" s="122" t="s">
        <v>136</v>
      </c>
      <c r="CF20" s="123" t="s">
        <v>138</v>
      </c>
      <c r="CG20" s="124" t="s">
        <v>139</v>
      </c>
      <c r="CH20" s="54"/>
      <c r="CI20" s="125"/>
      <c r="CJ20" s="125" t="s">
        <v>28</v>
      </c>
      <c r="CK20" s="818" t="s">
        <v>28</v>
      </c>
      <c r="CL20" s="54"/>
      <c r="CM20" s="509">
        <v>1150</v>
      </c>
      <c r="CN20" s="510" t="s">
        <v>175</v>
      </c>
    </row>
    <row r="21" spans="1:92" s="526" customFormat="1">
      <c r="A21" s="58">
        <v>1135</v>
      </c>
      <c r="B21" s="845" t="s">
        <v>151</v>
      </c>
      <c r="C21" s="845" t="s">
        <v>173</v>
      </c>
      <c r="D21" s="845">
        <v>53.77</v>
      </c>
      <c r="E21" s="845">
        <v>-0.33</v>
      </c>
      <c r="F21" s="59">
        <v>974</v>
      </c>
      <c r="G21" s="128">
        <v>0.1</v>
      </c>
      <c r="H21" s="209">
        <v>0.1</v>
      </c>
      <c r="I21" s="101">
        <v>0.8</v>
      </c>
      <c r="J21" s="277">
        <v>0</v>
      </c>
      <c r="K21" s="491">
        <v>0.7</v>
      </c>
      <c r="L21" s="492">
        <v>30.24</v>
      </c>
      <c r="M21" s="493">
        <v>33.11</v>
      </c>
      <c r="N21" s="477">
        <v>36.229999999999997</v>
      </c>
      <c r="O21" s="494">
        <v>2.9</v>
      </c>
      <c r="P21" s="206">
        <v>6</v>
      </c>
      <c r="Q21" s="408">
        <v>16.7</v>
      </c>
      <c r="R21" s="495">
        <v>18.77</v>
      </c>
      <c r="S21" s="496">
        <v>20.78</v>
      </c>
      <c r="T21" s="481">
        <v>2.1</v>
      </c>
      <c r="U21" s="497">
        <v>4.0999999999999996</v>
      </c>
      <c r="V21" s="498">
        <v>15.8</v>
      </c>
      <c r="W21" s="183">
        <v>26.3</v>
      </c>
      <c r="X21" s="77">
        <v>52.4</v>
      </c>
      <c r="Y21" s="460">
        <v>10.6</v>
      </c>
      <c r="Z21" s="499">
        <v>36.6</v>
      </c>
      <c r="AA21" s="211">
        <v>0.3</v>
      </c>
      <c r="AB21" s="500">
        <v>0.2</v>
      </c>
      <c r="AC21" s="91">
        <v>0</v>
      </c>
      <c r="AD21" s="501">
        <v>-0.1</v>
      </c>
      <c r="AE21" s="64">
        <v>-0.3</v>
      </c>
      <c r="AF21" s="864">
        <v>0.03</v>
      </c>
      <c r="AG21" s="106">
        <v>0.13</v>
      </c>
      <c r="AH21" s="179">
        <v>2.9</v>
      </c>
      <c r="AI21" s="277">
        <v>0.1</v>
      </c>
      <c r="AJ21" s="502">
        <v>2.9</v>
      </c>
      <c r="AK21" s="475">
        <v>0.9</v>
      </c>
      <c r="AL21" s="865">
        <v>1.67</v>
      </c>
      <c r="AM21" s="667">
        <v>4.83</v>
      </c>
      <c r="AN21" s="460">
        <v>0.8</v>
      </c>
      <c r="AO21" s="503">
        <v>3.2</v>
      </c>
      <c r="AP21" s="89">
        <v>9</v>
      </c>
      <c r="AQ21" s="61">
        <v>9</v>
      </c>
      <c r="AR21" s="90">
        <v>7</v>
      </c>
      <c r="AS21" s="91">
        <v>0</v>
      </c>
      <c r="AT21" s="92">
        <v>-2</v>
      </c>
      <c r="AU21" s="323">
        <v>10</v>
      </c>
      <c r="AV21" s="90">
        <v>10</v>
      </c>
      <c r="AW21" s="90">
        <v>10</v>
      </c>
      <c r="AX21" s="91">
        <v>0</v>
      </c>
      <c r="AY21" s="93">
        <v>0</v>
      </c>
      <c r="AZ21" s="353">
        <v>65</v>
      </c>
      <c r="BA21" s="318">
        <v>67</v>
      </c>
      <c r="BB21" s="208">
        <v>66</v>
      </c>
      <c r="BC21" s="375">
        <v>2</v>
      </c>
      <c r="BD21" s="84">
        <v>1</v>
      </c>
      <c r="BE21" s="377">
        <v>31</v>
      </c>
      <c r="BF21" s="327">
        <v>36</v>
      </c>
      <c r="BG21" s="61">
        <v>42</v>
      </c>
      <c r="BH21" s="504">
        <v>5</v>
      </c>
      <c r="BI21" s="505">
        <v>11</v>
      </c>
      <c r="BJ21" s="716">
        <v>32</v>
      </c>
      <c r="BK21" s="329">
        <v>42.5</v>
      </c>
      <c r="BL21" s="506">
        <v>65.8</v>
      </c>
      <c r="BM21" s="252">
        <v>10</v>
      </c>
      <c r="BN21" s="380">
        <v>33.4</v>
      </c>
      <c r="BO21" s="333">
        <v>-0.752</v>
      </c>
      <c r="BP21" s="334">
        <v>4.2329999999999997</v>
      </c>
      <c r="BQ21" s="335">
        <v>5</v>
      </c>
      <c r="BR21" s="507">
        <v>37</v>
      </c>
      <c r="BS21" s="508">
        <v>66</v>
      </c>
      <c r="BT21" s="103">
        <v>29</v>
      </c>
      <c r="BU21" s="339">
        <v>-7.5720000000000001</v>
      </c>
      <c r="BV21" s="340">
        <v>-66.340999999999994</v>
      </c>
      <c r="BW21" s="341">
        <v>-58.8</v>
      </c>
      <c r="BX21" s="173" t="s">
        <v>143</v>
      </c>
      <c r="BY21" s="174" t="s">
        <v>143</v>
      </c>
      <c r="BZ21" s="175" t="s">
        <v>134</v>
      </c>
      <c r="CA21" s="176" t="s">
        <v>134</v>
      </c>
      <c r="CB21" s="177" t="s">
        <v>134</v>
      </c>
      <c r="CC21" s="121" t="s">
        <v>144</v>
      </c>
      <c r="CD21" s="122" t="s">
        <v>135</v>
      </c>
      <c r="CE21" s="122" t="s">
        <v>135</v>
      </c>
      <c r="CF21" s="123" t="s">
        <v>138</v>
      </c>
      <c r="CG21" s="124" t="s">
        <v>139</v>
      </c>
      <c r="CH21" s="54"/>
      <c r="CI21" s="125"/>
      <c r="CJ21" s="125" t="s">
        <v>28</v>
      </c>
      <c r="CK21" s="818" t="s">
        <v>28</v>
      </c>
      <c r="CL21" s="54"/>
      <c r="CM21" s="524">
        <v>1300</v>
      </c>
      <c r="CN21" s="525" t="s">
        <v>176</v>
      </c>
    </row>
    <row r="22" spans="1:92" s="526" customFormat="1">
      <c r="A22" s="58">
        <v>1137</v>
      </c>
      <c r="B22" s="845" t="s">
        <v>153</v>
      </c>
      <c r="C22" s="845" t="s">
        <v>704</v>
      </c>
      <c r="D22" s="845">
        <v>53.77</v>
      </c>
      <c r="E22" s="845">
        <v>-1.52</v>
      </c>
      <c r="F22" s="59">
        <v>967</v>
      </c>
      <c r="G22" s="511">
        <v>0.1</v>
      </c>
      <c r="H22" s="268">
        <v>0.2</v>
      </c>
      <c r="I22" s="329">
        <v>1.6</v>
      </c>
      <c r="J22" s="256">
        <v>0.2</v>
      </c>
      <c r="K22" s="512">
        <v>1.5</v>
      </c>
      <c r="L22" s="513">
        <v>30.09</v>
      </c>
      <c r="M22" s="203">
        <v>33.17</v>
      </c>
      <c r="N22" s="204">
        <v>36.619999999999997</v>
      </c>
      <c r="O22" s="514">
        <v>3.1</v>
      </c>
      <c r="P22" s="515">
        <v>6.5</v>
      </c>
      <c r="Q22" s="202">
        <v>16.36</v>
      </c>
      <c r="R22" s="200">
        <v>18.45</v>
      </c>
      <c r="S22" s="516">
        <v>20.6</v>
      </c>
      <c r="T22" s="320">
        <v>2.1</v>
      </c>
      <c r="U22" s="311">
        <v>4.2</v>
      </c>
      <c r="V22" s="517">
        <v>16.5</v>
      </c>
      <c r="W22" s="178">
        <v>24.1</v>
      </c>
      <c r="X22" s="354">
        <v>47</v>
      </c>
      <c r="Y22" s="518">
        <v>7.6</v>
      </c>
      <c r="Z22" s="519">
        <v>30.5</v>
      </c>
      <c r="AA22" s="520">
        <v>0.7</v>
      </c>
      <c r="AB22" s="61">
        <v>0.3</v>
      </c>
      <c r="AC22" s="191">
        <v>0.1</v>
      </c>
      <c r="AD22" s="228">
        <v>-0.4</v>
      </c>
      <c r="AE22" s="521">
        <v>-0.6</v>
      </c>
      <c r="AF22" s="611">
        <v>7.0000000000000007E-2</v>
      </c>
      <c r="AG22" s="106">
        <v>0.13</v>
      </c>
      <c r="AH22" s="146">
        <v>2.1</v>
      </c>
      <c r="AI22" s="216">
        <v>0.1</v>
      </c>
      <c r="AJ22" s="522">
        <v>2</v>
      </c>
      <c r="AK22" s="866">
        <v>1.63</v>
      </c>
      <c r="AL22" s="101">
        <v>2.1</v>
      </c>
      <c r="AM22" s="330">
        <v>4.7</v>
      </c>
      <c r="AN22" s="441">
        <v>0.5</v>
      </c>
      <c r="AO22" s="499">
        <v>2.6</v>
      </c>
      <c r="AP22" s="89">
        <v>9</v>
      </c>
      <c r="AQ22" s="61">
        <v>9</v>
      </c>
      <c r="AR22" s="90">
        <v>7</v>
      </c>
      <c r="AS22" s="91">
        <v>0</v>
      </c>
      <c r="AT22" s="92">
        <v>-2</v>
      </c>
      <c r="AU22" s="323">
        <v>10</v>
      </c>
      <c r="AV22" s="90">
        <v>10</v>
      </c>
      <c r="AW22" s="90">
        <v>10</v>
      </c>
      <c r="AX22" s="91">
        <v>0</v>
      </c>
      <c r="AY22" s="93">
        <v>0</v>
      </c>
      <c r="AZ22" s="353">
        <v>65</v>
      </c>
      <c r="BA22" s="318">
        <v>67</v>
      </c>
      <c r="BB22" s="208">
        <v>66</v>
      </c>
      <c r="BC22" s="375">
        <v>2</v>
      </c>
      <c r="BD22" s="84">
        <v>1</v>
      </c>
      <c r="BE22" s="377">
        <v>31</v>
      </c>
      <c r="BF22" s="327">
        <v>36</v>
      </c>
      <c r="BG22" s="61">
        <v>42</v>
      </c>
      <c r="BH22" s="504">
        <v>5</v>
      </c>
      <c r="BI22" s="505">
        <v>11</v>
      </c>
      <c r="BJ22" s="867">
        <v>27</v>
      </c>
      <c r="BK22" s="195">
        <v>37.5</v>
      </c>
      <c r="BL22" s="83">
        <v>61.4</v>
      </c>
      <c r="BM22" s="256">
        <v>10.9</v>
      </c>
      <c r="BN22" s="523">
        <v>34.799999999999997</v>
      </c>
      <c r="BO22" s="333">
        <v>-0.752</v>
      </c>
      <c r="BP22" s="334">
        <v>4.2329999999999997</v>
      </c>
      <c r="BQ22" s="335">
        <v>5</v>
      </c>
      <c r="BR22" s="336">
        <v>31</v>
      </c>
      <c r="BS22" s="337">
        <v>51</v>
      </c>
      <c r="BT22" s="338">
        <v>20</v>
      </c>
      <c r="BU22" s="339">
        <v>-7.5720000000000001</v>
      </c>
      <c r="BV22" s="340">
        <v>-66.340999999999994</v>
      </c>
      <c r="BW22" s="341">
        <v>-58.8</v>
      </c>
      <c r="BX22" s="173" t="s">
        <v>133</v>
      </c>
      <c r="BY22" s="174" t="s">
        <v>133</v>
      </c>
      <c r="BZ22" s="175" t="s">
        <v>134</v>
      </c>
      <c r="CA22" s="176" t="s">
        <v>134</v>
      </c>
      <c r="CB22" s="177" t="s">
        <v>134</v>
      </c>
      <c r="CC22" s="121" t="s">
        <v>135</v>
      </c>
      <c r="CD22" s="122" t="s">
        <v>137</v>
      </c>
      <c r="CE22" s="122" t="s">
        <v>137</v>
      </c>
      <c r="CF22" s="123" t="s">
        <v>138</v>
      </c>
      <c r="CG22" s="124" t="s">
        <v>139</v>
      </c>
      <c r="CH22" s="54"/>
      <c r="CI22" s="125"/>
      <c r="CJ22" s="125" t="s">
        <v>28</v>
      </c>
      <c r="CK22" s="818" t="s">
        <v>28</v>
      </c>
      <c r="CL22" s="54"/>
      <c r="CM22" s="524">
        <v>1301</v>
      </c>
      <c r="CN22" s="525" t="s">
        <v>177</v>
      </c>
    </row>
    <row r="23" spans="1:92" s="526" customFormat="1">
      <c r="A23" s="58">
        <v>1153</v>
      </c>
      <c r="B23" s="845" t="s">
        <v>181</v>
      </c>
      <c r="C23" s="868" t="s">
        <v>196</v>
      </c>
      <c r="D23" s="845">
        <v>52.11</v>
      </c>
      <c r="E23" s="845">
        <v>-1.78</v>
      </c>
      <c r="F23" s="59">
        <v>514</v>
      </c>
      <c r="G23" s="694">
        <v>0.3</v>
      </c>
      <c r="H23" s="575">
        <v>0.6</v>
      </c>
      <c r="I23" s="695">
        <v>4.7</v>
      </c>
      <c r="J23" s="135">
        <v>0.3</v>
      </c>
      <c r="K23" s="696">
        <v>4.5</v>
      </c>
      <c r="L23" s="697">
        <v>31.91</v>
      </c>
      <c r="M23" s="582">
        <v>35.46</v>
      </c>
      <c r="N23" s="698">
        <v>39.409999999999997</v>
      </c>
      <c r="O23" s="61">
        <v>3.6</v>
      </c>
      <c r="P23" s="410">
        <v>7.5</v>
      </c>
      <c r="Q23" s="260">
        <v>17.059999999999999</v>
      </c>
      <c r="R23" s="295">
        <v>19.260000000000002</v>
      </c>
      <c r="S23" s="562">
        <v>21.5</v>
      </c>
      <c r="T23" s="232">
        <v>2.2000000000000002</v>
      </c>
      <c r="U23" s="140">
        <v>4.4000000000000004</v>
      </c>
      <c r="V23" s="462">
        <v>27.1</v>
      </c>
      <c r="W23" s="582">
        <v>39.299999999999997</v>
      </c>
      <c r="X23" s="699">
        <v>72.900000000000006</v>
      </c>
      <c r="Y23" s="369">
        <v>12.2</v>
      </c>
      <c r="Z23" s="244">
        <v>45.8</v>
      </c>
      <c r="AA23" s="700">
        <v>1.6</v>
      </c>
      <c r="AB23" s="701">
        <v>1.1000000000000001</v>
      </c>
      <c r="AC23" s="702">
        <v>0.3</v>
      </c>
      <c r="AD23" s="609">
        <v>-0.5</v>
      </c>
      <c r="AE23" s="703">
        <v>-1.3</v>
      </c>
      <c r="AF23" s="869">
        <v>0.23</v>
      </c>
      <c r="AG23" s="575">
        <v>0.63</v>
      </c>
      <c r="AH23" s="665">
        <v>4.97</v>
      </c>
      <c r="AI23" s="252">
        <v>0.4</v>
      </c>
      <c r="AJ23" s="704">
        <v>4.7</v>
      </c>
      <c r="AK23" s="870">
        <v>1.1000000000000001</v>
      </c>
      <c r="AL23" s="239">
        <v>1.87</v>
      </c>
      <c r="AM23" s="294">
        <v>4.87</v>
      </c>
      <c r="AN23" s="460">
        <v>0.8</v>
      </c>
      <c r="AO23" s="140">
        <v>3</v>
      </c>
      <c r="AP23" s="89">
        <v>9</v>
      </c>
      <c r="AQ23" s="222">
        <v>8</v>
      </c>
      <c r="AR23" s="417">
        <v>6</v>
      </c>
      <c r="AS23" s="61">
        <v>-1</v>
      </c>
      <c r="AT23" s="92">
        <v>-2</v>
      </c>
      <c r="AU23" s="323">
        <v>10</v>
      </c>
      <c r="AV23" s="90">
        <v>10</v>
      </c>
      <c r="AW23" s="90">
        <v>10</v>
      </c>
      <c r="AX23" s="91">
        <v>0</v>
      </c>
      <c r="AY23" s="93">
        <v>0</v>
      </c>
      <c r="AZ23" s="705">
        <v>80</v>
      </c>
      <c r="BA23" s="396">
        <v>71</v>
      </c>
      <c r="BB23" s="706">
        <v>74</v>
      </c>
      <c r="BC23" s="149">
        <v>-9</v>
      </c>
      <c r="BD23" s="707">
        <v>-6</v>
      </c>
      <c r="BE23" s="75">
        <v>36</v>
      </c>
      <c r="BF23" s="261">
        <v>39</v>
      </c>
      <c r="BG23" s="97">
        <v>51</v>
      </c>
      <c r="BH23" s="280">
        <v>3</v>
      </c>
      <c r="BI23" s="160">
        <v>15</v>
      </c>
      <c r="BJ23" s="866">
        <v>27</v>
      </c>
      <c r="BK23" s="637">
        <v>39.700000000000003</v>
      </c>
      <c r="BL23" s="618">
        <v>68.8</v>
      </c>
      <c r="BM23" s="571">
        <v>12.8</v>
      </c>
      <c r="BN23" s="708">
        <v>42</v>
      </c>
      <c r="BO23" s="381">
        <v>-1.349</v>
      </c>
      <c r="BP23" s="382">
        <v>-4.2910000000000004</v>
      </c>
      <c r="BQ23" s="383">
        <v>-2.9</v>
      </c>
      <c r="BR23" s="336">
        <v>31</v>
      </c>
      <c r="BS23" s="709">
        <v>59</v>
      </c>
      <c r="BT23" s="286">
        <v>28</v>
      </c>
      <c r="BU23" s="447">
        <v>-11.003</v>
      </c>
      <c r="BV23" s="448">
        <v>-76.36</v>
      </c>
      <c r="BW23" s="449">
        <v>-65.400000000000006</v>
      </c>
      <c r="BX23" s="173" t="s">
        <v>133</v>
      </c>
      <c r="BY23" s="174" t="s">
        <v>133</v>
      </c>
      <c r="BZ23" s="175" t="s">
        <v>134</v>
      </c>
      <c r="CA23" s="710" t="s">
        <v>185</v>
      </c>
      <c r="CB23" s="711" t="s">
        <v>185</v>
      </c>
      <c r="CC23" s="121" t="s">
        <v>135</v>
      </c>
      <c r="CD23" s="122" t="s">
        <v>137</v>
      </c>
      <c r="CE23" s="122" t="s">
        <v>137</v>
      </c>
      <c r="CF23" s="123" t="s">
        <v>138</v>
      </c>
      <c r="CG23" s="124" t="s">
        <v>139</v>
      </c>
      <c r="CH23" s="54"/>
      <c r="CI23" s="125"/>
      <c r="CJ23" s="125" t="s">
        <v>28</v>
      </c>
      <c r="CK23" s="818" t="s">
        <v>28</v>
      </c>
      <c r="CL23" s="54"/>
      <c r="CM23" s="524">
        <v>1130</v>
      </c>
      <c r="CN23" s="525" t="s">
        <v>170</v>
      </c>
    </row>
    <row r="24" spans="1:92" s="526" customFormat="1">
      <c r="A24" s="58">
        <v>1139</v>
      </c>
      <c r="B24" s="845" t="s">
        <v>169</v>
      </c>
      <c r="C24" s="868" t="s">
        <v>705</v>
      </c>
      <c r="D24" s="845">
        <v>53.47</v>
      </c>
      <c r="E24" s="845">
        <v>-2.21</v>
      </c>
      <c r="F24" s="59">
        <v>926</v>
      </c>
      <c r="G24" s="511">
        <v>0.1</v>
      </c>
      <c r="H24" s="527">
        <v>0.2</v>
      </c>
      <c r="I24" s="263">
        <v>1.1000000000000001</v>
      </c>
      <c r="J24" s="518">
        <v>0.1</v>
      </c>
      <c r="K24" s="196">
        <v>1</v>
      </c>
      <c r="L24" s="70">
        <v>30.08</v>
      </c>
      <c r="M24" s="178">
        <v>33.04</v>
      </c>
      <c r="N24" s="225">
        <v>36.130000000000003</v>
      </c>
      <c r="O24" s="528">
        <v>3</v>
      </c>
      <c r="P24" s="529">
        <v>6.1</v>
      </c>
      <c r="Q24" s="272">
        <v>16.52</v>
      </c>
      <c r="R24" s="331">
        <v>18.62</v>
      </c>
      <c r="S24" s="530">
        <v>20.7</v>
      </c>
      <c r="T24" s="187">
        <v>2.1</v>
      </c>
      <c r="U24" s="531">
        <v>4.2</v>
      </c>
      <c r="V24" s="532">
        <v>14</v>
      </c>
      <c r="W24" s="533">
        <v>20.8</v>
      </c>
      <c r="X24" s="360">
        <v>40</v>
      </c>
      <c r="Y24" s="534">
        <v>6.8</v>
      </c>
      <c r="Z24" s="485">
        <v>26</v>
      </c>
      <c r="AA24" s="458">
        <v>0.4</v>
      </c>
      <c r="AB24" s="212">
        <v>0.2</v>
      </c>
      <c r="AC24" s="213">
        <v>0</v>
      </c>
      <c r="AD24" s="535">
        <v>-0.2</v>
      </c>
      <c r="AE24" s="502">
        <v>-0.4</v>
      </c>
      <c r="AF24" s="346">
        <v>0.13</v>
      </c>
      <c r="AG24" s="268">
        <v>0.23</v>
      </c>
      <c r="AH24" s="250">
        <v>2.17</v>
      </c>
      <c r="AI24" s="277">
        <v>0.1</v>
      </c>
      <c r="AJ24" s="522">
        <v>2</v>
      </c>
      <c r="AK24" s="357">
        <v>1.47</v>
      </c>
      <c r="AL24" s="199">
        <v>2.27</v>
      </c>
      <c r="AM24" s="871">
        <v>4.7699999999999996</v>
      </c>
      <c r="AN24" s="387">
        <v>0.8</v>
      </c>
      <c r="AO24" s="497">
        <v>2.5</v>
      </c>
      <c r="AP24" s="220">
        <v>12</v>
      </c>
      <c r="AQ24" s="393">
        <v>12</v>
      </c>
      <c r="AR24" s="61">
        <v>9</v>
      </c>
      <c r="AS24" s="91">
        <v>0</v>
      </c>
      <c r="AT24" s="223">
        <v>-3</v>
      </c>
      <c r="AU24" s="418">
        <v>14</v>
      </c>
      <c r="AV24" s="419">
        <v>14</v>
      </c>
      <c r="AW24" s="419">
        <v>14</v>
      </c>
      <c r="AX24" s="91">
        <v>0</v>
      </c>
      <c r="AY24" s="93">
        <v>0</v>
      </c>
      <c r="AZ24" s="536">
        <v>47</v>
      </c>
      <c r="BA24" s="280">
        <v>54</v>
      </c>
      <c r="BB24" s="395">
        <v>59</v>
      </c>
      <c r="BC24" s="61">
        <v>7</v>
      </c>
      <c r="BD24" s="259">
        <v>12</v>
      </c>
      <c r="BE24" s="357">
        <v>38</v>
      </c>
      <c r="BF24" s="386">
        <v>43</v>
      </c>
      <c r="BG24" s="537">
        <v>48</v>
      </c>
      <c r="BH24" s="504">
        <v>5</v>
      </c>
      <c r="BI24" s="262">
        <v>10</v>
      </c>
      <c r="BJ24" s="532">
        <v>12</v>
      </c>
      <c r="BK24" s="538">
        <v>17.5</v>
      </c>
      <c r="BL24" s="495">
        <v>28.9</v>
      </c>
      <c r="BM24" s="296">
        <v>5.2</v>
      </c>
      <c r="BN24" s="539">
        <v>16.600000000000001</v>
      </c>
      <c r="BO24" s="540">
        <v>0.19800000000000001</v>
      </c>
      <c r="BP24" s="541">
        <v>17.55</v>
      </c>
      <c r="BQ24" s="542">
        <v>17.399999999999999</v>
      </c>
      <c r="BR24" s="235">
        <v>43</v>
      </c>
      <c r="BS24" s="543">
        <v>75</v>
      </c>
      <c r="BT24" s="376">
        <v>32</v>
      </c>
      <c r="BU24" s="544">
        <v>-7.6470000000000002</v>
      </c>
      <c r="BV24" s="545">
        <v>-60.034999999999997</v>
      </c>
      <c r="BW24" s="546">
        <v>-52.4</v>
      </c>
      <c r="BX24" s="173" t="s">
        <v>133</v>
      </c>
      <c r="BY24" s="174" t="s">
        <v>133</v>
      </c>
      <c r="BZ24" s="175" t="s">
        <v>134</v>
      </c>
      <c r="CA24" s="176" t="s">
        <v>134</v>
      </c>
      <c r="CB24" s="177" t="s">
        <v>134</v>
      </c>
      <c r="CC24" s="121" t="s">
        <v>135</v>
      </c>
      <c r="CD24" s="122" t="s">
        <v>135</v>
      </c>
      <c r="CE24" s="122" t="s">
        <v>137</v>
      </c>
      <c r="CF24" s="123" t="s">
        <v>163</v>
      </c>
      <c r="CG24" s="124" t="s">
        <v>139</v>
      </c>
      <c r="CH24" s="54"/>
      <c r="CI24" s="125"/>
      <c r="CJ24" s="125" t="s">
        <v>28</v>
      </c>
      <c r="CK24" s="818" t="s">
        <v>28</v>
      </c>
      <c r="CL24" s="54"/>
      <c r="CM24" s="524">
        <v>1153</v>
      </c>
      <c r="CN24" s="525" t="s">
        <v>181</v>
      </c>
    </row>
    <row r="25" spans="1:92" s="526" customFormat="1">
      <c r="A25" s="58">
        <v>1140</v>
      </c>
      <c r="B25" s="845" t="s">
        <v>178</v>
      </c>
      <c r="C25" s="845" t="s">
        <v>179</v>
      </c>
      <c r="D25" s="845">
        <v>51.56</v>
      </c>
      <c r="E25" s="845">
        <v>-2.99</v>
      </c>
      <c r="F25" s="59">
        <v>320</v>
      </c>
      <c r="G25" s="128">
        <v>0.1</v>
      </c>
      <c r="H25" s="61">
        <v>0.4</v>
      </c>
      <c r="I25" s="309">
        <v>3</v>
      </c>
      <c r="J25" s="130">
        <v>0.3</v>
      </c>
      <c r="K25" s="367">
        <v>2.9</v>
      </c>
      <c r="L25" s="547">
        <v>32.799999999999997</v>
      </c>
      <c r="M25" s="275">
        <v>34.9</v>
      </c>
      <c r="N25" s="239">
        <v>34.4</v>
      </c>
      <c r="O25" s="548">
        <v>2.1</v>
      </c>
      <c r="P25" s="223">
        <v>1.6</v>
      </c>
      <c r="Q25" s="549">
        <v>17.45</v>
      </c>
      <c r="R25" s="453">
        <v>19.559999999999999</v>
      </c>
      <c r="S25" s="139">
        <v>21.91</v>
      </c>
      <c r="T25" s="348">
        <v>2.1</v>
      </c>
      <c r="U25" s="184">
        <v>4.5</v>
      </c>
      <c r="V25" s="550">
        <v>22.6</v>
      </c>
      <c r="W25" s="551">
        <v>32.700000000000003</v>
      </c>
      <c r="X25" s="406">
        <v>65.7</v>
      </c>
      <c r="Y25" s="258">
        <v>10.1</v>
      </c>
      <c r="Z25" s="552">
        <v>43.1</v>
      </c>
      <c r="AA25" s="553">
        <v>0.5</v>
      </c>
      <c r="AB25" s="61">
        <v>0.3</v>
      </c>
      <c r="AC25" s="284">
        <v>0</v>
      </c>
      <c r="AD25" s="243">
        <v>-0.2</v>
      </c>
      <c r="AE25" s="103">
        <v>-0.5</v>
      </c>
      <c r="AF25" s="75">
        <v>0.2</v>
      </c>
      <c r="AG25" s="239">
        <v>0.5</v>
      </c>
      <c r="AH25" s="350">
        <v>3.23</v>
      </c>
      <c r="AI25" s="147">
        <v>0.3</v>
      </c>
      <c r="AJ25" s="98">
        <v>3</v>
      </c>
      <c r="AK25" s="241">
        <v>1.23</v>
      </c>
      <c r="AL25" s="386">
        <v>1.9</v>
      </c>
      <c r="AM25" s="620">
        <v>4.8</v>
      </c>
      <c r="AN25" s="63">
        <v>0.7</v>
      </c>
      <c r="AO25" s="278">
        <v>2.9</v>
      </c>
      <c r="AP25" s="554">
        <v>11</v>
      </c>
      <c r="AQ25" s="394">
        <v>10</v>
      </c>
      <c r="AR25" s="222">
        <v>8</v>
      </c>
      <c r="AS25" s="61">
        <v>-1</v>
      </c>
      <c r="AT25" s="92">
        <v>-2</v>
      </c>
      <c r="AU25" s="418">
        <v>14</v>
      </c>
      <c r="AV25" s="419">
        <v>14</v>
      </c>
      <c r="AW25" s="419">
        <v>14</v>
      </c>
      <c r="AX25" s="91">
        <v>0</v>
      </c>
      <c r="AY25" s="93">
        <v>0</v>
      </c>
      <c r="AZ25" s="555">
        <v>55</v>
      </c>
      <c r="BA25" s="72">
        <v>73</v>
      </c>
      <c r="BB25" s="396">
        <v>71</v>
      </c>
      <c r="BC25" s="412">
        <v>18</v>
      </c>
      <c r="BD25" s="367">
        <v>16</v>
      </c>
      <c r="BE25" s="556">
        <v>54</v>
      </c>
      <c r="BF25" s="229">
        <v>62</v>
      </c>
      <c r="BG25" s="293">
        <v>73</v>
      </c>
      <c r="BH25" s="61">
        <v>8</v>
      </c>
      <c r="BI25" s="316">
        <v>19</v>
      </c>
      <c r="BJ25" s="872">
        <v>15</v>
      </c>
      <c r="BK25" s="537">
        <v>38.1</v>
      </c>
      <c r="BL25" s="290">
        <v>64</v>
      </c>
      <c r="BM25" s="199">
        <v>23.2</v>
      </c>
      <c r="BN25" s="557">
        <v>49.1</v>
      </c>
      <c r="BO25" s="298">
        <v>0.746</v>
      </c>
      <c r="BP25" s="299">
        <v>19.876000000000001</v>
      </c>
      <c r="BQ25" s="300">
        <v>19.100000000000001</v>
      </c>
      <c r="BR25" s="301">
        <v>20</v>
      </c>
      <c r="BS25" s="299">
        <v>110</v>
      </c>
      <c r="BT25" s="93">
        <v>90</v>
      </c>
      <c r="BU25" s="302">
        <v>-11.923</v>
      </c>
      <c r="BV25" s="303">
        <v>-76.325000000000003</v>
      </c>
      <c r="BW25" s="304">
        <v>-64.400000000000006</v>
      </c>
      <c r="BX25" s="384" t="s">
        <v>143</v>
      </c>
      <c r="BY25" s="385" t="s">
        <v>143</v>
      </c>
      <c r="BZ25" s="175" t="s">
        <v>134</v>
      </c>
      <c r="CA25" s="176" t="s">
        <v>134</v>
      </c>
      <c r="CB25" s="177" t="s">
        <v>134</v>
      </c>
      <c r="CC25" s="121" t="s">
        <v>136</v>
      </c>
      <c r="CD25" s="122" t="s">
        <v>135</v>
      </c>
      <c r="CE25" s="122" t="s">
        <v>144</v>
      </c>
      <c r="CF25" s="123" t="s">
        <v>138</v>
      </c>
      <c r="CG25" s="124" t="s">
        <v>139</v>
      </c>
      <c r="CH25" s="54"/>
      <c r="CI25" s="125"/>
      <c r="CJ25" s="125"/>
      <c r="CK25" s="818" t="s">
        <v>28</v>
      </c>
      <c r="CL25" s="54"/>
      <c r="CM25" s="524">
        <v>1148</v>
      </c>
      <c r="CN25" s="525" t="s">
        <v>184</v>
      </c>
    </row>
    <row r="26" spans="1:92" s="526" customFormat="1">
      <c r="A26" s="58">
        <v>1141</v>
      </c>
      <c r="B26" s="845" t="s">
        <v>180</v>
      </c>
      <c r="C26" s="845" t="s">
        <v>179</v>
      </c>
      <c r="D26" s="845">
        <v>51.56</v>
      </c>
      <c r="E26" s="845">
        <v>-2.99</v>
      </c>
      <c r="F26" s="59">
        <v>320</v>
      </c>
      <c r="G26" s="128">
        <v>0.1</v>
      </c>
      <c r="H26" s="61">
        <v>0.4</v>
      </c>
      <c r="I26" s="309">
        <v>3</v>
      </c>
      <c r="J26" s="130">
        <v>0.3</v>
      </c>
      <c r="K26" s="367">
        <v>2.9</v>
      </c>
      <c r="L26" s="547">
        <v>32.799999999999997</v>
      </c>
      <c r="M26" s="275">
        <v>34.9</v>
      </c>
      <c r="N26" s="239">
        <v>34.4</v>
      </c>
      <c r="O26" s="548">
        <v>2.1</v>
      </c>
      <c r="P26" s="223">
        <v>1.6</v>
      </c>
      <c r="Q26" s="549">
        <v>17.45</v>
      </c>
      <c r="R26" s="453">
        <v>19.559999999999999</v>
      </c>
      <c r="S26" s="139">
        <v>21.91</v>
      </c>
      <c r="T26" s="348">
        <v>2.1</v>
      </c>
      <c r="U26" s="184">
        <v>4.5</v>
      </c>
      <c r="V26" s="550">
        <v>22.6</v>
      </c>
      <c r="W26" s="551">
        <v>32.700000000000003</v>
      </c>
      <c r="X26" s="406">
        <v>65.7</v>
      </c>
      <c r="Y26" s="258">
        <v>10.1</v>
      </c>
      <c r="Z26" s="552">
        <v>43.1</v>
      </c>
      <c r="AA26" s="553">
        <v>0.5</v>
      </c>
      <c r="AB26" s="61">
        <v>0.3</v>
      </c>
      <c r="AC26" s="284">
        <v>0</v>
      </c>
      <c r="AD26" s="243">
        <v>-0.2</v>
      </c>
      <c r="AE26" s="103">
        <v>-0.5</v>
      </c>
      <c r="AF26" s="75">
        <v>0.2</v>
      </c>
      <c r="AG26" s="239">
        <v>0.5</v>
      </c>
      <c r="AH26" s="350">
        <v>3.23</v>
      </c>
      <c r="AI26" s="147">
        <v>0.3</v>
      </c>
      <c r="AJ26" s="98">
        <v>3</v>
      </c>
      <c r="AK26" s="241">
        <v>1.23</v>
      </c>
      <c r="AL26" s="386">
        <v>1.9</v>
      </c>
      <c r="AM26" s="620">
        <v>4.8</v>
      </c>
      <c r="AN26" s="63">
        <v>0.7</v>
      </c>
      <c r="AO26" s="278">
        <v>2.9</v>
      </c>
      <c r="AP26" s="554">
        <v>11</v>
      </c>
      <c r="AQ26" s="394">
        <v>10</v>
      </c>
      <c r="AR26" s="222">
        <v>8</v>
      </c>
      <c r="AS26" s="61">
        <v>-1</v>
      </c>
      <c r="AT26" s="92">
        <v>-2</v>
      </c>
      <c r="AU26" s="418">
        <v>14</v>
      </c>
      <c r="AV26" s="419">
        <v>14</v>
      </c>
      <c r="AW26" s="419">
        <v>14</v>
      </c>
      <c r="AX26" s="91">
        <v>0</v>
      </c>
      <c r="AY26" s="93">
        <v>0</v>
      </c>
      <c r="AZ26" s="555">
        <v>55</v>
      </c>
      <c r="BA26" s="72">
        <v>73</v>
      </c>
      <c r="BB26" s="396">
        <v>71</v>
      </c>
      <c r="BC26" s="412">
        <v>18</v>
      </c>
      <c r="BD26" s="367">
        <v>16</v>
      </c>
      <c r="BE26" s="556">
        <v>54</v>
      </c>
      <c r="BF26" s="229">
        <v>62</v>
      </c>
      <c r="BG26" s="293">
        <v>73</v>
      </c>
      <c r="BH26" s="61">
        <v>8</v>
      </c>
      <c r="BI26" s="316">
        <v>19</v>
      </c>
      <c r="BJ26" s="872">
        <v>15</v>
      </c>
      <c r="BK26" s="537">
        <v>38.1</v>
      </c>
      <c r="BL26" s="290">
        <v>64</v>
      </c>
      <c r="BM26" s="199">
        <v>23.2</v>
      </c>
      <c r="BN26" s="557">
        <v>49.1</v>
      </c>
      <c r="BO26" s="298">
        <v>0.746</v>
      </c>
      <c r="BP26" s="299">
        <v>19.876000000000001</v>
      </c>
      <c r="BQ26" s="300">
        <v>19.100000000000001</v>
      </c>
      <c r="BR26" s="301">
        <v>20</v>
      </c>
      <c r="BS26" s="299">
        <v>110</v>
      </c>
      <c r="BT26" s="93">
        <v>90</v>
      </c>
      <c r="BU26" s="302">
        <v>-11.923</v>
      </c>
      <c r="BV26" s="303">
        <v>-76.325000000000003</v>
      </c>
      <c r="BW26" s="304">
        <v>-64.400000000000006</v>
      </c>
      <c r="BX26" s="173" t="s">
        <v>143</v>
      </c>
      <c r="BY26" s="174" t="s">
        <v>143</v>
      </c>
      <c r="BZ26" s="175" t="s">
        <v>134</v>
      </c>
      <c r="CA26" s="176" t="s">
        <v>134</v>
      </c>
      <c r="CB26" s="177" t="s">
        <v>134</v>
      </c>
      <c r="CC26" s="121" t="s">
        <v>136</v>
      </c>
      <c r="CD26" s="122" t="s">
        <v>135</v>
      </c>
      <c r="CE26" s="122" t="s">
        <v>144</v>
      </c>
      <c r="CF26" s="123" t="s">
        <v>138</v>
      </c>
      <c r="CG26" s="124" t="s">
        <v>139</v>
      </c>
      <c r="CH26" s="54"/>
      <c r="CI26" s="125"/>
      <c r="CJ26" s="125" t="s">
        <v>28</v>
      </c>
      <c r="CK26" s="818" t="s">
        <v>28</v>
      </c>
      <c r="CL26" s="54"/>
      <c r="CM26" s="524">
        <v>1140</v>
      </c>
      <c r="CN26" s="525" t="s">
        <v>178</v>
      </c>
    </row>
    <row r="27" spans="1:92">
      <c r="A27" s="58">
        <v>1142</v>
      </c>
      <c r="B27" s="845" t="s">
        <v>172</v>
      </c>
      <c r="C27" s="845" t="s">
        <v>182</v>
      </c>
      <c r="D27" s="845">
        <v>52.93</v>
      </c>
      <c r="E27" s="845">
        <v>-1.18</v>
      </c>
      <c r="F27" s="59">
        <v>799</v>
      </c>
      <c r="G27" s="558">
        <v>0.3</v>
      </c>
      <c r="H27" s="559">
        <v>0.5</v>
      </c>
      <c r="I27" s="264">
        <v>3.6</v>
      </c>
      <c r="J27" s="480">
        <v>0.2</v>
      </c>
      <c r="K27" s="560">
        <v>3.3</v>
      </c>
      <c r="L27" s="561">
        <v>31.71</v>
      </c>
      <c r="M27" s="275">
        <v>34.869999999999997</v>
      </c>
      <c r="N27" s="562">
        <v>38.56</v>
      </c>
      <c r="O27" s="563">
        <v>3.2</v>
      </c>
      <c r="P27" s="564">
        <v>6.9</v>
      </c>
      <c r="Q27" s="255">
        <v>16.93</v>
      </c>
      <c r="R27" s="133">
        <v>19.11</v>
      </c>
      <c r="S27" s="565">
        <v>21.34</v>
      </c>
      <c r="T27" s="566">
        <v>2.2000000000000002</v>
      </c>
      <c r="U27" s="370">
        <v>4.4000000000000004</v>
      </c>
      <c r="V27" s="558">
        <v>23.6</v>
      </c>
      <c r="W27" s="275">
        <v>34</v>
      </c>
      <c r="X27" s="67">
        <v>61.5</v>
      </c>
      <c r="Y27" s="268">
        <v>10.5</v>
      </c>
      <c r="Z27" s="567">
        <v>38</v>
      </c>
      <c r="AA27" s="568">
        <v>0.9</v>
      </c>
      <c r="AB27" s="569">
        <v>0.4</v>
      </c>
      <c r="AC27" s="82">
        <v>0.1</v>
      </c>
      <c r="AD27" s="239">
        <v>-0.5</v>
      </c>
      <c r="AE27" s="570">
        <v>-0.8</v>
      </c>
      <c r="AF27" s="326">
        <v>0.1</v>
      </c>
      <c r="AG27" s="575">
        <v>0.63</v>
      </c>
      <c r="AH27" s="67">
        <v>4.5999999999999996</v>
      </c>
      <c r="AI27" s="571">
        <v>0.5</v>
      </c>
      <c r="AJ27" s="316">
        <v>4.5</v>
      </c>
      <c r="AK27" s="849">
        <v>0.87</v>
      </c>
      <c r="AL27" s="310">
        <v>1.53</v>
      </c>
      <c r="AM27" s="506">
        <v>4.43</v>
      </c>
      <c r="AN27" s="63">
        <v>0.7</v>
      </c>
      <c r="AO27" s="278">
        <v>2.9</v>
      </c>
      <c r="AP27" s="89">
        <v>9</v>
      </c>
      <c r="AQ27" s="222">
        <v>8</v>
      </c>
      <c r="AR27" s="417">
        <v>6</v>
      </c>
      <c r="AS27" s="61">
        <v>-1</v>
      </c>
      <c r="AT27" s="92">
        <v>-2</v>
      </c>
      <c r="AU27" s="323">
        <v>10</v>
      </c>
      <c r="AV27" s="90">
        <v>10</v>
      </c>
      <c r="AW27" s="90">
        <v>10</v>
      </c>
      <c r="AX27" s="91">
        <v>0</v>
      </c>
      <c r="AY27" s="93">
        <v>0</v>
      </c>
      <c r="AZ27" s="572">
        <v>58</v>
      </c>
      <c r="BA27" s="95">
        <v>65</v>
      </c>
      <c r="BB27" s="318">
        <v>67</v>
      </c>
      <c r="BC27" s="61">
        <v>7</v>
      </c>
      <c r="BD27" s="573">
        <v>9</v>
      </c>
      <c r="BE27" s="207">
        <v>30</v>
      </c>
      <c r="BF27" s="533">
        <v>37</v>
      </c>
      <c r="BG27" s="495">
        <v>41</v>
      </c>
      <c r="BH27" s="574">
        <v>7</v>
      </c>
      <c r="BI27" s="505">
        <v>11</v>
      </c>
      <c r="BJ27" s="851">
        <v>16</v>
      </c>
      <c r="BK27" s="575">
        <v>33</v>
      </c>
      <c r="BL27" s="273">
        <v>60.5</v>
      </c>
      <c r="BM27" s="183">
        <v>17.5</v>
      </c>
      <c r="BN27" s="576">
        <v>45</v>
      </c>
      <c r="BO27" s="381">
        <v>-1.349</v>
      </c>
      <c r="BP27" s="382">
        <v>-4.2910000000000004</v>
      </c>
      <c r="BQ27" s="383">
        <v>-2.9</v>
      </c>
      <c r="BR27" s="110">
        <v>38</v>
      </c>
      <c r="BS27" s="577">
        <v>62</v>
      </c>
      <c r="BT27" s="92">
        <v>24</v>
      </c>
      <c r="BU27" s="113">
        <v>-10.398999999999999</v>
      </c>
      <c r="BV27" s="114">
        <v>-80.960999999999999</v>
      </c>
      <c r="BW27" s="115">
        <v>-70.599999999999994</v>
      </c>
      <c r="BX27" s="173" t="s">
        <v>133</v>
      </c>
      <c r="BY27" s="174" t="s">
        <v>133</v>
      </c>
      <c r="BZ27" s="175" t="s">
        <v>134</v>
      </c>
      <c r="CA27" s="176" t="s">
        <v>134</v>
      </c>
      <c r="CB27" s="177" t="s">
        <v>134</v>
      </c>
      <c r="CC27" s="121" t="s">
        <v>144</v>
      </c>
      <c r="CD27" s="122" t="s">
        <v>137</v>
      </c>
      <c r="CE27" s="122" t="s">
        <v>135</v>
      </c>
      <c r="CF27" s="123" t="s">
        <v>163</v>
      </c>
      <c r="CG27" s="124" t="s">
        <v>139</v>
      </c>
      <c r="CH27" s="54"/>
      <c r="CI27" s="125"/>
      <c r="CJ27" s="125" t="s">
        <v>183</v>
      </c>
      <c r="CK27" s="818" t="s">
        <v>28</v>
      </c>
      <c r="CL27" s="54"/>
      <c r="CM27" s="625">
        <v>1141</v>
      </c>
      <c r="CN27" s="626" t="s">
        <v>180</v>
      </c>
    </row>
    <row r="28" spans="1:92">
      <c r="A28" s="58">
        <v>1143</v>
      </c>
      <c r="B28" s="845" t="s">
        <v>174</v>
      </c>
      <c r="C28" s="845" t="s">
        <v>706</v>
      </c>
      <c r="D28" s="845">
        <v>52.58</v>
      </c>
      <c r="E28" s="845">
        <v>-0.21</v>
      </c>
      <c r="F28" s="59">
        <v>661</v>
      </c>
      <c r="G28" s="578">
        <v>0.5</v>
      </c>
      <c r="H28" s="551">
        <v>0.8</v>
      </c>
      <c r="I28" s="91">
        <v>5.6</v>
      </c>
      <c r="J28" s="178">
        <v>0.3</v>
      </c>
      <c r="K28" s="136">
        <v>5.0999999999999996</v>
      </c>
      <c r="L28" s="579">
        <v>32.770000000000003</v>
      </c>
      <c r="M28" s="477">
        <v>36.22</v>
      </c>
      <c r="N28" s="91">
        <v>40.01</v>
      </c>
      <c r="O28" s="580">
        <v>3.5</v>
      </c>
      <c r="P28" s="581">
        <v>7.2</v>
      </c>
      <c r="Q28" s="137">
        <v>17.47</v>
      </c>
      <c r="R28" s="582">
        <v>19.73</v>
      </c>
      <c r="S28" s="583">
        <v>21.9</v>
      </c>
      <c r="T28" s="584">
        <v>2.2999999999999998</v>
      </c>
      <c r="U28" s="405">
        <v>4.4000000000000004</v>
      </c>
      <c r="V28" s="585">
        <v>32.9</v>
      </c>
      <c r="W28" s="228">
        <v>44.4</v>
      </c>
      <c r="X28" s="91">
        <v>80.599999999999994</v>
      </c>
      <c r="Y28" s="514">
        <v>11.5</v>
      </c>
      <c r="Z28" s="93">
        <v>47.7</v>
      </c>
      <c r="AA28" s="586">
        <v>1.1000000000000001</v>
      </c>
      <c r="AB28" s="587">
        <v>0.8</v>
      </c>
      <c r="AC28" s="284">
        <v>0</v>
      </c>
      <c r="AD28" s="439">
        <v>-0.3</v>
      </c>
      <c r="AE28" s="588">
        <v>-1</v>
      </c>
      <c r="AF28" s="869">
        <v>0.23</v>
      </c>
      <c r="AG28" s="537">
        <v>1.3</v>
      </c>
      <c r="AH28" s="91">
        <v>7.03</v>
      </c>
      <c r="AI28" s="433">
        <v>1.1000000000000001</v>
      </c>
      <c r="AJ28" s="93">
        <v>6.8</v>
      </c>
      <c r="AK28" s="578">
        <v>1.9</v>
      </c>
      <c r="AL28" s="582">
        <v>2.6</v>
      </c>
      <c r="AM28" s="91">
        <v>5.7</v>
      </c>
      <c r="AN28" s="288">
        <v>0.7</v>
      </c>
      <c r="AO28" s="589">
        <v>3.1</v>
      </c>
      <c r="AP28" s="89">
        <v>9</v>
      </c>
      <c r="AQ28" s="222">
        <v>8</v>
      </c>
      <c r="AR28" s="417">
        <v>6</v>
      </c>
      <c r="AS28" s="61">
        <v>-1</v>
      </c>
      <c r="AT28" s="92">
        <v>-2</v>
      </c>
      <c r="AU28" s="590">
        <v>9</v>
      </c>
      <c r="AV28" s="91">
        <v>9</v>
      </c>
      <c r="AW28" s="91">
        <v>9</v>
      </c>
      <c r="AX28" s="91">
        <v>0</v>
      </c>
      <c r="AY28" s="93">
        <v>0</v>
      </c>
      <c r="AZ28" s="555">
        <v>55</v>
      </c>
      <c r="BA28" s="61">
        <v>61</v>
      </c>
      <c r="BB28" s="96">
        <v>68</v>
      </c>
      <c r="BC28" s="156">
        <v>6</v>
      </c>
      <c r="BD28" s="591">
        <v>13</v>
      </c>
      <c r="BE28" s="193">
        <v>28</v>
      </c>
      <c r="BF28" s="533">
        <v>37</v>
      </c>
      <c r="BG28" s="495">
        <v>41</v>
      </c>
      <c r="BH28" s="295">
        <v>9</v>
      </c>
      <c r="BI28" s="231">
        <v>13</v>
      </c>
      <c r="BJ28" s="873">
        <v>42</v>
      </c>
      <c r="BK28" s="77">
        <v>54.7</v>
      </c>
      <c r="BL28" s="91">
        <v>82.6</v>
      </c>
      <c r="BM28" s="421">
        <v>13</v>
      </c>
      <c r="BN28" s="592">
        <v>40.799999999999997</v>
      </c>
      <c r="BO28" s="593">
        <v>-2.1930000000000001</v>
      </c>
      <c r="BP28" s="594">
        <v>-17.222000000000001</v>
      </c>
      <c r="BQ28" s="595">
        <v>-15</v>
      </c>
      <c r="BR28" s="596">
        <v>17</v>
      </c>
      <c r="BS28" s="597">
        <v>36</v>
      </c>
      <c r="BT28" s="223">
        <v>19</v>
      </c>
      <c r="BU28" s="598">
        <v>-11.71</v>
      </c>
      <c r="BV28" s="599">
        <v>-87.111999999999995</v>
      </c>
      <c r="BW28" s="109">
        <v>-75.400000000000006</v>
      </c>
      <c r="BX28" s="173" t="s">
        <v>143</v>
      </c>
      <c r="BY28" s="174" t="s">
        <v>143</v>
      </c>
      <c r="BZ28" s="600" t="s">
        <v>185</v>
      </c>
      <c r="CA28" s="601" t="s">
        <v>186</v>
      </c>
      <c r="CB28" s="602" t="s">
        <v>186</v>
      </c>
      <c r="CC28" s="121" t="s">
        <v>136</v>
      </c>
      <c r="CD28" s="122" t="s">
        <v>135</v>
      </c>
      <c r="CE28" s="122" t="s">
        <v>135</v>
      </c>
      <c r="CF28" s="123" t="s">
        <v>138</v>
      </c>
      <c r="CG28" s="124" t="s">
        <v>139</v>
      </c>
      <c r="CH28" s="54"/>
      <c r="CI28" s="125"/>
      <c r="CJ28" s="125" t="s">
        <v>28</v>
      </c>
      <c r="CK28" s="818" t="s">
        <v>28</v>
      </c>
      <c r="CL28" s="54"/>
      <c r="CM28" s="126">
        <v>1117</v>
      </c>
      <c r="CN28" s="127" t="s">
        <v>148</v>
      </c>
    </row>
    <row r="29" spans="1:92">
      <c r="A29" s="58">
        <v>1144</v>
      </c>
      <c r="B29" s="845" t="s">
        <v>187</v>
      </c>
      <c r="C29" s="845" t="s">
        <v>188</v>
      </c>
      <c r="D29" s="845">
        <v>50.37</v>
      </c>
      <c r="E29" s="845">
        <v>-4.13</v>
      </c>
      <c r="F29" s="59">
        <v>27</v>
      </c>
      <c r="G29" s="193">
        <v>0</v>
      </c>
      <c r="H29" s="194">
        <v>0</v>
      </c>
      <c r="I29" s="603">
        <v>0.9</v>
      </c>
      <c r="J29" s="194">
        <v>0</v>
      </c>
      <c r="K29" s="604">
        <v>0.9</v>
      </c>
      <c r="L29" s="605">
        <v>28.4</v>
      </c>
      <c r="M29" s="606">
        <v>31.63</v>
      </c>
      <c r="N29" s="275">
        <v>34.880000000000003</v>
      </c>
      <c r="O29" s="71">
        <v>3.2</v>
      </c>
      <c r="P29" s="607">
        <v>6.5</v>
      </c>
      <c r="Q29" s="608">
        <v>16.91</v>
      </c>
      <c r="R29" s="609">
        <v>18.96</v>
      </c>
      <c r="S29" s="409">
        <v>21.19</v>
      </c>
      <c r="T29" s="277">
        <v>2.1</v>
      </c>
      <c r="U29" s="610">
        <v>4.3</v>
      </c>
      <c r="V29" s="611">
        <v>11</v>
      </c>
      <c r="W29" s="606">
        <v>19.2</v>
      </c>
      <c r="X29" s="105">
        <v>44.1</v>
      </c>
      <c r="Y29" s="612">
        <v>8.1999999999999993</v>
      </c>
      <c r="Z29" s="613">
        <v>33.1</v>
      </c>
      <c r="AA29" s="614">
        <v>0.3</v>
      </c>
      <c r="AB29" s="500">
        <v>0.2</v>
      </c>
      <c r="AC29" s="91">
        <v>0</v>
      </c>
      <c r="AD29" s="91">
        <v>-0.1</v>
      </c>
      <c r="AE29" s="615">
        <v>-0.3</v>
      </c>
      <c r="AF29" s="193">
        <v>0</v>
      </c>
      <c r="AG29" s="252">
        <v>0.17</v>
      </c>
      <c r="AH29" s="242">
        <v>0.93</v>
      </c>
      <c r="AI29" s="616">
        <v>0.2</v>
      </c>
      <c r="AJ29" s="459">
        <v>0.9</v>
      </c>
      <c r="AK29" s="874">
        <v>0.73</v>
      </c>
      <c r="AL29" s="87">
        <v>1.2</v>
      </c>
      <c r="AM29" s="477">
        <v>3.13</v>
      </c>
      <c r="AN29" s="441">
        <v>0.5</v>
      </c>
      <c r="AO29" s="131">
        <v>1.9</v>
      </c>
      <c r="AP29" s="554">
        <v>11</v>
      </c>
      <c r="AQ29" s="394">
        <v>10</v>
      </c>
      <c r="AR29" s="222">
        <v>8</v>
      </c>
      <c r="AS29" s="61">
        <v>-1</v>
      </c>
      <c r="AT29" s="92">
        <v>-2</v>
      </c>
      <c r="AU29" s="193">
        <v>16</v>
      </c>
      <c r="AV29" s="149">
        <v>16</v>
      </c>
      <c r="AW29" s="149">
        <v>16</v>
      </c>
      <c r="AX29" s="91">
        <v>0</v>
      </c>
      <c r="AY29" s="93">
        <v>0</v>
      </c>
      <c r="AZ29" s="94">
        <v>54</v>
      </c>
      <c r="BA29" s="617">
        <v>75</v>
      </c>
      <c r="BB29" s="428">
        <v>78</v>
      </c>
      <c r="BC29" s="618">
        <v>21</v>
      </c>
      <c r="BD29" s="589">
        <v>24</v>
      </c>
      <c r="BE29" s="619">
        <v>66</v>
      </c>
      <c r="BF29" s="293">
        <v>73</v>
      </c>
      <c r="BG29" s="620">
        <v>75</v>
      </c>
      <c r="BH29" s="574">
        <v>7</v>
      </c>
      <c r="BI29" s="491">
        <v>9</v>
      </c>
      <c r="BJ29" s="611">
        <v>8</v>
      </c>
      <c r="BK29" s="456">
        <v>10.5</v>
      </c>
      <c r="BL29" s="78">
        <v>18</v>
      </c>
      <c r="BM29" s="621">
        <v>2.1</v>
      </c>
      <c r="BN29" s="622">
        <v>9.6</v>
      </c>
      <c r="BO29" s="165">
        <v>-0.52200000000000002</v>
      </c>
      <c r="BP29" s="166">
        <v>-3.899</v>
      </c>
      <c r="BQ29" s="167">
        <v>-3.4</v>
      </c>
      <c r="BR29" s="623">
        <v>45</v>
      </c>
      <c r="BS29" s="624">
        <v>81</v>
      </c>
      <c r="BT29" s="262">
        <v>36</v>
      </c>
      <c r="BU29" s="170">
        <v>-9.1910000000000007</v>
      </c>
      <c r="BV29" s="171">
        <v>-80.069999999999993</v>
      </c>
      <c r="BW29" s="172">
        <v>-70.900000000000006</v>
      </c>
      <c r="BX29" s="173" t="s">
        <v>168</v>
      </c>
      <c r="BY29" s="174" t="s">
        <v>143</v>
      </c>
      <c r="BZ29" s="175" t="s">
        <v>134</v>
      </c>
      <c r="CA29" s="176" t="s">
        <v>134</v>
      </c>
      <c r="CB29" s="177" t="s">
        <v>134</v>
      </c>
      <c r="CC29" s="121" t="s">
        <v>135</v>
      </c>
      <c r="CD29" s="122" t="s">
        <v>137</v>
      </c>
      <c r="CE29" s="122" t="s">
        <v>137</v>
      </c>
      <c r="CF29" s="123" t="s">
        <v>138</v>
      </c>
      <c r="CG29" s="124" t="s">
        <v>139</v>
      </c>
      <c r="CH29" s="54"/>
      <c r="CI29" s="125"/>
      <c r="CJ29" s="125" t="s">
        <v>28</v>
      </c>
      <c r="CK29" s="818" t="s">
        <v>28</v>
      </c>
      <c r="CL29" s="54"/>
      <c r="CM29" s="126">
        <v>1116</v>
      </c>
      <c r="CN29" s="127" t="s">
        <v>142</v>
      </c>
    </row>
    <row r="30" spans="1:92">
      <c r="A30" s="58">
        <v>1147</v>
      </c>
      <c r="B30" s="845" t="s">
        <v>189</v>
      </c>
      <c r="C30" s="845" t="s">
        <v>707</v>
      </c>
      <c r="D30" s="845">
        <v>51.44</v>
      </c>
      <c r="E30" s="845">
        <v>0.76</v>
      </c>
      <c r="F30" s="59">
        <v>308</v>
      </c>
      <c r="G30" s="128">
        <v>0.1</v>
      </c>
      <c r="H30" s="627">
        <v>0.3</v>
      </c>
      <c r="I30" s="360">
        <v>1.5</v>
      </c>
      <c r="J30" s="379">
        <v>0.2</v>
      </c>
      <c r="K30" s="522">
        <v>1.4</v>
      </c>
      <c r="L30" s="65">
        <v>30.96</v>
      </c>
      <c r="M30" s="315">
        <v>34.22</v>
      </c>
      <c r="N30" s="628">
        <v>37.99</v>
      </c>
      <c r="O30" s="158">
        <v>3.3</v>
      </c>
      <c r="P30" s="184">
        <v>7</v>
      </c>
      <c r="Q30" s="629">
        <v>18</v>
      </c>
      <c r="R30" s="404">
        <v>20.25</v>
      </c>
      <c r="S30" s="91">
        <v>22.3</v>
      </c>
      <c r="T30" s="630">
        <v>2.2999999999999998</v>
      </c>
      <c r="U30" s="416">
        <v>4.3</v>
      </c>
      <c r="V30" s="245">
        <v>23.5</v>
      </c>
      <c r="W30" s="161">
        <v>36</v>
      </c>
      <c r="X30" s="246">
        <v>68</v>
      </c>
      <c r="Y30" s="158">
        <v>12.5</v>
      </c>
      <c r="Z30" s="136">
        <v>44.5</v>
      </c>
      <c r="AA30" s="568">
        <v>0.9</v>
      </c>
      <c r="AB30" s="631">
        <v>0.5</v>
      </c>
      <c r="AC30" s="82">
        <v>0.1</v>
      </c>
      <c r="AD30" s="477">
        <v>-0.4</v>
      </c>
      <c r="AE30" s="570">
        <v>-0.8</v>
      </c>
      <c r="AF30" s="245">
        <v>0.27</v>
      </c>
      <c r="AG30" s="242">
        <v>0.93</v>
      </c>
      <c r="AH30" s="654">
        <v>5.97</v>
      </c>
      <c r="AI30" s="178">
        <v>0.7</v>
      </c>
      <c r="AJ30" s="461">
        <v>5.7</v>
      </c>
      <c r="AK30" s="475">
        <v>0.9</v>
      </c>
      <c r="AL30" s="61">
        <v>1.8</v>
      </c>
      <c r="AM30" s="871">
        <v>4.7699999999999996</v>
      </c>
      <c r="AN30" s="563">
        <v>0.9</v>
      </c>
      <c r="AO30" s="69">
        <v>3</v>
      </c>
      <c r="AP30" s="632">
        <v>8</v>
      </c>
      <c r="AQ30" s="90">
        <v>7</v>
      </c>
      <c r="AR30" s="91">
        <v>5</v>
      </c>
      <c r="AS30" s="61">
        <v>-1</v>
      </c>
      <c r="AT30" s="92">
        <v>-2</v>
      </c>
      <c r="AU30" s="89">
        <v>11</v>
      </c>
      <c r="AV30" s="61">
        <v>11</v>
      </c>
      <c r="AW30" s="61">
        <v>11</v>
      </c>
      <c r="AX30" s="91">
        <v>0</v>
      </c>
      <c r="AY30" s="93">
        <v>0</v>
      </c>
      <c r="AZ30" s="633">
        <v>49</v>
      </c>
      <c r="BA30" s="421">
        <v>55</v>
      </c>
      <c r="BB30" s="389">
        <v>52</v>
      </c>
      <c r="BC30" s="156">
        <v>6</v>
      </c>
      <c r="BD30" s="634">
        <v>3</v>
      </c>
      <c r="BE30" s="75">
        <v>36</v>
      </c>
      <c r="BF30" s="495">
        <v>41</v>
      </c>
      <c r="BG30" s="138">
        <v>49</v>
      </c>
      <c r="BH30" s="504">
        <v>5</v>
      </c>
      <c r="BI30" s="231">
        <v>13</v>
      </c>
      <c r="BJ30" s="875">
        <v>27</v>
      </c>
      <c r="BK30" s="635">
        <v>52.3</v>
      </c>
      <c r="BL30" s="636">
        <v>80.2</v>
      </c>
      <c r="BM30" s="637">
        <v>25.2</v>
      </c>
      <c r="BN30" s="300">
        <v>53.1</v>
      </c>
      <c r="BO30" s="466">
        <v>-1.048</v>
      </c>
      <c r="BP30" s="638">
        <v>-11.265000000000001</v>
      </c>
      <c r="BQ30" s="639">
        <v>-10.199999999999999</v>
      </c>
      <c r="BR30" s="363">
        <v>36</v>
      </c>
      <c r="BS30" s="446">
        <v>67</v>
      </c>
      <c r="BT30" s="237">
        <v>31</v>
      </c>
      <c r="BU30" s="640">
        <v>-7.806</v>
      </c>
      <c r="BV30" s="641">
        <v>-79.765000000000001</v>
      </c>
      <c r="BW30" s="642">
        <v>-72</v>
      </c>
      <c r="BX30" s="173" t="s">
        <v>143</v>
      </c>
      <c r="BY30" s="174" t="s">
        <v>143</v>
      </c>
      <c r="BZ30" s="643" t="s">
        <v>186</v>
      </c>
      <c r="CA30" s="601" t="s">
        <v>186</v>
      </c>
      <c r="CB30" s="602" t="s">
        <v>186</v>
      </c>
      <c r="CC30" s="121" t="s">
        <v>144</v>
      </c>
      <c r="CD30" s="122" t="s">
        <v>190</v>
      </c>
      <c r="CE30" s="122" t="s">
        <v>144</v>
      </c>
      <c r="CF30" s="123" t="s">
        <v>138</v>
      </c>
      <c r="CG30" s="124" t="s">
        <v>139</v>
      </c>
      <c r="CH30" s="54"/>
      <c r="CI30" s="125"/>
      <c r="CJ30" s="125" t="s">
        <v>28</v>
      </c>
      <c r="CK30" s="818" t="s">
        <v>28</v>
      </c>
      <c r="CL30" s="54"/>
      <c r="CM30" s="126">
        <v>1120</v>
      </c>
      <c r="CN30" s="127" t="s">
        <v>152</v>
      </c>
    </row>
    <row r="31" spans="1:92">
      <c r="A31" s="58">
        <v>1181</v>
      </c>
      <c r="B31" s="845" t="s">
        <v>198</v>
      </c>
      <c r="C31" s="845" t="s">
        <v>200</v>
      </c>
      <c r="D31" s="845">
        <v>51.35</v>
      </c>
      <c r="E31" s="845">
        <v>0.75</v>
      </c>
      <c r="F31" s="59">
        <v>277</v>
      </c>
      <c r="G31" s="712">
        <v>0.2</v>
      </c>
      <c r="H31" s="61">
        <v>0.4</v>
      </c>
      <c r="I31" s="350">
        <v>2.7</v>
      </c>
      <c r="J31" s="366">
        <v>0.2</v>
      </c>
      <c r="K31" s="727">
        <v>2.5</v>
      </c>
      <c r="L31" s="561">
        <v>31.72</v>
      </c>
      <c r="M31" s="195">
        <v>35.020000000000003</v>
      </c>
      <c r="N31" s="695">
        <v>39.04</v>
      </c>
      <c r="O31" s="356">
        <v>3.3</v>
      </c>
      <c r="P31" s="503">
        <v>7.3</v>
      </c>
      <c r="Q31" s="728">
        <v>17.68</v>
      </c>
      <c r="R31" s="729">
        <v>19.91</v>
      </c>
      <c r="S31" s="698">
        <v>21.97</v>
      </c>
      <c r="T31" s="651">
        <v>2.2000000000000002</v>
      </c>
      <c r="U31" s="143">
        <v>4.3</v>
      </c>
      <c r="V31" s="730">
        <v>26.6</v>
      </c>
      <c r="W31" s="582">
        <v>39.1</v>
      </c>
      <c r="X31" s="695">
        <v>71.400000000000006</v>
      </c>
      <c r="Y31" s="247">
        <v>12.6</v>
      </c>
      <c r="Z31" s="715">
        <v>44.9</v>
      </c>
      <c r="AA31" s="731">
        <v>1</v>
      </c>
      <c r="AB31" s="732">
        <v>0.6</v>
      </c>
      <c r="AC31" s="90">
        <v>0.2</v>
      </c>
      <c r="AD31" s="146">
        <v>-0.4</v>
      </c>
      <c r="AE31" s="733">
        <v>-0.8</v>
      </c>
      <c r="AF31" s="245">
        <v>0.27</v>
      </c>
      <c r="AG31" s="242">
        <v>0.93</v>
      </c>
      <c r="AH31" s="654">
        <v>5.97</v>
      </c>
      <c r="AI31" s="178">
        <v>0.7</v>
      </c>
      <c r="AJ31" s="461">
        <v>5.7</v>
      </c>
      <c r="AK31" s="475">
        <v>0.9</v>
      </c>
      <c r="AL31" s="61">
        <v>1.8</v>
      </c>
      <c r="AM31" s="871">
        <v>4.7699999999999996</v>
      </c>
      <c r="AN31" s="563">
        <v>0.9</v>
      </c>
      <c r="AO31" s="69">
        <v>3</v>
      </c>
      <c r="AP31" s="632">
        <v>8</v>
      </c>
      <c r="AQ31" s="90">
        <v>7</v>
      </c>
      <c r="AR31" s="91">
        <v>5</v>
      </c>
      <c r="AS31" s="61">
        <v>-1</v>
      </c>
      <c r="AT31" s="92">
        <v>-2</v>
      </c>
      <c r="AU31" s="89">
        <v>11</v>
      </c>
      <c r="AV31" s="61">
        <v>11</v>
      </c>
      <c r="AW31" s="61">
        <v>11</v>
      </c>
      <c r="AX31" s="91">
        <v>0</v>
      </c>
      <c r="AY31" s="93">
        <v>0</v>
      </c>
      <c r="AZ31" s="633">
        <v>49</v>
      </c>
      <c r="BA31" s="421">
        <v>55</v>
      </c>
      <c r="BB31" s="389">
        <v>52</v>
      </c>
      <c r="BC31" s="156">
        <v>6</v>
      </c>
      <c r="BD31" s="634">
        <v>3</v>
      </c>
      <c r="BE31" s="75">
        <v>36</v>
      </c>
      <c r="BF31" s="495">
        <v>41</v>
      </c>
      <c r="BG31" s="138">
        <v>49</v>
      </c>
      <c r="BH31" s="504">
        <v>5</v>
      </c>
      <c r="BI31" s="231">
        <v>13</v>
      </c>
      <c r="BJ31" s="875">
        <v>27</v>
      </c>
      <c r="BK31" s="635">
        <v>52.3</v>
      </c>
      <c r="BL31" s="636">
        <v>80.2</v>
      </c>
      <c r="BM31" s="637">
        <v>25.2</v>
      </c>
      <c r="BN31" s="300">
        <v>53.1</v>
      </c>
      <c r="BO31" s="466">
        <v>-1.048</v>
      </c>
      <c r="BP31" s="638">
        <v>-11.265000000000001</v>
      </c>
      <c r="BQ31" s="639">
        <v>-10.199999999999999</v>
      </c>
      <c r="BR31" s="363">
        <v>36</v>
      </c>
      <c r="BS31" s="446">
        <v>67</v>
      </c>
      <c r="BT31" s="237">
        <v>31</v>
      </c>
      <c r="BU31" s="640">
        <v>-7.806</v>
      </c>
      <c r="BV31" s="641">
        <v>-79.765000000000001</v>
      </c>
      <c r="BW31" s="642">
        <v>-72</v>
      </c>
      <c r="BX31" s="173" t="s">
        <v>168</v>
      </c>
      <c r="BY31" s="174" t="s">
        <v>143</v>
      </c>
      <c r="BZ31" s="600" t="s">
        <v>185</v>
      </c>
      <c r="CA31" s="710" t="s">
        <v>185</v>
      </c>
      <c r="CB31" s="602" t="s">
        <v>186</v>
      </c>
      <c r="CC31" s="121" t="s">
        <v>144</v>
      </c>
      <c r="CD31" s="122" t="s">
        <v>136</v>
      </c>
      <c r="CE31" s="122" t="s">
        <v>144</v>
      </c>
      <c r="CF31" s="123" t="s">
        <v>138</v>
      </c>
      <c r="CG31" s="124" t="s">
        <v>139</v>
      </c>
      <c r="CH31" s="54"/>
      <c r="CI31" s="125"/>
      <c r="CJ31" s="125" t="s">
        <v>28</v>
      </c>
      <c r="CK31" s="818" t="s">
        <v>28</v>
      </c>
      <c r="CL31" s="54"/>
      <c r="CM31" s="126">
        <v>1123</v>
      </c>
      <c r="CN31" s="127" t="s">
        <v>154</v>
      </c>
    </row>
    <row r="32" spans="1:92">
      <c r="A32" s="58">
        <v>1148</v>
      </c>
      <c r="B32" s="845" t="s">
        <v>184</v>
      </c>
      <c r="C32" s="845" t="s">
        <v>191</v>
      </c>
      <c r="D32" s="845">
        <v>51.65</v>
      </c>
      <c r="E32" s="845">
        <v>-3.84</v>
      </c>
      <c r="F32" s="59">
        <v>350</v>
      </c>
      <c r="G32" s="390">
        <v>0</v>
      </c>
      <c r="H32" s="268">
        <v>0.2</v>
      </c>
      <c r="I32" s="329">
        <v>1.6</v>
      </c>
      <c r="J32" s="644">
        <v>0.2</v>
      </c>
      <c r="K32" s="645">
        <v>1.5</v>
      </c>
      <c r="L32" s="646">
        <v>30.01</v>
      </c>
      <c r="M32" s="478">
        <v>33.01</v>
      </c>
      <c r="N32" s="647">
        <v>36.43</v>
      </c>
      <c r="O32" s="130">
        <v>3</v>
      </c>
      <c r="P32" s="567">
        <v>6.4</v>
      </c>
      <c r="Q32" s="238">
        <v>17</v>
      </c>
      <c r="R32" s="315">
        <v>19.02</v>
      </c>
      <c r="S32" s="506">
        <v>21.25</v>
      </c>
      <c r="T32" s="648">
        <v>2</v>
      </c>
      <c r="U32" s="311">
        <v>4.3</v>
      </c>
      <c r="V32" s="649">
        <v>17</v>
      </c>
      <c r="W32" s="650">
        <v>23.4</v>
      </c>
      <c r="X32" s="647">
        <v>48</v>
      </c>
      <c r="Y32" s="651">
        <v>6.4</v>
      </c>
      <c r="Z32" s="652">
        <v>31</v>
      </c>
      <c r="AA32" s="653">
        <v>0.5</v>
      </c>
      <c r="AB32" s="61">
        <v>0.3</v>
      </c>
      <c r="AC32" s="284">
        <v>0</v>
      </c>
      <c r="AD32" s="654">
        <v>-0.2</v>
      </c>
      <c r="AE32" s="169">
        <v>-0.5</v>
      </c>
      <c r="AF32" s="611">
        <v>7.0000000000000007E-2</v>
      </c>
      <c r="AG32" s="158">
        <v>0.3</v>
      </c>
      <c r="AH32" s="401">
        <v>1.9</v>
      </c>
      <c r="AI32" s="651">
        <v>0.2</v>
      </c>
      <c r="AJ32" s="505">
        <v>1.8</v>
      </c>
      <c r="AK32" s="241">
        <v>1.23</v>
      </c>
      <c r="AL32" s="358">
        <v>2</v>
      </c>
      <c r="AM32" s="871">
        <v>4.7699999999999996</v>
      </c>
      <c r="AN32" s="460">
        <v>0.8</v>
      </c>
      <c r="AO32" s="610">
        <v>2.8</v>
      </c>
      <c r="AP32" s="193">
        <v>13</v>
      </c>
      <c r="AQ32" s="393">
        <v>12</v>
      </c>
      <c r="AR32" s="394">
        <v>10</v>
      </c>
      <c r="AS32" s="61">
        <v>-1</v>
      </c>
      <c r="AT32" s="92">
        <v>-2</v>
      </c>
      <c r="AU32" s="193">
        <v>16</v>
      </c>
      <c r="AV32" s="149">
        <v>16</v>
      </c>
      <c r="AW32" s="149">
        <v>16</v>
      </c>
      <c r="AX32" s="91">
        <v>0</v>
      </c>
      <c r="AY32" s="93">
        <v>0</v>
      </c>
      <c r="AZ32" s="462">
        <v>60</v>
      </c>
      <c r="BA32" s="91">
        <v>86</v>
      </c>
      <c r="BB32" s="289">
        <v>76</v>
      </c>
      <c r="BC32" s="91">
        <v>26</v>
      </c>
      <c r="BD32" s="367">
        <v>16</v>
      </c>
      <c r="BE32" s="655">
        <v>59</v>
      </c>
      <c r="BF32" s="412">
        <v>67</v>
      </c>
      <c r="BG32" s="91">
        <v>85</v>
      </c>
      <c r="BH32" s="61">
        <v>8</v>
      </c>
      <c r="BI32" s="93">
        <v>26</v>
      </c>
      <c r="BJ32" s="536">
        <v>8</v>
      </c>
      <c r="BK32" s="656">
        <v>12.1</v>
      </c>
      <c r="BL32" s="130">
        <v>23.1</v>
      </c>
      <c r="BM32" s="657">
        <v>4</v>
      </c>
      <c r="BN32" s="658">
        <v>15</v>
      </c>
      <c r="BO32" s="298">
        <v>0.746</v>
      </c>
      <c r="BP32" s="299">
        <v>19.876000000000001</v>
      </c>
      <c r="BQ32" s="300">
        <v>19.100000000000001</v>
      </c>
      <c r="BR32" s="301">
        <v>20</v>
      </c>
      <c r="BS32" s="659">
        <v>84</v>
      </c>
      <c r="BT32" s="660">
        <v>64</v>
      </c>
      <c r="BU32" s="302">
        <v>-11.923</v>
      </c>
      <c r="BV32" s="303">
        <v>-76.325000000000003</v>
      </c>
      <c r="BW32" s="304">
        <v>-64.400000000000006</v>
      </c>
      <c r="BX32" s="173" t="s">
        <v>133</v>
      </c>
      <c r="BY32" s="174" t="s">
        <v>133</v>
      </c>
      <c r="BZ32" s="175" t="s">
        <v>134</v>
      </c>
      <c r="CA32" s="176" t="s">
        <v>134</v>
      </c>
      <c r="CB32" s="177" t="s">
        <v>134</v>
      </c>
      <c r="CC32" s="121" t="s">
        <v>136</v>
      </c>
      <c r="CD32" s="122" t="s">
        <v>136</v>
      </c>
      <c r="CE32" s="122" t="s">
        <v>144</v>
      </c>
      <c r="CF32" s="123" t="s">
        <v>138</v>
      </c>
      <c r="CG32" s="124" t="s">
        <v>139</v>
      </c>
      <c r="CH32" s="54"/>
      <c r="CI32" s="125"/>
      <c r="CJ32" s="125" t="s">
        <v>192</v>
      </c>
      <c r="CK32" s="818" t="s">
        <v>28</v>
      </c>
      <c r="CL32" s="54"/>
      <c r="CM32" s="126">
        <v>1147</v>
      </c>
      <c r="CN32" s="127" t="s">
        <v>189</v>
      </c>
    </row>
    <row r="33" spans="1:92">
      <c r="A33" s="58">
        <v>1150</v>
      </c>
      <c r="B33" s="845" t="s">
        <v>708</v>
      </c>
      <c r="C33" s="845" t="s">
        <v>203</v>
      </c>
      <c r="D33" s="845">
        <v>52.5</v>
      </c>
      <c r="E33" s="845">
        <v>-1.95</v>
      </c>
      <c r="F33" s="59">
        <v>651</v>
      </c>
      <c r="G33" s="661">
        <v>0.1</v>
      </c>
      <c r="H33" s="61">
        <v>0.4</v>
      </c>
      <c r="I33" s="662">
        <v>3.1</v>
      </c>
      <c r="J33" s="436">
        <v>0.2</v>
      </c>
      <c r="K33" s="663">
        <v>3</v>
      </c>
      <c r="L33" s="664">
        <v>31.35</v>
      </c>
      <c r="M33" s="295">
        <v>34.619999999999997</v>
      </c>
      <c r="N33" s="665">
        <v>38.22</v>
      </c>
      <c r="O33" s="247">
        <v>3.3</v>
      </c>
      <c r="P33" s="461">
        <v>6.9</v>
      </c>
      <c r="Q33" s="241">
        <v>17.100000000000001</v>
      </c>
      <c r="R33" s="666">
        <v>19.32</v>
      </c>
      <c r="S33" s="667">
        <v>21.58</v>
      </c>
      <c r="T33" s="668">
        <v>2.2000000000000002</v>
      </c>
      <c r="U33" s="669">
        <v>4.5</v>
      </c>
      <c r="V33" s="547">
        <v>23.3</v>
      </c>
      <c r="W33" s="603">
        <v>33.299999999999997</v>
      </c>
      <c r="X33" s="264">
        <v>60.5</v>
      </c>
      <c r="Y33" s="670">
        <v>10</v>
      </c>
      <c r="Z33" s="531">
        <v>37.200000000000003</v>
      </c>
      <c r="AA33" s="671">
        <v>1.5</v>
      </c>
      <c r="AB33" s="672">
        <v>1</v>
      </c>
      <c r="AC33" s="191">
        <v>0.1</v>
      </c>
      <c r="AD33" s="673">
        <v>-0.5</v>
      </c>
      <c r="AE33" s="674">
        <v>-1.4</v>
      </c>
      <c r="AF33" s="864">
        <v>0.03</v>
      </c>
      <c r="AG33" s="876">
        <v>0.33</v>
      </c>
      <c r="AH33" s="365">
        <v>3.77</v>
      </c>
      <c r="AI33" s="147">
        <v>0.3</v>
      </c>
      <c r="AJ33" s="519">
        <v>3.7</v>
      </c>
      <c r="AK33" s="877">
        <v>0.77</v>
      </c>
      <c r="AL33" s="100">
        <v>1.47</v>
      </c>
      <c r="AM33" s="397">
        <v>4.5</v>
      </c>
      <c r="AN33" s="288">
        <v>0.7</v>
      </c>
      <c r="AO33" s="552">
        <v>3</v>
      </c>
      <c r="AP33" s="151">
        <v>10</v>
      </c>
      <c r="AQ33" s="61">
        <v>9</v>
      </c>
      <c r="AR33" s="90">
        <v>7</v>
      </c>
      <c r="AS33" s="61">
        <v>-1</v>
      </c>
      <c r="AT33" s="92">
        <v>-2</v>
      </c>
      <c r="AU33" s="89">
        <v>11</v>
      </c>
      <c r="AV33" s="61">
        <v>11</v>
      </c>
      <c r="AW33" s="61">
        <v>11</v>
      </c>
      <c r="AX33" s="91">
        <v>0</v>
      </c>
      <c r="AY33" s="93">
        <v>0</v>
      </c>
      <c r="AZ33" s="572">
        <v>58</v>
      </c>
      <c r="BA33" s="61">
        <v>61</v>
      </c>
      <c r="BB33" s="257">
        <v>64</v>
      </c>
      <c r="BC33" s="504">
        <v>3</v>
      </c>
      <c r="BD33" s="325">
        <v>6</v>
      </c>
      <c r="BE33" s="357">
        <v>38</v>
      </c>
      <c r="BF33" s="158">
        <v>40</v>
      </c>
      <c r="BG33" s="603">
        <v>46</v>
      </c>
      <c r="BH33" s="142">
        <v>2</v>
      </c>
      <c r="BI33" s="103">
        <v>8</v>
      </c>
      <c r="BJ33" s="878">
        <v>18</v>
      </c>
      <c r="BK33" s="156">
        <v>29.2</v>
      </c>
      <c r="BL33" s="530">
        <v>56.9</v>
      </c>
      <c r="BM33" s="675">
        <v>11.3</v>
      </c>
      <c r="BN33" s="676">
        <v>39</v>
      </c>
      <c r="BO33" s="108">
        <v>-6.82</v>
      </c>
      <c r="BP33" s="599">
        <v>-28.37</v>
      </c>
      <c r="BQ33" s="109">
        <v>-21.6</v>
      </c>
      <c r="BR33" s="677">
        <v>30</v>
      </c>
      <c r="BS33" s="337">
        <v>51</v>
      </c>
      <c r="BT33" s="678">
        <v>21</v>
      </c>
      <c r="BU33" s="447">
        <v>-11.003</v>
      </c>
      <c r="BV33" s="448">
        <v>-76.36</v>
      </c>
      <c r="BW33" s="449">
        <v>-65.400000000000006</v>
      </c>
      <c r="BX33" s="173" t="s">
        <v>133</v>
      </c>
      <c r="BY33" s="174" t="s">
        <v>133</v>
      </c>
      <c r="BZ33" s="175" t="s">
        <v>134</v>
      </c>
      <c r="CA33" s="176" t="s">
        <v>134</v>
      </c>
      <c r="CB33" s="177" t="s">
        <v>134</v>
      </c>
      <c r="CC33" s="121" t="s">
        <v>136</v>
      </c>
      <c r="CD33" s="122" t="s">
        <v>136</v>
      </c>
      <c r="CE33" s="122" t="s">
        <v>137</v>
      </c>
      <c r="CF33" s="123" t="s">
        <v>138</v>
      </c>
      <c r="CG33" s="124" t="s">
        <v>139</v>
      </c>
      <c r="CH33" s="54"/>
      <c r="CI33" s="125" t="s">
        <v>194</v>
      </c>
      <c r="CJ33" s="125" t="s">
        <v>28</v>
      </c>
      <c r="CK33" s="818" t="s">
        <v>28</v>
      </c>
      <c r="CL33" s="54"/>
      <c r="CM33" s="126">
        <v>1181</v>
      </c>
      <c r="CN33" s="127" t="s">
        <v>198</v>
      </c>
    </row>
    <row r="34" spans="1:92">
      <c r="A34" s="58">
        <v>1300</v>
      </c>
      <c r="B34" s="845" t="s">
        <v>176</v>
      </c>
      <c r="C34" s="845" t="s">
        <v>202</v>
      </c>
      <c r="D34" s="845">
        <v>52.5</v>
      </c>
      <c r="E34" s="845">
        <v>-1.94</v>
      </c>
      <c r="F34" s="59">
        <v>585</v>
      </c>
      <c r="G34" s="661">
        <v>0.1</v>
      </c>
      <c r="H34" s="61">
        <v>0.4</v>
      </c>
      <c r="I34" s="662">
        <v>3.1</v>
      </c>
      <c r="J34" s="436">
        <v>0.2</v>
      </c>
      <c r="K34" s="663">
        <v>3</v>
      </c>
      <c r="L34" s="664">
        <v>31.35</v>
      </c>
      <c r="M34" s="295">
        <v>34.619999999999997</v>
      </c>
      <c r="N34" s="665">
        <v>38.22</v>
      </c>
      <c r="O34" s="247">
        <v>3.3</v>
      </c>
      <c r="P34" s="461">
        <v>6.9</v>
      </c>
      <c r="Q34" s="241">
        <v>17.100000000000001</v>
      </c>
      <c r="R34" s="666">
        <v>19.32</v>
      </c>
      <c r="S34" s="667">
        <v>21.58</v>
      </c>
      <c r="T34" s="668">
        <v>2.2000000000000002</v>
      </c>
      <c r="U34" s="669">
        <v>4.5</v>
      </c>
      <c r="V34" s="547">
        <v>23.3</v>
      </c>
      <c r="W34" s="603">
        <v>33.299999999999997</v>
      </c>
      <c r="X34" s="264">
        <v>60.5</v>
      </c>
      <c r="Y34" s="670">
        <v>10</v>
      </c>
      <c r="Z34" s="531">
        <v>37.200000000000003</v>
      </c>
      <c r="AA34" s="671">
        <v>1.5</v>
      </c>
      <c r="AB34" s="672">
        <v>1</v>
      </c>
      <c r="AC34" s="191">
        <v>0.1</v>
      </c>
      <c r="AD34" s="673">
        <v>-0.5</v>
      </c>
      <c r="AE34" s="674">
        <v>-1.4</v>
      </c>
      <c r="AF34" s="864">
        <v>0.03</v>
      </c>
      <c r="AG34" s="876">
        <v>0.33</v>
      </c>
      <c r="AH34" s="365">
        <v>3.77</v>
      </c>
      <c r="AI34" s="147">
        <v>0.3</v>
      </c>
      <c r="AJ34" s="519">
        <v>3.7</v>
      </c>
      <c r="AK34" s="877">
        <v>0.77</v>
      </c>
      <c r="AL34" s="100">
        <v>1.47</v>
      </c>
      <c r="AM34" s="397">
        <v>4.5</v>
      </c>
      <c r="AN34" s="288">
        <v>0.7</v>
      </c>
      <c r="AO34" s="552">
        <v>3</v>
      </c>
      <c r="AP34" s="151">
        <v>10</v>
      </c>
      <c r="AQ34" s="61">
        <v>9</v>
      </c>
      <c r="AR34" s="90">
        <v>7</v>
      </c>
      <c r="AS34" s="61">
        <v>-1</v>
      </c>
      <c r="AT34" s="92">
        <v>-2</v>
      </c>
      <c r="AU34" s="89">
        <v>11</v>
      </c>
      <c r="AV34" s="61">
        <v>11</v>
      </c>
      <c r="AW34" s="61">
        <v>11</v>
      </c>
      <c r="AX34" s="91">
        <v>0</v>
      </c>
      <c r="AY34" s="93">
        <v>0</v>
      </c>
      <c r="AZ34" s="572">
        <v>58</v>
      </c>
      <c r="BA34" s="61">
        <v>61</v>
      </c>
      <c r="BB34" s="257">
        <v>64</v>
      </c>
      <c r="BC34" s="504">
        <v>3</v>
      </c>
      <c r="BD34" s="325">
        <v>6</v>
      </c>
      <c r="BE34" s="357">
        <v>38</v>
      </c>
      <c r="BF34" s="158">
        <v>40</v>
      </c>
      <c r="BG34" s="603">
        <v>46</v>
      </c>
      <c r="BH34" s="142">
        <v>2</v>
      </c>
      <c r="BI34" s="103">
        <v>8</v>
      </c>
      <c r="BJ34" s="878">
        <v>18</v>
      </c>
      <c r="BK34" s="156">
        <v>29.2</v>
      </c>
      <c r="BL34" s="530">
        <v>56.9</v>
      </c>
      <c r="BM34" s="675">
        <v>11.3</v>
      </c>
      <c r="BN34" s="676">
        <v>39</v>
      </c>
      <c r="BO34" s="165">
        <v>-0.55500000000000005</v>
      </c>
      <c r="BP34" s="444">
        <v>3.6659999999999999</v>
      </c>
      <c r="BQ34" s="445">
        <v>4.2</v>
      </c>
      <c r="BR34" s="677">
        <v>30</v>
      </c>
      <c r="BS34" s="337">
        <v>51</v>
      </c>
      <c r="BT34" s="678">
        <v>21</v>
      </c>
      <c r="BU34" s="447">
        <v>-11.003</v>
      </c>
      <c r="BV34" s="448">
        <v>-76.36</v>
      </c>
      <c r="BW34" s="449">
        <v>-65.400000000000006</v>
      </c>
      <c r="BX34" s="173" t="s">
        <v>133</v>
      </c>
      <c r="BY34" s="174" t="s">
        <v>133</v>
      </c>
      <c r="BZ34" s="175" t="s">
        <v>134</v>
      </c>
      <c r="CA34" s="176" t="s">
        <v>134</v>
      </c>
      <c r="CB34" s="177" t="s">
        <v>134</v>
      </c>
      <c r="CC34" s="121" t="s">
        <v>135</v>
      </c>
      <c r="CD34" s="122" t="s">
        <v>137</v>
      </c>
      <c r="CE34" s="122" t="s">
        <v>137</v>
      </c>
      <c r="CF34" s="123" t="s">
        <v>138</v>
      </c>
      <c r="CG34" s="124" t="s">
        <v>139</v>
      </c>
      <c r="CH34" s="54"/>
      <c r="CI34" s="125"/>
      <c r="CJ34" s="125" t="s">
        <v>28</v>
      </c>
      <c r="CK34" s="818" t="s">
        <v>28</v>
      </c>
      <c r="CL34" s="54"/>
      <c r="CM34" s="126">
        <v>1156</v>
      </c>
      <c r="CN34" s="127" t="s">
        <v>197</v>
      </c>
    </row>
    <row r="35" spans="1:92">
      <c r="A35" s="58">
        <v>1301</v>
      </c>
      <c r="B35" s="845" t="s">
        <v>177</v>
      </c>
      <c r="C35" s="845" t="s">
        <v>203</v>
      </c>
      <c r="D35" s="845">
        <v>52.497999999999998</v>
      </c>
      <c r="E35" s="845">
        <v>-1.95</v>
      </c>
      <c r="F35" s="59">
        <v>585</v>
      </c>
      <c r="G35" s="661">
        <v>0.1</v>
      </c>
      <c r="H35" s="61">
        <v>0.4</v>
      </c>
      <c r="I35" s="662">
        <v>3.1</v>
      </c>
      <c r="J35" s="436">
        <v>0.2</v>
      </c>
      <c r="K35" s="663">
        <v>3</v>
      </c>
      <c r="L35" s="664">
        <v>31.35</v>
      </c>
      <c r="M35" s="295">
        <v>34.619999999999997</v>
      </c>
      <c r="N35" s="665">
        <v>38.22</v>
      </c>
      <c r="O35" s="247">
        <v>3.3</v>
      </c>
      <c r="P35" s="461">
        <v>6.9</v>
      </c>
      <c r="Q35" s="241">
        <v>17.100000000000001</v>
      </c>
      <c r="R35" s="666">
        <v>19.32</v>
      </c>
      <c r="S35" s="667">
        <v>21.58</v>
      </c>
      <c r="T35" s="668">
        <v>2.2000000000000002</v>
      </c>
      <c r="U35" s="669">
        <v>4.5</v>
      </c>
      <c r="V35" s="547">
        <v>23.3</v>
      </c>
      <c r="W35" s="603">
        <v>33.299999999999997</v>
      </c>
      <c r="X35" s="264">
        <v>60.5</v>
      </c>
      <c r="Y35" s="670">
        <v>10</v>
      </c>
      <c r="Z35" s="531">
        <v>37.200000000000003</v>
      </c>
      <c r="AA35" s="671">
        <v>1.5</v>
      </c>
      <c r="AB35" s="672">
        <v>1</v>
      </c>
      <c r="AC35" s="191">
        <v>0.1</v>
      </c>
      <c r="AD35" s="673">
        <v>-0.5</v>
      </c>
      <c r="AE35" s="674">
        <v>-1.4</v>
      </c>
      <c r="AF35" s="864">
        <v>0.03</v>
      </c>
      <c r="AG35" s="876">
        <v>0.33</v>
      </c>
      <c r="AH35" s="365">
        <v>3.77</v>
      </c>
      <c r="AI35" s="147">
        <v>0.3</v>
      </c>
      <c r="AJ35" s="519">
        <v>3.7</v>
      </c>
      <c r="AK35" s="877">
        <v>0.77</v>
      </c>
      <c r="AL35" s="100">
        <v>1.47</v>
      </c>
      <c r="AM35" s="397">
        <v>4.5</v>
      </c>
      <c r="AN35" s="288">
        <v>0.7</v>
      </c>
      <c r="AO35" s="552">
        <v>3</v>
      </c>
      <c r="AP35" s="151">
        <v>10</v>
      </c>
      <c r="AQ35" s="61">
        <v>9</v>
      </c>
      <c r="AR35" s="90">
        <v>7</v>
      </c>
      <c r="AS35" s="61">
        <v>-1</v>
      </c>
      <c r="AT35" s="92">
        <v>-2</v>
      </c>
      <c r="AU35" s="89">
        <v>11</v>
      </c>
      <c r="AV35" s="61">
        <v>11</v>
      </c>
      <c r="AW35" s="61">
        <v>11</v>
      </c>
      <c r="AX35" s="91">
        <v>0</v>
      </c>
      <c r="AY35" s="93">
        <v>0</v>
      </c>
      <c r="AZ35" s="572">
        <v>58</v>
      </c>
      <c r="BA35" s="61">
        <v>61</v>
      </c>
      <c r="BB35" s="257">
        <v>64</v>
      </c>
      <c r="BC35" s="504">
        <v>3</v>
      </c>
      <c r="BD35" s="325">
        <v>6</v>
      </c>
      <c r="BE35" s="357">
        <v>38</v>
      </c>
      <c r="BF35" s="158">
        <v>40</v>
      </c>
      <c r="BG35" s="603">
        <v>46</v>
      </c>
      <c r="BH35" s="142">
        <v>2</v>
      </c>
      <c r="BI35" s="103">
        <v>8</v>
      </c>
      <c r="BJ35" s="878">
        <v>18</v>
      </c>
      <c r="BK35" s="156">
        <v>29.2</v>
      </c>
      <c r="BL35" s="530">
        <v>56.9</v>
      </c>
      <c r="BM35" s="675">
        <v>11.3</v>
      </c>
      <c r="BN35" s="676">
        <v>39</v>
      </c>
      <c r="BO35" s="165">
        <v>-0.55500000000000005</v>
      </c>
      <c r="BP35" s="444">
        <v>3.6659999999999999</v>
      </c>
      <c r="BQ35" s="445">
        <v>4.2</v>
      </c>
      <c r="BR35" s="677">
        <v>30</v>
      </c>
      <c r="BS35" s="337">
        <v>51</v>
      </c>
      <c r="BT35" s="678">
        <v>21</v>
      </c>
      <c r="BU35" s="447">
        <v>-11.003</v>
      </c>
      <c r="BV35" s="448">
        <v>-76.36</v>
      </c>
      <c r="BW35" s="449">
        <v>-65.400000000000006</v>
      </c>
      <c r="BX35" s="173" t="s">
        <v>133</v>
      </c>
      <c r="BY35" s="174" t="s">
        <v>133</v>
      </c>
      <c r="BZ35" s="175" t="s">
        <v>134</v>
      </c>
      <c r="CA35" s="176" t="s">
        <v>134</v>
      </c>
      <c r="CB35" s="177" t="s">
        <v>134</v>
      </c>
      <c r="CC35" s="121" t="s">
        <v>135</v>
      </c>
      <c r="CD35" s="122" t="s">
        <v>137</v>
      </c>
      <c r="CE35" s="122" t="s">
        <v>137</v>
      </c>
      <c r="CF35" s="123" t="s">
        <v>138</v>
      </c>
      <c r="CG35" s="124" t="s">
        <v>139</v>
      </c>
      <c r="CH35" s="54"/>
      <c r="CI35" s="125"/>
      <c r="CJ35" s="125" t="s">
        <v>28</v>
      </c>
      <c r="CK35" s="818" t="s">
        <v>28</v>
      </c>
      <c r="CL35" s="54"/>
      <c r="CM35" s="126">
        <v>1190</v>
      </c>
      <c r="CN35" s="127" t="s">
        <v>201</v>
      </c>
    </row>
    <row r="36" spans="1:92">
      <c r="A36" s="58">
        <v>1151</v>
      </c>
      <c r="B36" s="954" t="s">
        <v>165</v>
      </c>
      <c r="C36" s="879" t="s">
        <v>195</v>
      </c>
      <c r="D36" s="845">
        <v>53.49</v>
      </c>
      <c r="E36" s="845">
        <v>-2.0499999999999998</v>
      </c>
      <c r="F36" s="59">
        <v>927</v>
      </c>
      <c r="G36" s="558">
        <v>0.3</v>
      </c>
      <c r="H36" s="101">
        <v>0.8</v>
      </c>
      <c r="I36" s="243">
        <v>4.5</v>
      </c>
      <c r="J36" s="386">
        <v>0.5</v>
      </c>
      <c r="K36" s="607">
        <v>4.2</v>
      </c>
      <c r="L36" s="679">
        <v>32.090000000000003</v>
      </c>
      <c r="M36" s="401">
        <v>35.61</v>
      </c>
      <c r="N36" s="501">
        <v>39.630000000000003</v>
      </c>
      <c r="O36" s="315">
        <v>3.5</v>
      </c>
      <c r="P36" s="680">
        <v>7.5</v>
      </c>
      <c r="Q36" s="141">
        <v>17.43</v>
      </c>
      <c r="R36" s="582">
        <v>19.73</v>
      </c>
      <c r="S36" s="681">
        <v>22.12</v>
      </c>
      <c r="T36" s="682">
        <v>2.2999999999999998</v>
      </c>
      <c r="U36" s="93">
        <v>4.7</v>
      </c>
      <c r="V36" s="193">
        <v>7</v>
      </c>
      <c r="W36" s="233">
        <v>11.5</v>
      </c>
      <c r="X36" s="683">
        <v>25.6</v>
      </c>
      <c r="Y36" s="684">
        <v>4.5</v>
      </c>
      <c r="Z36" s="219">
        <v>18.600000000000001</v>
      </c>
      <c r="AA36" s="685">
        <v>1.3</v>
      </c>
      <c r="AB36" s="686">
        <v>0.8</v>
      </c>
      <c r="AC36" s="191">
        <v>0.1</v>
      </c>
      <c r="AD36" s="559">
        <v>-0.5</v>
      </c>
      <c r="AE36" s="687">
        <v>-1.2</v>
      </c>
      <c r="AF36" s="326">
        <v>0.1</v>
      </c>
      <c r="AG36" s="327">
        <v>0.2</v>
      </c>
      <c r="AH36" s="228">
        <v>2.4</v>
      </c>
      <c r="AI36" s="277">
        <v>0.1</v>
      </c>
      <c r="AJ36" s="415">
        <v>2.2999999999999998</v>
      </c>
      <c r="AK36" s="728">
        <v>1.4</v>
      </c>
      <c r="AL36" s="275">
        <v>2.2000000000000002</v>
      </c>
      <c r="AM36" s="654">
        <v>5.0999999999999996</v>
      </c>
      <c r="AN36" s="387">
        <v>0.8</v>
      </c>
      <c r="AO36" s="278">
        <v>2.9</v>
      </c>
      <c r="AP36" s="193">
        <v>13</v>
      </c>
      <c r="AQ36" s="393">
        <v>12</v>
      </c>
      <c r="AR36" s="394">
        <v>10</v>
      </c>
      <c r="AS36" s="61">
        <v>-1</v>
      </c>
      <c r="AT36" s="92">
        <v>-2</v>
      </c>
      <c r="AU36" s="193">
        <v>16</v>
      </c>
      <c r="AV36" s="149">
        <v>16</v>
      </c>
      <c r="AW36" s="149">
        <v>16</v>
      </c>
      <c r="AX36" s="91">
        <v>0</v>
      </c>
      <c r="AY36" s="93">
        <v>0</v>
      </c>
      <c r="AZ36" s="688">
        <v>63</v>
      </c>
      <c r="BA36" s="208">
        <v>66</v>
      </c>
      <c r="BB36" s="225">
        <v>69</v>
      </c>
      <c r="BC36" s="504">
        <v>3</v>
      </c>
      <c r="BD36" s="325">
        <v>6</v>
      </c>
      <c r="BE36" s="689">
        <v>55</v>
      </c>
      <c r="BF36" s="62">
        <v>61</v>
      </c>
      <c r="BG36" s="345">
        <v>63</v>
      </c>
      <c r="BH36" s="230">
        <v>6</v>
      </c>
      <c r="BI36" s="103">
        <v>8</v>
      </c>
      <c r="BJ36" s="880">
        <v>10</v>
      </c>
      <c r="BK36" s="85">
        <v>15.3</v>
      </c>
      <c r="BL36" s="371">
        <v>28.5</v>
      </c>
      <c r="BM36" s="392">
        <v>4.9000000000000004</v>
      </c>
      <c r="BN36" s="690">
        <v>18.100000000000001</v>
      </c>
      <c r="BO36" s="108">
        <v>-6.82</v>
      </c>
      <c r="BP36" s="599">
        <v>-28.37</v>
      </c>
      <c r="BQ36" s="109">
        <v>-21.6</v>
      </c>
      <c r="BR36" s="691">
        <v>51</v>
      </c>
      <c r="BS36" s="692">
        <v>85</v>
      </c>
      <c r="BT36" s="693">
        <v>34</v>
      </c>
      <c r="BU36" s="544">
        <v>-7.6470000000000002</v>
      </c>
      <c r="BV36" s="545">
        <v>-60.034999999999997</v>
      </c>
      <c r="BW36" s="546">
        <v>-52.4</v>
      </c>
      <c r="BX36" s="173" t="s">
        <v>133</v>
      </c>
      <c r="BY36" s="174" t="s">
        <v>133</v>
      </c>
      <c r="BZ36" s="175" t="s">
        <v>134</v>
      </c>
      <c r="CA36" s="176" t="s">
        <v>134</v>
      </c>
      <c r="CB36" s="177" t="s">
        <v>134</v>
      </c>
      <c r="CC36" s="121" t="s">
        <v>136</v>
      </c>
      <c r="CD36" s="122" t="s">
        <v>135</v>
      </c>
      <c r="CE36" s="122" t="s">
        <v>135</v>
      </c>
      <c r="CF36" s="123" t="s">
        <v>138</v>
      </c>
      <c r="CG36" s="124" t="s">
        <v>139</v>
      </c>
      <c r="CH36" s="54"/>
      <c r="CI36" s="125"/>
      <c r="CJ36" s="125" t="s">
        <v>28</v>
      </c>
      <c r="CK36" s="818" t="s">
        <v>28</v>
      </c>
      <c r="CL36" s="54"/>
      <c r="CM36" s="126">
        <v>1129</v>
      </c>
      <c r="CN36" s="127" t="s">
        <v>166</v>
      </c>
    </row>
    <row r="37" spans="1:92">
      <c r="A37" s="58">
        <v>1170</v>
      </c>
      <c r="B37" s="954" t="s">
        <v>149</v>
      </c>
      <c r="C37" s="845" t="s">
        <v>199</v>
      </c>
      <c r="D37" s="881">
        <v>54.57</v>
      </c>
      <c r="E37" s="845">
        <v>-1.28</v>
      </c>
      <c r="F37" s="59">
        <v>1186</v>
      </c>
      <c r="G37" s="427">
        <v>0.2</v>
      </c>
      <c r="H37" s="239">
        <v>0.5</v>
      </c>
      <c r="I37" s="506">
        <v>3.9</v>
      </c>
      <c r="J37" s="528">
        <v>0.3</v>
      </c>
      <c r="K37" s="497">
        <v>3.7</v>
      </c>
      <c r="L37" s="712">
        <v>31.61</v>
      </c>
      <c r="M37" s="257">
        <v>34.979999999999997</v>
      </c>
      <c r="N37" s="713">
        <v>38.880000000000003</v>
      </c>
      <c r="O37" s="714">
        <v>3.4</v>
      </c>
      <c r="P37" s="715">
        <v>7.3</v>
      </c>
      <c r="Q37" s="312">
        <v>16.75</v>
      </c>
      <c r="R37" s="135">
        <v>18.920000000000002</v>
      </c>
      <c r="S37" s="628">
        <v>21.17</v>
      </c>
      <c r="T37" s="218">
        <v>2.2000000000000002</v>
      </c>
      <c r="U37" s="69">
        <v>4.4000000000000004</v>
      </c>
      <c r="V37" s="723">
        <v>12.3</v>
      </c>
      <c r="W37" s="306">
        <v>19.7</v>
      </c>
      <c r="X37" s="105">
        <v>43.8</v>
      </c>
      <c r="Y37" s="724">
        <v>7.4</v>
      </c>
      <c r="Z37" s="725">
        <v>31.5</v>
      </c>
      <c r="AA37" s="193">
        <v>1.7</v>
      </c>
      <c r="AB37" s="718">
        <v>1.1000000000000001</v>
      </c>
      <c r="AC37" s="317">
        <v>0.2</v>
      </c>
      <c r="AD37" s="68">
        <v>-0.7</v>
      </c>
      <c r="AE37" s="223">
        <v>-1.5</v>
      </c>
      <c r="AF37" s="864">
        <v>0.03</v>
      </c>
      <c r="AG37" s="73">
        <v>7.0000000000000007E-2</v>
      </c>
      <c r="AH37" s="453">
        <v>1.33</v>
      </c>
      <c r="AI37" s="621">
        <v>0</v>
      </c>
      <c r="AJ37" s="726">
        <v>1.3</v>
      </c>
      <c r="AK37" s="882">
        <v>1.07</v>
      </c>
      <c r="AL37" s="371">
        <v>1.7</v>
      </c>
      <c r="AM37" s="330">
        <v>4.7</v>
      </c>
      <c r="AN37" s="198">
        <v>0.6</v>
      </c>
      <c r="AO37" s="140">
        <v>3</v>
      </c>
      <c r="AP37" s="151">
        <v>10</v>
      </c>
      <c r="AQ37" s="61">
        <v>9</v>
      </c>
      <c r="AR37" s="222">
        <v>8</v>
      </c>
      <c r="AS37" s="61">
        <v>-1</v>
      </c>
      <c r="AT37" s="103">
        <v>-1</v>
      </c>
      <c r="AU37" s="89">
        <v>11</v>
      </c>
      <c r="AV37" s="61">
        <v>11</v>
      </c>
      <c r="AW37" s="61">
        <v>11</v>
      </c>
      <c r="AX37" s="91">
        <v>0</v>
      </c>
      <c r="AY37" s="93">
        <v>0</v>
      </c>
      <c r="AZ37" s="462">
        <v>60</v>
      </c>
      <c r="BA37" s="354">
        <v>70</v>
      </c>
      <c r="BB37" s="396">
        <v>71</v>
      </c>
      <c r="BC37" s="95">
        <v>10</v>
      </c>
      <c r="BD37" s="463">
        <v>11</v>
      </c>
      <c r="BE37" s="377">
        <v>31</v>
      </c>
      <c r="BF37" s="261">
        <v>39</v>
      </c>
      <c r="BG37" s="142">
        <v>35</v>
      </c>
      <c r="BH37" s="61">
        <v>8</v>
      </c>
      <c r="BI37" s="328">
        <v>4</v>
      </c>
      <c r="BJ37" s="137">
        <v>20</v>
      </c>
      <c r="BK37" s="401">
        <v>43.1</v>
      </c>
      <c r="BL37" s="464">
        <v>62.8</v>
      </c>
      <c r="BM37" s="422">
        <v>23.1</v>
      </c>
      <c r="BN37" s="399">
        <v>42.8</v>
      </c>
      <c r="BO37" s="466">
        <v>-1.006</v>
      </c>
      <c r="BP37" s="467">
        <v>3.12</v>
      </c>
      <c r="BQ37" s="468">
        <v>4.0999999999999996</v>
      </c>
      <c r="BR37" s="469">
        <v>41</v>
      </c>
      <c r="BS37" s="470">
        <v>61</v>
      </c>
      <c r="BT37" s="338">
        <v>20</v>
      </c>
      <c r="BU37" s="471">
        <v>-9.3010000000000002</v>
      </c>
      <c r="BV37" s="472">
        <v>-54.741</v>
      </c>
      <c r="BW37" s="300">
        <v>-45.4</v>
      </c>
      <c r="BX37" s="173" t="s">
        <v>143</v>
      </c>
      <c r="BY37" s="174" t="s">
        <v>143</v>
      </c>
      <c r="BZ37" s="175" t="s">
        <v>134</v>
      </c>
      <c r="CA37" s="176" t="s">
        <v>134</v>
      </c>
      <c r="CB37" s="711" t="s">
        <v>185</v>
      </c>
      <c r="CC37" s="121" t="s">
        <v>135</v>
      </c>
      <c r="CD37" s="122" t="s">
        <v>137</v>
      </c>
      <c r="CE37" s="122" t="s">
        <v>137</v>
      </c>
      <c r="CF37" s="123" t="s">
        <v>163</v>
      </c>
      <c r="CG37" s="124" t="s">
        <v>139</v>
      </c>
      <c r="CH37" s="54"/>
      <c r="CI37" s="125"/>
      <c r="CJ37" s="125" t="s">
        <v>28</v>
      </c>
      <c r="CK37" s="818" t="s">
        <v>28</v>
      </c>
      <c r="CL37" s="54"/>
      <c r="CM37" s="126">
        <v>1119</v>
      </c>
      <c r="CN37" s="127" t="s">
        <v>150</v>
      </c>
    </row>
    <row r="38" spans="1:92" ht="15.75" thickBot="1">
      <c r="A38" s="58">
        <v>1156</v>
      </c>
      <c r="B38" s="845" t="s">
        <v>197</v>
      </c>
      <c r="C38" s="845" t="s">
        <v>709</v>
      </c>
      <c r="D38" s="881">
        <v>51.33</v>
      </c>
      <c r="E38" s="845">
        <v>-0.83</v>
      </c>
      <c r="F38" s="59">
        <v>268</v>
      </c>
      <c r="G38" s="427">
        <v>0.2</v>
      </c>
      <c r="H38" s="239">
        <v>0.5</v>
      </c>
      <c r="I38" s="506">
        <v>3.9</v>
      </c>
      <c r="J38" s="528">
        <v>0.3</v>
      </c>
      <c r="K38" s="497">
        <v>3.7</v>
      </c>
      <c r="L38" s="712">
        <v>31.61</v>
      </c>
      <c r="M38" s="257">
        <v>34.979999999999997</v>
      </c>
      <c r="N38" s="713">
        <v>38.880000000000003</v>
      </c>
      <c r="O38" s="714">
        <v>3.4</v>
      </c>
      <c r="P38" s="715">
        <v>7.3</v>
      </c>
      <c r="Q38" s="312">
        <v>16.75</v>
      </c>
      <c r="R38" s="135">
        <v>18.920000000000002</v>
      </c>
      <c r="S38" s="628">
        <v>21.17</v>
      </c>
      <c r="T38" s="218">
        <v>2.2000000000000002</v>
      </c>
      <c r="U38" s="69">
        <v>4.4000000000000004</v>
      </c>
      <c r="V38" s="716">
        <v>30.4</v>
      </c>
      <c r="W38" s="146">
        <v>42.2</v>
      </c>
      <c r="X38" s="717">
        <v>76.2</v>
      </c>
      <c r="Y38" s="478">
        <v>11.8</v>
      </c>
      <c r="Z38" s="244">
        <v>45.8</v>
      </c>
      <c r="AA38" s="193">
        <v>1.7</v>
      </c>
      <c r="AB38" s="718">
        <v>1.1000000000000001</v>
      </c>
      <c r="AC38" s="317">
        <v>0.2</v>
      </c>
      <c r="AD38" s="68">
        <v>-0.7</v>
      </c>
      <c r="AE38" s="223">
        <v>-1.5</v>
      </c>
      <c r="AF38" s="89">
        <v>0.37</v>
      </c>
      <c r="AG38" s="275">
        <v>1.07</v>
      </c>
      <c r="AH38" s="667">
        <v>5.57</v>
      </c>
      <c r="AI38" s="71">
        <v>0.7</v>
      </c>
      <c r="AJ38" s="515">
        <v>5.2</v>
      </c>
      <c r="AK38" s="241">
        <v>1.23</v>
      </c>
      <c r="AL38" s="422">
        <v>2.23</v>
      </c>
      <c r="AM38" s="681">
        <v>5.47</v>
      </c>
      <c r="AN38" s="183">
        <v>1</v>
      </c>
      <c r="AO38" s="719">
        <v>3.2</v>
      </c>
      <c r="AP38" s="632">
        <v>8</v>
      </c>
      <c r="AQ38" s="90">
        <v>7</v>
      </c>
      <c r="AR38" s="91">
        <v>5</v>
      </c>
      <c r="AS38" s="61">
        <v>-1</v>
      </c>
      <c r="AT38" s="92">
        <v>-2</v>
      </c>
      <c r="AU38" s="89">
        <v>11</v>
      </c>
      <c r="AV38" s="61">
        <v>11</v>
      </c>
      <c r="AW38" s="61">
        <v>11</v>
      </c>
      <c r="AX38" s="91">
        <v>0</v>
      </c>
      <c r="AY38" s="93">
        <v>0</v>
      </c>
      <c r="AZ38" s="193">
        <v>44</v>
      </c>
      <c r="BA38" s="280">
        <v>54</v>
      </c>
      <c r="BB38" s="720">
        <v>50</v>
      </c>
      <c r="BC38" s="95">
        <v>10</v>
      </c>
      <c r="BD38" s="325">
        <v>6</v>
      </c>
      <c r="BE38" s="357">
        <v>38</v>
      </c>
      <c r="BF38" s="327">
        <v>36</v>
      </c>
      <c r="BG38" s="101">
        <v>45</v>
      </c>
      <c r="BH38" s="398">
        <v>-2</v>
      </c>
      <c r="BI38" s="391">
        <v>7</v>
      </c>
      <c r="BJ38" s="555">
        <v>21</v>
      </c>
      <c r="BK38" s="582">
        <v>41.5</v>
      </c>
      <c r="BL38" s="246">
        <v>70.099999999999994</v>
      </c>
      <c r="BM38" s="559">
        <v>20.399999999999999</v>
      </c>
      <c r="BN38" s="557">
        <v>49.1</v>
      </c>
      <c r="BO38" s="466">
        <v>-1.048</v>
      </c>
      <c r="BP38" s="835">
        <v>-11.265000000000001</v>
      </c>
      <c r="BQ38" s="639">
        <v>-10.199999999999999</v>
      </c>
      <c r="BR38" s="836">
        <v>25</v>
      </c>
      <c r="BS38" s="837">
        <v>46</v>
      </c>
      <c r="BT38" s="678">
        <v>21</v>
      </c>
      <c r="BU38" s="838">
        <v>-7.806</v>
      </c>
      <c r="BV38" s="839">
        <v>-79.765000000000001</v>
      </c>
      <c r="BW38" s="840">
        <v>-72</v>
      </c>
      <c r="BX38" s="742" t="s">
        <v>133</v>
      </c>
      <c r="BY38" s="743" t="s">
        <v>133</v>
      </c>
      <c r="BZ38" s="744" t="s">
        <v>134</v>
      </c>
      <c r="CA38" s="745" t="s">
        <v>134</v>
      </c>
      <c r="CB38" s="746" t="s">
        <v>134</v>
      </c>
      <c r="CC38" s="747" t="s">
        <v>135</v>
      </c>
      <c r="CD38" s="748" t="s">
        <v>137</v>
      </c>
      <c r="CE38" s="748" t="s">
        <v>137</v>
      </c>
      <c r="CF38" s="749" t="s">
        <v>138</v>
      </c>
      <c r="CG38" s="750" t="s">
        <v>139</v>
      </c>
      <c r="CH38" s="54"/>
      <c r="CI38" s="125"/>
      <c r="CJ38" s="125" t="s">
        <v>28</v>
      </c>
      <c r="CK38" s="818" t="s">
        <v>28</v>
      </c>
      <c r="CL38" s="54"/>
      <c r="CM38" s="126">
        <v>1144</v>
      </c>
      <c r="CN38" s="127" t="s">
        <v>187</v>
      </c>
    </row>
    <row r="39" spans="1:92">
      <c r="A39" s="58"/>
      <c r="B39" s="879" t="s">
        <v>710</v>
      </c>
      <c r="C39" s="879" t="s">
        <v>193</v>
      </c>
      <c r="D39" s="879">
        <v>52.49</v>
      </c>
      <c r="E39" s="879">
        <v>-1.95</v>
      </c>
      <c r="F39" s="883"/>
      <c r="G39" s="661">
        <v>0.1</v>
      </c>
      <c r="H39" s="61">
        <v>0.4</v>
      </c>
      <c r="I39" s="662">
        <v>3.1</v>
      </c>
      <c r="J39" s="436">
        <v>0.2</v>
      </c>
      <c r="K39" s="663">
        <v>3</v>
      </c>
      <c r="L39" s="664">
        <v>31.35</v>
      </c>
      <c r="M39" s="295">
        <v>34.619999999999997</v>
      </c>
      <c r="N39" s="665">
        <v>38.22</v>
      </c>
      <c r="O39" s="247">
        <v>3.3</v>
      </c>
      <c r="P39" s="461">
        <v>6.9</v>
      </c>
      <c r="Q39" s="241">
        <v>17.100000000000001</v>
      </c>
      <c r="R39" s="666">
        <v>19.32</v>
      </c>
      <c r="S39" s="667">
        <v>21.58</v>
      </c>
      <c r="T39" s="668">
        <v>2.2000000000000002</v>
      </c>
      <c r="U39" s="669">
        <v>4.5</v>
      </c>
      <c r="V39" s="547">
        <v>23.3</v>
      </c>
      <c r="W39" s="603">
        <v>33.299999999999997</v>
      </c>
      <c r="X39" s="264">
        <v>60.5</v>
      </c>
      <c r="Y39" s="670">
        <v>10</v>
      </c>
      <c r="Z39" s="531">
        <v>37.200000000000003</v>
      </c>
      <c r="AA39" s="671">
        <v>1.5</v>
      </c>
      <c r="AB39" s="672">
        <v>1</v>
      </c>
      <c r="AC39" s="191">
        <v>0.1</v>
      </c>
      <c r="AD39" s="673">
        <v>-0.5</v>
      </c>
      <c r="AE39" s="674">
        <v>-1.4</v>
      </c>
      <c r="AF39" s="864">
        <v>0.03</v>
      </c>
      <c r="AG39" s="876">
        <v>0.33</v>
      </c>
      <c r="AH39" s="365">
        <v>3.77</v>
      </c>
      <c r="AI39" s="147">
        <v>0.3</v>
      </c>
      <c r="AJ39" s="519">
        <v>3.7</v>
      </c>
      <c r="AK39" s="877">
        <v>0.77</v>
      </c>
      <c r="AL39" s="100">
        <v>1.47</v>
      </c>
      <c r="AM39" s="397">
        <v>4.5</v>
      </c>
      <c r="AN39" s="288">
        <v>0.7</v>
      </c>
      <c r="AO39" s="552">
        <v>3</v>
      </c>
      <c r="AP39" s="151">
        <v>10</v>
      </c>
      <c r="AQ39" s="61">
        <v>9</v>
      </c>
      <c r="AR39" s="90">
        <v>7</v>
      </c>
      <c r="AS39" s="61">
        <v>-1</v>
      </c>
      <c r="AT39" s="92">
        <v>-2</v>
      </c>
      <c r="AU39" s="89">
        <v>11</v>
      </c>
      <c r="AV39" s="61">
        <v>11</v>
      </c>
      <c r="AW39" s="61">
        <v>11</v>
      </c>
      <c r="AX39" s="91">
        <v>0</v>
      </c>
      <c r="AY39" s="93">
        <v>0</v>
      </c>
      <c r="AZ39" s="572">
        <v>58</v>
      </c>
      <c r="BA39" s="61">
        <v>61</v>
      </c>
      <c r="BB39" s="257">
        <v>64</v>
      </c>
      <c r="BC39" s="504">
        <v>3</v>
      </c>
      <c r="BD39" s="325">
        <v>6</v>
      </c>
      <c r="BE39" s="357">
        <v>38</v>
      </c>
      <c r="BF39" s="158">
        <v>40</v>
      </c>
      <c r="BG39" s="603">
        <v>46</v>
      </c>
      <c r="BH39" s="142">
        <v>2</v>
      </c>
      <c r="BI39" s="103">
        <v>8</v>
      </c>
      <c r="BJ39" s="878">
        <v>18</v>
      </c>
      <c r="BK39" s="156">
        <v>29.2</v>
      </c>
      <c r="BL39" s="530">
        <v>56.9</v>
      </c>
      <c r="BM39" s="675">
        <v>11.3</v>
      </c>
      <c r="BN39" s="676">
        <v>39</v>
      </c>
      <c r="BO39" s="108">
        <v>-6.82</v>
      </c>
      <c r="BP39" s="599">
        <v>-28.37</v>
      </c>
      <c r="BQ39" s="109">
        <v>-21.6</v>
      </c>
      <c r="BR39" s="677">
        <v>30</v>
      </c>
      <c r="BS39" s="337">
        <v>51</v>
      </c>
      <c r="BT39" s="678">
        <v>21</v>
      </c>
      <c r="BU39" s="447">
        <v>-11.003</v>
      </c>
      <c r="BV39" s="448">
        <v>-76.36</v>
      </c>
      <c r="BW39" s="449">
        <v>-65.400000000000006</v>
      </c>
      <c r="BX39" s="173" t="s">
        <v>133</v>
      </c>
      <c r="BY39" s="174" t="s">
        <v>133</v>
      </c>
      <c r="BZ39" s="175" t="s">
        <v>134</v>
      </c>
      <c r="CA39" s="176" t="s">
        <v>134</v>
      </c>
      <c r="CB39" s="177" t="s">
        <v>134</v>
      </c>
      <c r="CC39" s="121" t="s">
        <v>136</v>
      </c>
      <c r="CD39" s="122" t="s">
        <v>136</v>
      </c>
      <c r="CE39" s="122" t="s">
        <v>137</v>
      </c>
      <c r="CF39" s="123" t="s">
        <v>138</v>
      </c>
      <c r="CG39" s="124" t="s">
        <v>139</v>
      </c>
      <c r="CH39" s="54"/>
      <c r="CI39" s="125"/>
      <c r="CJ39" s="125"/>
      <c r="CK39" s="818"/>
    </row>
    <row r="41" spans="1:92">
      <c r="F41" t="s">
        <v>680</v>
      </c>
      <c r="G41">
        <f>(SUM(Table15[CESD Now])/(COUNTA(Table15[CESD Now])))</f>
        <v>0.13428571428571431</v>
      </c>
      <c r="H41">
        <f>(SUM(Table15[CESD 2 °C])/(COUNTA(Table15[CESD 2 °C])))</f>
        <v>0.3342857142857143</v>
      </c>
      <c r="I41">
        <f>(SUM(Table15[CESD 4 °C])/(COUNTA(Table15[CESD 4 °C])))</f>
        <v>2.5428571428571427</v>
      </c>
      <c r="J41">
        <f>(SUM(Table15[CESD Change 2 °C])/(COUNTA(Table15[CESD Change 2 °C])))</f>
        <v>0.19714285714285715</v>
      </c>
      <c r="K41">
        <f>(SUM(Table15[CESD Change 4 °C])/(COUNTA(Table15[CESD Change 4 °C])))</f>
        <v>2.4114285714285715</v>
      </c>
      <c r="L41">
        <f>(SUM(Table15[SMTC Now])/(COUNTA(Table15[SMTC Now])))</f>
        <v>30.812571428571431</v>
      </c>
      <c r="M41">
        <f>(SUM(Table15[SMTC 2 °C])/(COUNTA(Table15[SMTC 2 °C])))</f>
        <v>33.971999999999994</v>
      </c>
      <c r="N41">
        <f>(SUM(Table15[SMTC 4 °C])/(COUNTA(Table15[SMTC 4 °C])))</f>
        <v>37.368285714285726</v>
      </c>
      <c r="O41">
        <f>(SUM(Table15[CESD Change 2 °C2])/(COUNTA(Table15[CESD Change 2 °C2])))</f>
        <v>3.1742857142857139</v>
      </c>
      <c r="P41">
        <f>(SUM(Table15[CESD Change 4 °C3])/(COUNTA(Table15[CESD Change 4 °C3])))</f>
        <v>6.5571428571428578</v>
      </c>
      <c r="Q41">
        <f>(SUM(Table15[SAT Now])/(COUNTA(Table15[SAT Now])))</f>
        <v>16.904857142857146</v>
      </c>
      <c r="R41">
        <f>(SUM(Table15[SAT 2 °C])/(COUNTA(Table15[SAT 2 °C])))</f>
        <v>19.036857142857144</v>
      </c>
      <c r="S41">
        <f>(SUM(Table15[SAT 4 °C])/(COUNTA(Table15[SAT 4 °C])))</f>
        <v>21.238000000000003</v>
      </c>
      <c r="T41">
        <f>(SUM(Table15[SAT Change 2 °C])/(COUNTA(Table15[SAT Change 2 °C])))</f>
        <v>2.1400000000000006</v>
      </c>
      <c r="U41">
        <f>(SUM(Table15[SAT Change 4 °C])/(COUNTA(Table15[SAT Change 4 °C])))</f>
        <v>4.3371428571428563</v>
      </c>
      <c r="V41">
        <f>(SUM(Table15[ACSD Now])/(COUNTA(Table15[ACSD Now])))</f>
        <v>19.534285714285708</v>
      </c>
      <c r="W41">
        <f>(SUM(Table15[ACSD 2 °C])/(COUNTA(Table15[ACSD 2 °C])))</f>
        <v>28.859999999999996</v>
      </c>
      <c r="X41">
        <f>(SUM(Table15[ACSD 4 °C])/(COUNTA(Table15[ACSD 4 °C])))</f>
        <v>55.834285714285706</v>
      </c>
      <c r="Y41">
        <f>(SUM(Table15[ACSD Change 2 °C])/(COUNTA(Table15[ACSD Change 2 °C])))</f>
        <v>9.3514285714285688</v>
      </c>
      <c r="Z41">
        <f>(SUM(Table15[ACSD Change 4 °C])/(COUNTA(Table15[ACSD Change 4 °C])))</f>
        <v>36.322857142857146</v>
      </c>
      <c r="AA41">
        <f>(SUM(Table15[ICD Now])/(COUNTA(Table15[ICD Now])))</f>
        <v>0.91142857142857137</v>
      </c>
      <c r="AB41">
        <f>(SUM(Table15[ICD 2 °C])/(COUNTA(Table15[ICD 2 °C])))</f>
        <v>0.5514285714285716</v>
      </c>
      <c r="AC41">
        <f>(SUM(Table15[ICD 4 °C])/(COUNTA(Table15[ICD 4 °C])))</f>
        <v>7.714285714285718E-2</v>
      </c>
      <c r="AD41">
        <f>(SUM(Table15[ICD Change 2 °C])/(COUNTA(Table15[ICD Change 2 °C])))</f>
        <v>-0.36571428571428566</v>
      </c>
      <c r="AE41">
        <f>(SUM(Table15[ICD Change 4 °C])/(COUNTA(Table15[ICD Change 4 °C])))</f>
        <v>-0.82571428571428562</v>
      </c>
      <c r="AF41">
        <f>(SUM(Table15[HS Now])/(COUNTA(Table15[HS Now])))</f>
        <v>0.112</v>
      </c>
      <c r="AG41">
        <f>(SUM(Table15[HS 2 °C])/(COUNTA(Table15[HS 2 °C])))</f>
        <v>0.41600000000000004</v>
      </c>
      <c r="AH41">
        <f>(SUM(Table15[HS 4 °C])/(COUNTA(Table15[HS 4 °C])))</f>
        <v>3.2745714285714276</v>
      </c>
      <c r="AI41">
        <f>(SUM(Table15[HS Change 2 °C])/(COUNTA(Table15[HS Change 2 °C])))</f>
        <v>0.30857142857142855</v>
      </c>
      <c r="AJ41">
        <f>(SUM(Table15[HS Change 4 °C])/(COUNTA(Table15[HS Change 4 °C])))</f>
        <v>3.16</v>
      </c>
      <c r="AK41">
        <f>(SUM(Table15[HW Now])/(COUNTA(Table15[HW Now])))</f>
        <v>1.0805714285714283</v>
      </c>
      <c r="AL41">
        <f>(SUM(Table15[HW 2 °C])/(COUNTA(Table15[HW 2 °C])))</f>
        <v>1.7468571428571429</v>
      </c>
      <c r="AM41">
        <f>(SUM(Table15[HW 4 °C])/(COUNTA(Table15[HW 4 °C])))</f>
        <v>4.4939999999999989</v>
      </c>
      <c r="AN41">
        <f>(SUM(Table15[HW Change 2 °C])/(COUNTA(Table15[HW Change 2 °C])))</f>
        <v>0.67714285714285716</v>
      </c>
      <c r="AO41">
        <f>(SUM(Table15[HW Change 4 °C])/(COUNTA(Table15[HW Change 4 °C])))</f>
        <v>2.7514285714285718</v>
      </c>
      <c r="AP41">
        <f>(SUM(Table15[SRD Now])/(COUNTA(Table15[SRD Now])))</f>
        <v>10.028571428571428</v>
      </c>
      <c r="AQ41">
        <f>(SUM(Table15[SRD 2 °C])/(COUNTA(Table15[SRD 2 °C])))</f>
        <v>9.2285714285714278</v>
      </c>
      <c r="AR41">
        <f>(SUM(Table15[SRD 4 °C])/(COUNTA(Table15[SRD 4 °C])))</f>
        <v>7.2</v>
      </c>
      <c r="AS41">
        <f>(SUM(Table15[SRD Change 2 °C])/(COUNTA(Table15[SRD Change 2 °C])))</f>
        <v>-0.8</v>
      </c>
      <c r="AT41">
        <f>(SUM(Table15[SRD Change 4 °C])/(COUNTA(Table15[SRD Change 4 °C])))</f>
        <v>-2.0285714285714285</v>
      </c>
      <c r="AU41">
        <f>(SUM(Table15[WRD Now])/(COUNTA(Table15[WRD Now])))</f>
        <v>12.2</v>
      </c>
      <c r="AV41">
        <f>(SUM(Table15[WRD 2 °C])/(COUNTA(Table15[WRD 2 °C])))</f>
        <v>12.2</v>
      </c>
      <c r="AW41">
        <f>(SUM(Table15[WRD 4 °C])/(COUNTA(Table15[WRD 4 °C])))</f>
        <v>12.2</v>
      </c>
      <c r="AX41">
        <f>(SUM(Table15[WRD Change 2 °C])/(COUNTA(Table15[WRD Change 2 °C])))</f>
        <v>0</v>
      </c>
      <c r="AY41">
        <f>(SUM(Table15[WRD Change 4 °C])/(COUNTA(Table15[WRD Change 4 °C])))</f>
        <v>0</v>
      </c>
      <c r="AZ41">
        <f>(SUM(Table15[SWD Now])/(COUNTA(Table15[SWD Now])))</f>
        <v>56.2</v>
      </c>
      <c r="BA41">
        <f>(SUM(Table15[SWD 2 °C])/(COUNTA(Table15[SWD 2 °C])))</f>
        <v>63.971428571428568</v>
      </c>
      <c r="BB41">
        <f>(SUM(Table15[SWD 4 °C])/(COUNTA(Table15[SWD 4 °C])))</f>
        <v>64.885714285714286</v>
      </c>
      <c r="BC41">
        <f>(SUM(Table15[SWD Change 2 °C])/(COUNTA(Table15[SWD Change 2 °C])))</f>
        <v>7.7714285714285714</v>
      </c>
      <c r="BD41">
        <f>(SUM(Table15[SWD Change 4 °C])/(COUNTA(Table15[SWD Change 4 °C])))</f>
        <v>8.6857142857142851</v>
      </c>
      <c r="BE41">
        <f>(SUM(Table15[WWD Now])/(COUNTA(Table15[WWD Now])))</f>
        <v>41.057142857142857</v>
      </c>
      <c r="BF41">
        <f>(SUM(Table15[WWD 2 °C])/(COUNTA(Table15[WWD 2 °C])))</f>
        <v>46.142857142857146</v>
      </c>
      <c r="BG41">
        <f>(SUM(Table15[WWD 4 °C])/(COUNTA(Table15[WWD 4 °C])))</f>
        <v>52.342857142857142</v>
      </c>
      <c r="BH41">
        <f>(SUM(Table15[WWD Change 2 °C])/(COUNTA(Table15[WWD Change 2 °C])))</f>
        <v>5.0857142857142854</v>
      </c>
      <c r="BI41">
        <f>(SUM(Table15[WWD Change 4 °C])/(COUNTA(Table15[WWD Change 4 °C])))</f>
        <v>11.285714285714286</v>
      </c>
      <c r="BJ41">
        <f>(SUM(Table15[WF Now])/(COUNTA(Table15[WF Now])))</f>
        <v>19.971428571428572</v>
      </c>
      <c r="BK41">
        <f>(SUM(Table15[WF 2 °C])/(COUNTA(Table15[WF 2 °C])))</f>
        <v>32.26285714285715</v>
      </c>
      <c r="BL41">
        <f>(SUM(Table15[WF 4 °C])/(COUNTA(Table15[WF 4 °C])))</f>
        <v>54.574285714285715</v>
      </c>
      <c r="BM41">
        <f>(SUM(Table15[WF Change 2 °C])/(COUNTA(Table15[WF Change 2 °C])))</f>
        <v>12.242857142857142</v>
      </c>
      <c r="BN41">
        <f>(SUM(Table15[WF Change 4 °C])/(COUNTA(Table15[WF Change 4 °C])))</f>
        <v>34.568571428571424</v>
      </c>
      <c r="BO41">
        <f>(SUM(Table15[RCP8.5 - Now])/(COUNTA(Table15[RCP8.5 - Now])))</f>
        <v>-1.3019428571428573</v>
      </c>
      <c r="BP41">
        <f>(SUM(Table15[RCP8.5 - 2100])/(COUNTA(Table15[RCP8.5 - 2100])))</f>
        <v>-1.5300000000000002</v>
      </c>
      <c r="BQ41">
        <f>(SUM(Table15[RR Change 4 °C])/(COUNTA(Table15[RR Change 4 °C])))</f>
        <v>-0.23428571428571407</v>
      </c>
      <c r="BR41">
        <f>(SUM(Table15[By 2050])/(COUNTA(Table15[By 2050])))</f>
        <v>33.657142857142858</v>
      </c>
      <c r="BS41">
        <f>(SUM(Table15[By 2100])/(COUNTA(Table15[By 2100])))</f>
        <v>66.8</v>
      </c>
      <c r="BT41">
        <f>(SUM(Table15[PRF Change 4 °C])/(COUNTA(Table15[PRF Change 4 °C])))</f>
        <v>33.142857142857146</v>
      </c>
      <c r="BU41">
        <f>(SUM(Table15[Now])/(COUNTA(Table15[Now])))</f>
        <v>-9.3623714285714268</v>
      </c>
      <c r="BV41">
        <f>(SUM(Table15[8.5])/(COUNTA(Table15[8.5])))</f>
        <v>-73.640285714285724</v>
      </c>
      <c r="BW41">
        <f>(SUM(Table15[LRF Change 4 °C])/(COUNTA(Table15[LRF Change 4 °C])))</f>
        <v>-64.300000000000026</v>
      </c>
    </row>
    <row r="42" spans="1:92">
      <c r="F42" t="s">
        <v>679</v>
      </c>
      <c r="G42">
        <f>MAX(Table15[CESD Now])</f>
        <v>0.5</v>
      </c>
      <c r="H42">
        <f>MAX(Table15[CESD 2 °C])</f>
        <v>0.8</v>
      </c>
      <c r="I42">
        <f>MAX(Table15[CESD 4 °C])</f>
        <v>5.6</v>
      </c>
      <c r="J42">
        <f>MAX(Table15[CESD Change 2 °C])</f>
        <v>0.5</v>
      </c>
      <c r="K42">
        <f>MAX(Table15[CESD Change 4 °C])</f>
        <v>5.0999999999999996</v>
      </c>
      <c r="L42">
        <f>MAX(Table15[SMTC Now])</f>
        <v>32.799999999999997</v>
      </c>
      <c r="M42">
        <f>MAX(Table15[SMTC 2 °C])</f>
        <v>36.22</v>
      </c>
      <c r="N42">
        <f>MAX(Table15[SMTC 4 °C])</f>
        <v>40.01</v>
      </c>
      <c r="O42">
        <f>MAX(Table15[CESD Change 2 °C2])</f>
        <v>3.6</v>
      </c>
      <c r="P42">
        <f>MAX(Table15[CESD Change 4 °C3])</f>
        <v>7.6</v>
      </c>
      <c r="Q42">
        <f>MAX(Table15[SAT Now])</f>
        <v>18</v>
      </c>
      <c r="R42">
        <f>MAX(Table15[SAT 2 °C])</f>
        <v>20.25</v>
      </c>
      <c r="S42">
        <f>MAX(Table15[SAT 4 °C])</f>
        <v>22.3</v>
      </c>
      <c r="T42">
        <f>MAX(Table15[SAT Change 2 °C])</f>
        <v>2.2999999999999998</v>
      </c>
      <c r="U42">
        <f>MAX(Table15[SAT Change 4 °C])</f>
        <v>4.7</v>
      </c>
      <c r="V42">
        <f>MAX(Table15[ACSD Now])</f>
        <v>32.9</v>
      </c>
      <c r="W42">
        <f>MAX(Table15[ACSD 2 °C])</f>
        <v>44.4</v>
      </c>
      <c r="X42">
        <f>MAX(Table15[ACSD 4 °C])</f>
        <v>80.599999999999994</v>
      </c>
      <c r="Y42">
        <f>MAX(Table15[ACSD Change 2 °C])</f>
        <v>12.6</v>
      </c>
      <c r="Z42">
        <f>MAX(Table15[ACSD Change 4 °C])</f>
        <v>47.7</v>
      </c>
      <c r="AA42">
        <f>MAX(Table15[ICD Now])</f>
        <v>1.7</v>
      </c>
      <c r="AB42">
        <f>MAX(Table15[ICD 2 °C])</f>
        <v>1.1000000000000001</v>
      </c>
      <c r="AC42">
        <f>MAX(Table15[ICD 4 °C])</f>
        <v>0.3</v>
      </c>
      <c r="AD42">
        <f>MAX(Table15[ICD Change 2 °C])</f>
        <v>-0.1</v>
      </c>
      <c r="AE42">
        <f>MAX(Table15[ICD Change 4 °C])</f>
        <v>-0.3</v>
      </c>
      <c r="AF42">
        <f>MAX(Table15[HS Now])</f>
        <v>0.37</v>
      </c>
      <c r="AG42">
        <f>MAX(Table15[HS 2 °C])</f>
        <v>1.3</v>
      </c>
      <c r="AH42">
        <f>MAX(Table15[HS 4 °C])</f>
        <v>7.03</v>
      </c>
      <c r="AI42">
        <f>MAX(Table15[HS Change 2 °C])</f>
        <v>1.1000000000000001</v>
      </c>
      <c r="AJ42">
        <f>MAX(Table15[HS Change 4 °C])</f>
        <v>6.8</v>
      </c>
      <c r="AK42">
        <f>MAX(Table15[HW Now])</f>
        <v>1.9</v>
      </c>
      <c r="AL42">
        <f>MAX(Table15[HW 2 °C])</f>
        <v>2.7</v>
      </c>
      <c r="AM42">
        <f>MAX(Table15[HW 4 °C])</f>
        <v>5.7</v>
      </c>
      <c r="AN42">
        <f>MAX(Table15[HW Change 2 °C])</f>
        <v>1.1000000000000001</v>
      </c>
      <c r="AO42">
        <f>MAX(Table15[HW Change 4 °C])</f>
        <v>3.3</v>
      </c>
      <c r="AP42">
        <f>MAX(Table15[SRD Now])</f>
        <v>13</v>
      </c>
      <c r="AQ42">
        <f>MAX(Table15[SRD 2 °C])</f>
        <v>12</v>
      </c>
      <c r="AR42">
        <f>MAX(Table15[SRD 4 °C])</f>
        <v>10</v>
      </c>
      <c r="AS42">
        <f>MAX(Table15[SRD Change 2 °C])</f>
        <v>0</v>
      </c>
      <c r="AT42">
        <f>MAX(Table15[SRD Change 4 °C])</f>
        <v>-1</v>
      </c>
      <c r="AU42">
        <f>MAX(Table15[WRD Now])</f>
        <v>16</v>
      </c>
      <c r="AV42">
        <f>MAX(Table15[WRD 2 °C])</f>
        <v>16</v>
      </c>
      <c r="AW42">
        <f>MAX(Table15[WRD 4 °C])</f>
        <v>16</v>
      </c>
      <c r="AX42">
        <f>MAX(Table15[WRD Change 2 °C])</f>
        <v>0</v>
      </c>
      <c r="AY42">
        <f>MAX(Table15[WRD Change 4 °C])</f>
        <v>0</v>
      </c>
      <c r="AZ42">
        <f>MAX(Table15[SWD Now])</f>
        <v>80</v>
      </c>
      <c r="BA42">
        <f>MAX(Table15[SWD 2 °C])</f>
        <v>86</v>
      </c>
      <c r="BB42">
        <f>MAX(Table15[SWD 4 °C])</f>
        <v>78</v>
      </c>
      <c r="BC42">
        <f>MAX(Table15[SWD Change 2 °C])</f>
        <v>26</v>
      </c>
      <c r="BD42">
        <f>MAX(Table15[SWD Change 4 °C])</f>
        <v>24</v>
      </c>
      <c r="BE42">
        <f>MAX(Table15[WWD Now])</f>
        <v>66</v>
      </c>
      <c r="BF42">
        <f>MAX(Table15[WWD 2 °C])</f>
        <v>73</v>
      </c>
      <c r="BG42">
        <f>MAX(Table15[WWD 4 °C])</f>
        <v>85</v>
      </c>
      <c r="BH42">
        <f>MAX(Table15[WWD Change 2 °C])</f>
        <v>20</v>
      </c>
      <c r="BI42">
        <f>MAX(Table15[WWD Change 4 °C])</f>
        <v>26</v>
      </c>
      <c r="BJ42">
        <f>MAX(Table15[WF Now])</f>
        <v>42</v>
      </c>
      <c r="BK42">
        <f>MAX(Table15[WF 2 °C])</f>
        <v>54.7</v>
      </c>
      <c r="BL42">
        <f>MAX(Table15[WF 4 °C])</f>
        <v>82.6</v>
      </c>
      <c r="BM42">
        <f>MAX(Table15[WF Change 2 °C])</f>
        <v>25.2</v>
      </c>
      <c r="BN42">
        <f>MAX(Table15[WF Change 4 °C])</f>
        <v>53.1</v>
      </c>
      <c r="BO42">
        <f>MAX(Table15[RCP8.5 - Now])</f>
        <v>0.746</v>
      </c>
      <c r="BP42">
        <f>MAX(Table15[RCP8.5 - 2100])</f>
        <v>19.876000000000001</v>
      </c>
      <c r="BQ42">
        <f>MAX(Table15[RR Change 4 °C])</f>
        <v>19.100000000000001</v>
      </c>
      <c r="BR42">
        <f>MAX(Table15[By 2050])</f>
        <v>55</v>
      </c>
      <c r="BS42">
        <f>MAX(Table15[By 2100])</f>
        <v>110</v>
      </c>
      <c r="BT42">
        <f>MAX(Table15[PRF Change 4 °C])</f>
        <v>90</v>
      </c>
      <c r="BU42">
        <f>MAX(Table15[Now])</f>
        <v>-5.3680000000000003</v>
      </c>
      <c r="BV42">
        <f>MAX(Table15[8.5])</f>
        <v>-54.741</v>
      </c>
      <c r="BW42">
        <f>MAX(Table15[LRF Change 4 °C])</f>
        <v>-45.4</v>
      </c>
    </row>
    <row r="43" spans="1:92">
      <c r="F43" t="s">
        <v>681</v>
      </c>
      <c r="G43">
        <f>MIN(Table15[CESD Now])</f>
        <v>0</v>
      </c>
      <c r="H43">
        <f>MIN(Table15[CESD 2 °C])</f>
        <v>0</v>
      </c>
      <c r="I43">
        <f>MIN(Table15[CESD 4 °C])</f>
        <v>0.3</v>
      </c>
      <c r="J43">
        <f>MIN(Table15[CESD Change 2 °C])</f>
        <v>0</v>
      </c>
      <c r="K43">
        <f>MIN(Table15[CESD Change 4 °C])</f>
        <v>0.3</v>
      </c>
      <c r="L43">
        <f>MIN(Table15[SMTC Now])</f>
        <v>28.16</v>
      </c>
      <c r="M43">
        <f>MIN(Table15[SMTC 2 °C])</f>
        <v>31.07</v>
      </c>
      <c r="N43">
        <f>MIN(Table15[SMTC 4 °C])</f>
        <v>34.36</v>
      </c>
      <c r="O43">
        <f>MIN(Table15[CESD Change 2 °C2])</f>
        <v>2.1</v>
      </c>
      <c r="P43">
        <f>MIN(Table15[CESD Change 4 °C3])</f>
        <v>1.6</v>
      </c>
      <c r="Q43">
        <f>MIN(Table15[SAT Now])</f>
        <v>15.02</v>
      </c>
      <c r="R43">
        <f>MIN(Table15[SAT 2 °C])</f>
        <v>16.93</v>
      </c>
      <c r="S43">
        <f>MIN(Table15[SAT 4 °C])</f>
        <v>18.84</v>
      </c>
      <c r="T43">
        <f>MIN(Table15[SAT Change 2 °C])</f>
        <v>1.9</v>
      </c>
      <c r="U43">
        <f>MIN(Table15[SAT Change 4 °C])</f>
        <v>3.8</v>
      </c>
      <c r="V43">
        <f>MIN(Table15[ACSD Now])</f>
        <v>7</v>
      </c>
      <c r="W43">
        <f>MIN(Table15[ACSD 2 °C])</f>
        <v>11.5</v>
      </c>
      <c r="X43">
        <f>MIN(Table15[ACSD 4 °C])</f>
        <v>23.9</v>
      </c>
      <c r="Y43">
        <f>MIN(Table15[ACSD Change 2 °C])</f>
        <v>3.5</v>
      </c>
      <c r="Z43">
        <f>MIN(Table15[ACSD Change 4 °C])</f>
        <v>15.5</v>
      </c>
      <c r="AA43">
        <f>MIN(Table15[ICD Now])</f>
        <v>0.3</v>
      </c>
      <c r="AB43">
        <f>MIN(Table15[ICD 2 °C])</f>
        <v>0.1</v>
      </c>
      <c r="AC43">
        <f>MIN(Table15[ICD 4 °C])</f>
        <v>0</v>
      </c>
      <c r="AD43">
        <f>MIN(Table15[ICD Change 2 °C])</f>
        <v>-0.7</v>
      </c>
      <c r="AE43">
        <f>MIN(Table15[ICD Change 4 °C])</f>
        <v>-1.5</v>
      </c>
      <c r="AF43">
        <f>MIN(Table15[HS Now])</f>
        <v>0</v>
      </c>
      <c r="AG43">
        <f>MIN(Table15[HS 2 °C])</f>
        <v>0</v>
      </c>
      <c r="AH43">
        <f>MIN(Table15[HS 4 °C])</f>
        <v>0.56999999999999995</v>
      </c>
      <c r="AI43">
        <f>MIN(Table15[HS Change 2 °C])</f>
        <v>0</v>
      </c>
      <c r="AJ43">
        <f>MIN(Table15[HS Change 4 °C])</f>
        <v>0.6</v>
      </c>
      <c r="AK43">
        <f>MIN(Table15[HW Now])</f>
        <v>0.63</v>
      </c>
      <c r="AL43">
        <f>MIN(Table15[HW 2 °C])</f>
        <v>0.93</v>
      </c>
      <c r="AM43">
        <f>MIN(Table15[HW 4 °C])</f>
        <v>2</v>
      </c>
      <c r="AN43">
        <f>MIN(Table15[HW Change 2 °C])</f>
        <v>0.1</v>
      </c>
      <c r="AO43">
        <f>MIN(Table15[HW Change 4 °C])</f>
        <v>1.1000000000000001</v>
      </c>
      <c r="AP43">
        <f>MIN(Table15[SRD Now])</f>
        <v>8</v>
      </c>
      <c r="AQ43">
        <f>MIN(Table15[SRD 2 °C])</f>
        <v>7</v>
      </c>
      <c r="AR43">
        <f>MIN(Table15[SRD 4 °C])</f>
        <v>5</v>
      </c>
      <c r="AS43">
        <f>MIN(Table15[SRD Change 2 °C])</f>
        <v>-1</v>
      </c>
      <c r="AT43">
        <f>MIN(Table15[SRD Change 4 °C])</f>
        <v>-3</v>
      </c>
      <c r="AU43">
        <f>MIN(Table15[WRD Now])</f>
        <v>9</v>
      </c>
      <c r="AV43">
        <f>MIN(Table15[WRD 2 °C])</f>
        <v>9</v>
      </c>
      <c r="AW43">
        <f>MIN(Table15[WRD 4 °C])</f>
        <v>9</v>
      </c>
      <c r="AX43">
        <f>MIN(Table15[WRD Change 2 °C])</f>
        <v>0</v>
      </c>
      <c r="AY43">
        <f>MIN(Table15[WRD Change 4 °C])</f>
        <v>0</v>
      </c>
      <c r="AZ43">
        <f>MIN(Table15[SWD Now])</f>
        <v>44</v>
      </c>
      <c r="BA43">
        <f>MIN(Table15[SWD 2 °C])</f>
        <v>51</v>
      </c>
      <c r="BB43">
        <f>MIN(Table15[SWD 4 °C])</f>
        <v>50</v>
      </c>
      <c r="BC43">
        <f>MIN(Table15[SWD Change 2 °C])</f>
        <v>-9</v>
      </c>
      <c r="BD43">
        <f>MIN(Table15[SWD Change 4 °C])</f>
        <v>-6</v>
      </c>
      <c r="BE43">
        <f>MIN(Table15[WWD Now])</f>
        <v>28</v>
      </c>
      <c r="BF43">
        <f>MIN(Table15[WWD 2 °C])</f>
        <v>32</v>
      </c>
      <c r="BG43">
        <f>MIN(Table15[WWD 4 °C])</f>
        <v>35</v>
      </c>
      <c r="BH43">
        <f>MIN(Table15[WWD Change 2 °C])</f>
        <v>-4</v>
      </c>
      <c r="BI43">
        <f>MIN(Table15[WWD Change 4 °C])</f>
        <v>4</v>
      </c>
      <c r="BJ43">
        <f>MIN(Table15[WF Now])</f>
        <v>3</v>
      </c>
      <c r="BK43">
        <f>MIN(Table15[WF 2 °C])</f>
        <v>4.7</v>
      </c>
      <c r="BL43">
        <f>MIN(Table15[WF 4 °C])</f>
        <v>7.9</v>
      </c>
      <c r="BM43">
        <f>MIN(Table15[WF Change 2 °C])</f>
        <v>1.4</v>
      </c>
      <c r="BN43">
        <f>MIN(Table15[WF Change 4 °C])</f>
        <v>4.5999999999999996</v>
      </c>
      <c r="BO43">
        <f>MIN(Table15[RCP8.5 - Now])</f>
        <v>-6.82</v>
      </c>
      <c r="BP43">
        <f>MIN(Table15[RCP8.5 - 2100])</f>
        <v>-28.37</v>
      </c>
      <c r="BQ43">
        <f>MIN(Table15[RR Change 4 °C])</f>
        <v>-21.6</v>
      </c>
      <c r="BR43">
        <f>MIN(Table15[By 2050])</f>
        <v>17</v>
      </c>
      <c r="BS43">
        <f>MIN(Table15[By 2100])</f>
        <v>36</v>
      </c>
      <c r="BT43">
        <f>MIN(Table15[PRF Change 4 °C])</f>
        <v>19</v>
      </c>
      <c r="BU43">
        <f>MIN(Table15[Now])</f>
        <v>-11.923</v>
      </c>
      <c r="BV43">
        <f>MIN(Table15[8.5])</f>
        <v>-87.111999999999995</v>
      </c>
      <c r="BW43">
        <f>MIN(Table15[LRF Change 4 °C])</f>
        <v>-75.400000000000006</v>
      </c>
    </row>
    <row r="44" spans="1:92">
      <c r="F44" t="s">
        <v>735</v>
      </c>
      <c r="G44">
        <f>G42-G43</f>
        <v>0.5</v>
      </c>
      <c r="H44">
        <f t="shared" ref="H44:BS44" si="0">H42-H43</f>
        <v>0.8</v>
      </c>
      <c r="I44">
        <f t="shared" si="0"/>
        <v>5.3</v>
      </c>
      <c r="J44">
        <f t="shared" si="0"/>
        <v>0.5</v>
      </c>
      <c r="K44">
        <f t="shared" si="0"/>
        <v>4.8</v>
      </c>
      <c r="L44">
        <f t="shared" si="0"/>
        <v>4.639999999999997</v>
      </c>
      <c r="M44">
        <f t="shared" si="0"/>
        <v>5.1499999999999986</v>
      </c>
      <c r="N44">
        <f t="shared" si="0"/>
        <v>5.6499999999999986</v>
      </c>
      <c r="O44">
        <f t="shared" si="0"/>
        <v>1.5</v>
      </c>
      <c r="P44">
        <f t="shared" si="0"/>
        <v>6</v>
      </c>
      <c r="Q44">
        <f t="shared" si="0"/>
        <v>2.9800000000000004</v>
      </c>
      <c r="R44">
        <f t="shared" si="0"/>
        <v>3.3200000000000003</v>
      </c>
      <c r="S44">
        <f t="shared" si="0"/>
        <v>3.4600000000000009</v>
      </c>
      <c r="T44">
        <f t="shared" si="0"/>
        <v>0.39999999999999991</v>
      </c>
      <c r="U44">
        <f t="shared" si="0"/>
        <v>0.90000000000000036</v>
      </c>
      <c r="V44">
        <f t="shared" si="0"/>
        <v>25.9</v>
      </c>
      <c r="W44">
        <f t="shared" si="0"/>
        <v>32.9</v>
      </c>
      <c r="X44">
        <f t="shared" si="0"/>
        <v>56.699999999999996</v>
      </c>
      <c r="Y44">
        <f t="shared" si="0"/>
        <v>9.1</v>
      </c>
      <c r="Z44">
        <f t="shared" si="0"/>
        <v>32.200000000000003</v>
      </c>
      <c r="AA44">
        <f t="shared" si="0"/>
        <v>1.4</v>
      </c>
      <c r="AB44">
        <f t="shared" si="0"/>
        <v>1</v>
      </c>
      <c r="AC44">
        <f t="shared" si="0"/>
        <v>0.3</v>
      </c>
      <c r="AD44">
        <f t="shared" si="0"/>
        <v>0.6</v>
      </c>
      <c r="AE44">
        <f t="shared" si="0"/>
        <v>1.2</v>
      </c>
      <c r="AF44">
        <f t="shared" si="0"/>
        <v>0.37</v>
      </c>
      <c r="AG44">
        <f t="shared" si="0"/>
        <v>1.3</v>
      </c>
      <c r="AH44">
        <f t="shared" si="0"/>
        <v>6.46</v>
      </c>
      <c r="AI44">
        <f t="shared" si="0"/>
        <v>1.1000000000000001</v>
      </c>
      <c r="AJ44">
        <f t="shared" si="0"/>
        <v>6.2</v>
      </c>
      <c r="AK44">
        <f t="shared" si="0"/>
        <v>1.27</v>
      </c>
      <c r="AL44">
        <f t="shared" si="0"/>
        <v>1.77</v>
      </c>
      <c r="AM44">
        <f t="shared" si="0"/>
        <v>3.7</v>
      </c>
      <c r="AN44">
        <f t="shared" si="0"/>
        <v>1</v>
      </c>
      <c r="AO44">
        <f t="shared" si="0"/>
        <v>2.1999999999999997</v>
      </c>
      <c r="AP44">
        <f t="shared" si="0"/>
        <v>5</v>
      </c>
      <c r="AQ44">
        <f t="shared" si="0"/>
        <v>5</v>
      </c>
      <c r="AR44">
        <f t="shared" si="0"/>
        <v>5</v>
      </c>
      <c r="AS44">
        <f t="shared" si="0"/>
        <v>1</v>
      </c>
      <c r="AT44">
        <f t="shared" si="0"/>
        <v>2</v>
      </c>
      <c r="AU44">
        <f t="shared" si="0"/>
        <v>7</v>
      </c>
      <c r="AV44">
        <f t="shared" si="0"/>
        <v>7</v>
      </c>
      <c r="AW44">
        <f t="shared" si="0"/>
        <v>7</v>
      </c>
      <c r="AX44">
        <f t="shared" si="0"/>
        <v>0</v>
      </c>
      <c r="AY44">
        <f t="shared" si="0"/>
        <v>0</v>
      </c>
      <c r="AZ44">
        <f t="shared" si="0"/>
        <v>36</v>
      </c>
      <c r="BA44">
        <f t="shared" si="0"/>
        <v>35</v>
      </c>
      <c r="BB44">
        <f t="shared" si="0"/>
        <v>28</v>
      </c>
      <c r="BC44">
        <f t="shared" si="0"/>
        <v>35</v>
      </c>
      <c r="BD44">
        <f t="shared" si="0"/>
        <v>30</v>
      </c>
      <c r="BE44">
        <f t="shared" si="0"/>
        <v>38</v>
      </c>
      <c r="BF44">
        <f t="shared" si="0"/>
        <v>41</v>
      </c>
      <c r="BG44">
        <f t="shared" si="0"/>
        <v>50</v>
      </c>
      <c r="BH44">
        <f t="shared" si="0"/>
        <v>24</v>
      </c>
      <c r="BI44">
        <f t="shared" si="0"/>
        <v>22</v>
      </c>
      <c r="BJ44">
        <f t="shared" si="0"/>
        <v>39</v>
      </c>
      <c r="BK44">
        <f t="shared" si="0"/>
        <v>50</v>
      </c>
      <c r="BL44">
        <f t="shared" si="0"/>
        <v>74.699999999999989</v>
      </c>
      <c r="BM44">
        <f t="shared" si="0"/>
        <v>23.8</v>
      </c>
      <c r="BN44">
        <f t="shared" si="0"/>
        <v>48.5</v>
      </c>
      <c r="BO44">
        <f t="shared" si="0"/>
        <v>7.5660000000000007</v>
      </c>
      <c r="BP44">
        <f t="shared" si="0"/>
        <v>48.246000000000002</v>
      </c>
      <c r="BQ44">
        <f t="shared" si="0"/>
        <v>40.700000000000003</v>
      </c>
      <c r="BR44">
        <f t="shared" si="0"/>
        <v>38</v>
      </c>
      <c r="BS44">
        <f t="shared" si="0"/>
        <v>74</v>
      </c>
      <c r="BT44">
        <f t="shared" ref="BT44:BV44" si="1">BT42-BT43</f>
        <v>71</v>
      </c>
      <c r="BU44">
        <f t="shared" si="1"/>
        <v>6.5549999999999997</v>
      </c>
      <c r="BV44">
        <f t="shared" si="1"/>
        <v>32.370999999999995</v>
      </c>
      <c r="BW44">
        <f>BW42-BW43</f>
        <v>30.000000000000007</v>
      </c>
    </row>
    <row r="45" spans="1:92">
      <c r="F45" t="s">
        <v>736</v>
      </c>
      <c r="G45" s="982">
        <f>(G41-G43)/(G42-G43)</f>
        <v>0.26857142857142863</v>
      </c>
      <c r="H45" s="982">
        <f t="shared" ref="H45:BS45" si="2">(H41-H43)/(H42-H43)</f>
        <v>0.41785714285714287</v>
      </c>
      <c r="I45" s="982">
        <f t="shared" si="2"/>
        <v>0.42318059299191374</v>
      </c>
      <c r="J45" s="982">
        <f t="shared" si="2"/>
        <v>0.39428571428571429</v>
      </c>
      <c r="K45" s="982">
        <f t="shared" si="2"/>
        <v>0.43988095238095243</v>
      </c>
      <c r="L45" s="982">
        <f t="shared" si="2"/>
        <v>0.57167487684729146</v>
      </c>
      <c r="M45" s="982">
        <f t="shared" si="2"/>
        <v>0.56349514563106695</v>
      </c>
      <c r="N45" s="982">
        <f t="shared" si="2"/>
        <v>0.53243994943110218</v>
      </c>
      <c r="O45" s="982">
        <f t="shared" si="2"/>
        <v>0.71619047619047593</v>
      </c>
      <c r="P45" s="982">
        <f t="shared" si="2"/>
        <v>0.82619047619047625</v>
      </c>
      <c r="Q45" s="982">
        <f t="shared" si="2"/>
        <v>0.63250239693192833</v>
      </c>
      <c r="R45" s="982">
        <f t="shared" si="2"/>
        <v>0.63459552495697125</v>
      </c>
      <c r="S45" s="982">
        <f t="shared" si="2"/>
        <v>0.69306358381502964</v>
      </c>
      <c r="T45" s="982">
        <f t="shared" si="2"/>
        <v>0.60000000000000175</v>
      </c>
      <c r="U45" s="982">
        <f t="shared" si="2"/>
        <v>0.59682539682539582</v>
      </c>
      <c r="V45" s="982">
        <f t="shared" si="2"/>
        <v>0.48394925537782663</v>
      </c>
      <c r="W45" s="982">
        <f t="shared" si="2"/>
        <v>0.52765957446808498</v>
      </c>
      <c r="X45" s="982">
        <f t="shared" si="2"/>
        <v>0.56321491559586789</v>
      </c>
      <c r="Y45" s="982">
        <f t="shared" si="2"/>
        <v>0.64301412872841412</v>
      </c>
      <c r="Z45" s="982">
        <f t="shared" si="2"/>
        <v>0.64667258207630884</v>
      </c>
      <c r="AA45" s="982">
        <f t="shared" si="2"/>
        <v>0.43673469387755104</v>
      </c>
      <c r="AB45" s="982">
        <f t="shared" si="2"/>
        <v>0.45142857142857162</v>
      </c>
      <c r="AC45" s="982">
        <f t="shared" si="2"/>
        <v>0.25714285714285728</v>
      </c>
      <c r="AD45" s="982">
        <f t="shared" si="2"/>
        <v>0.55714285714285716</v>
      </c>
      <c r="AE45" s="982">
        <f t="shared" si="2"/>
        <v>0.56190476190476202</v>
      </c>
      <c r="AF45" s="982">
        <f t="shared" si="2"/>
        <v>0.30270270270270272</v>
      </c>
      <c r="AG45" s="982">
        <f t="shared" si="2"/>
        <v>0.32</v>
      </c>
      <c r="AH45" s="982">
        <f t="shared" si="2"/>
        <v>0.41866430782839437</v>
      </c>
      <c r="AI45" s="982">
        <f t="shared" si="2"/>
        <v>0.2805194805194805</v>
      </c>
      <c r="AJ45" s="982">
        <f t="shared" si="2"/>
        <v>0.41290322580645161</v>
      </c>
      <c r="AK45" s="982">
        <f t="shared" si="2"/>
        <v>0.35478065241844747</v>
      </c>
      <c r="AL45" s="982">
        <f t="shared" si="2"/>
        <v>0.46150121065375299</v>
      </c>
      <c r="AM45" s="982">
        <f t="shared" si="2"/>
        <v>0.67405405405405372</v>
      </c>
      <c r="AN45" s="982">
        <f t="shared" si="2"/>
        <v>0.57714285714285718</v>
      </c>
      <c r="AO45" s="982">
        <f t="shared" si="2"/>
        <v>0.7506493506493509</v>
      </c>
      <c r="AP45" s="982">
        <f t="shared" si="2"/>
        <v>0.40571428571428569</v>
      </c>
      <c r="AQ45" s="982">
        <f t="shared" si="2"/>
        <v>0.44571428571428556</v>
      </c>
      <c r="AR45" s="982">
        <f t="shared" si="2"/>
        <v>0.44000000000000006</v>
      </c>
      <c r="AS45" s="982">
        <f t="shared" si="2"/>
        <v>0.19999999999999996</v>
      </c>
      <c r="AT45" s="982">
        <f t="shared" si="2"/>
        <v>0.48571428571428577</v>
      </c>
      <c r="AU45" s="982">
        <f t="shared" si="2"/>
        <v>0.45714285714285702</v>
      </c>
      <c r="AV45" s="982">
        <f t="shared" si="2"/>
        <v>0.45714285714285702</v>
      </c>
      <c r="AW45" s="982">
        <f t="shared" si="2"/>
        <v>0.45714285714285702</v>
      </c>
      <c r="AX45" s="982" t="e">
        <f t="shared" si="2"/>
        <v>#DIV/0!</v>
      </c>
      <c r="AY45" s="982" t="e">
        <f t="shared" si="2"/>
        <v>#DIV/0!</v>
      </c>
      <c r="AZ45" s="982">
        <f t="shared" si="2"/>
        <v>0.33888888888888896</v>
      </c>
      <c r="BA45" s="982">
        <f t="shared" si="2"/>
        <v>0.37061224489795908</v>
      </c>
      <c r="BB45" s="982">
        <f t="shared" si="2"/>
        <v>0.53163265306122454</v>
      </c>
      <c r="BC45" s="982">
        <f t="shared" si="2"/>
        <v>0.47918367346938778</v>
      </c>
      <c r="BD45" s="982">
        <f t="shared" si="2"/>
        <v>0.48952380952380953</v>
      </c>
      <c r="BE45" s="982">
        <f t="shared" si="2"/>
        <v>0.34360902255639098</v>
      </c>
      <c r="BF45" s="982">
        <f t="shared" si="2"/>
        <v>0.34494773519163768</v>
      </c>
      <c r="BG45" s="982">
        <f t="shared" si="2"/>
        <v>0.34685714285714281</v>
      </c>
      <c r="BH45" s="982">
        <f t="shared" si="2"/>
        <v>0.37857142857142856</v>
      </c>
      <c r="BI45" s="982">
        <f t="shared" si="2"/>
        <v>0.33116883116883122</v>
      </c>
      <c r="BJ45" s="982">
        <f t="shared" si="2"/>
        <v>0.43516483516483517</v>
      </c>
      <c r="BK45" s="982">
        <f t="shared" si="2"/>
        <v>0.551257142857143</v>
      </c>
      <c r="BL45" s="982">
        <f t="shared" si="2"/>
        <v>0.62482310193153578</v>
      </c>
      <c r="BM45" s="982">
        <f t="shared" si="2"/>
        <v>0.45558223289315719</v>
      </c>
      <c r="BN45" s="982">
        <f t="shared" si="2"/>
        <v>0.6179086892488953</v>
      </c>
      <c r="BO45" s="982">
        <f t="shared" si="2"/>
        <v>0.7293229107662097</v>
      </c>
      <c r="BP45" s="982">
        <f t="shared" si="2"/>
        <v>0.55631554947560413</v>
      </c>
      <c r="BQ45" s="982">
        <f t="shared" si="2"/>
        <v>0.52495612495612498</v>
      </c>
      <c r="BR45" s="982">
        <f t="shared" si="2"/>
        <v>0.43834586466165415</v>
      </c>
      <c r="BS45" s="982">
        <f t="shared" si="2"/>
        <v>0.41621621621621618</v>
      </c>
      <c r="BT45" s="982">
        <f t="shared" ref="BT45:BW45" si="3">(BT41-BT43)/(BT42-BT43)</f>
        <v>0.199195171026157</v>
      </c>
      <c r="BU45" s="982">
        <f t="shared" si="3"/>
        <v>0.39063746322327586</v>
      </c>
      <c r="BV45" s="982">
        <f t="shared" si="3"/>
        <v>0.41616614518285727</v>
      </c>
      <c r="BW45" s="982">
        <f t="shared" si="3"/>
        <v>0.36999999999999927</v>
      </c>
    </row>
    <row r="46" spans="1:92">
      <c r="F46" t="s">
        <v>737</v>
      </c>
      <c r="G46">
        <f>_xlfn.STDEV.P(Table15[CESD Now])</f>
        <v>0.10939536982329509</v>
      </c>
      <c r="H46">
        <f>_xlfn.STDEV.P(Table15[CESD 2 °C])</f>
        <v>0.21506524876067221</v>
      </c>
      <c r="I46">
        <f>_xlfn.STDEV.P(Table15[CESD 4 °C])</f>
        <v>1.3208840576967957</v>
      </c>
      <c r="J46">
        <f>_xlfn.STDEV.P(Table15[CESD Change 2 °C])</f>
        <v>0.12758350606723495</v>
      </c>
      <c r="K46">
        <f>_xlfn.STDEV.P(Table15[CESD Change 4 °C])</f>
        <v>1.2316705098758993</v>
      </c>
      <c r="L46">
        <f>_xlfn.STDEV.P(Table15[SMTC Now])</f>
        <v>1.2339838916687522</v>
      </c>
      <c r="M46">
        <f>_xlfn.STDEV.P(Table15[SMTC 2 °C])</f>
        <v>1.2920433429262344</v>
      </c>
      <c r="N46">
        <f>_xlfn.STDEV.P(Table15[SMTC 4 °C])</f>
        <v>1.6484477299469786</v>
      </c>
      <c r="O46">
        <f>_xlfn.STDEV.P(Table15[CESD Change 2 °C2])</f>
        <v>0.33238777452406598</v>
      </c>
      <c r="P46">
        <f>_xlfn.STDEV.P(Table15[CESD Change 4 °C3])</f>
        <v>1.2964315230190635</v>
      </c>
      <c r="Q46">
        <f>_xlfn.STDEV.P(Table15[SAT Now])</f>
        <v>0.60254399449842877</v>
      </c>
      <c r="R46">
        <f>_xlfn.STDEV.P(Table15[SAT 2 °C])</f>
        <v>0.66881460778891255</v>
      </c>
      <c r="S46">
        <f>_xlfn.STDEV.P(Table15[SAT 4 °C])</f>
        <v>0.74721119600054942</v>
      </c>
      <c r="T46">
        <f>_xlfn.STDEV.P(Table15[SAT Change 2 °C])</f>
        <v>9.6214047088472768E-2</v>
      </c>
      <c r="U46">
        <f>_xlfn.STDEV.P(Table15[SAT Change 4 °C])</f>
        <v>0.18218626933634136</v>
      </c>
      <c r="V46">
        <f>_xlfn.STDEV.P(Table15[ACSD Now])</f>
        <v>6.4988325482194176</v>
      </c>
      <c r="W46">
        <f>_xlfn.STDEV.P(Table15[ACSD 2 °C])</f>
        <v>8.4515155023057513</v>
      </c>
      <c r="X46">
        <f>_xlfn.STDEV.P(Table15[ACSD 4 °C])</f>
        <v>13.719765571865274</v>
      </c>
      <c r="Y46">
        <f>_xlfn.STDEV.P(Table15[ACSD Change 2 °C])</f>
        <v>2.2913965085038637</v>
      </c>
      <c r="Z46">
        <f>_xlfn.STDEV.P(Table15[ACSD Change 4 °C])</f>
        <v>7.8091186886790798</v>
      </c>
      <c r="AA46">
        <f>_xlfn.STDEV.P(Table15[ICD Now])</f>
        <v>0.43343902426420067</v>
      </c>
      <c r="AB46">
        <f>_xlfn.STDEV.P(Table15[ICD 2 °C])</f>
        <v>0.31384384522190867</v>
      </c>
      <c r="AC46">
        <f>_xlfn.STDEV.P(Table15[ICD 4 °C])</f>
        <v>7.591617288906527E-2</v>
      </c>
      <c r="AD46">
        <f>_xlfn.STDEV.P(Table15[ICD Change 2 °C])</f>
        <v>0.1602548989986306</v>
      </c>
      <c r="AE46">
        <f>_xlfn.STDEV.P(Table15[ICD Change 4 °C])</f>
        <v>0.3789782181022</v>
      </c>
      <c r="AF46">
        <f>_xlfn.STDEV.P(Table15[HS Now])</f>
        <v>9.3282979614259187E-2</v>
      </c>
      <c r="AG46">
        <f>_xlfn.STDEV.P(Table15[HS 2 °C])</f>
        <v>0.31480787791921599</v>
      </c>
      <c r="AH46">
        <f>_xlfn.STDEV.P(Table15[HS 4 °C])</f>
        <v>1.5654343858260342</v>
      </c>
      <c r="AI46">
        <f>_xlfn.STDEV.P(Table15[HS Change 2 °C])</f>
        <v>0.2465434514834815</v>
      </c>
      <c r="AJ46">
        <f>_xlfn.STDEV.P(Table15[HS Change 4 °C])</f>
        <v>1.4944086264663829</v>
      </c>
      <c r="AK46">
        <f>_xlfn.STDEV.P(Table15[HW Now])</f>
        <v>0.31077730067082671</v>
      </c>
      <c r="AL46">
        <f>_xlfn.STDEV.P(Table15[HW 2 °C])</f>
        <v>0.45641316763633794</v>
      </c>
      <c r="AM46">
        <f>_xlfn.STDEV.P(Table15[HW 4 °C])</f>
        <v>0.80017926562918928</v>
      </c>
      <c r="AN46">
        <f>_xlfn.STDEV.P(Table15[HW Change 2 °C])</f>
        <v>0.2268866479553352</v>
      </c>
      <c r="AO46">
        <f>_xlfn.STDEV.P(Table15[HW Change 4 °C])</f>
        <v>0.46560033662937339</v>
      </c>
      <c r="AP46">
        <f>_xlfn.STDEV.P(Table15[SRD Now])</f>
        <v>1.4439175735420888</v>
      </c>
      <c r="AQ46">
        <f>_xlfn.STDEV.P(Table15[SRD 2 °C])</f>
        <v>1.4159441935272992</v>
      </c>
      <c r="AR46">
        <f>_xlfn.STDEV.P(Table15[SRD 4 °C])</f>
        <v>1.3266499161421599</v>
      </c>
      <c r="AS46">
        <f>_xlfn.STDEV.P(Table15[SRD Change 2 °C])</f>
        <v>0.4</v>
      </c>
      <c r="AT46">
        <f>_xlfn.STDEV.P(Table15[SRD Change 4 °C])</f>
        <v>0.3768830273792263</v>
      </c>
      <c r="AU46">
        <f>_xlfn.STDEV.P(Table15[WRD Now])</f>
        <v>2.1219936717288159</v>
      </c>
      <c r="AV46">
        <f>_xlfn.STDEV.P(Table15[WRD 2 °C])</f>
        <v>2.1219936717288159</v>
      </c>
      <c r="AW46">
        <f>_xlfn.STDEV.P(Table15[WRD 4 °C])</f>
        <v>2.1219936717288159</v>
      </c>
      <c r="AX46">
        <f>_xlfn.STDEV.P(Table15[WRD Change 2 °C])</f>
        <v>0</v>
      </c>
      <c r="AY46">
        <f>_xlfn.STDEV.P(Table15[WRD Change 4 °C])</f>
        <v>0</v>
      </c>
      <c r="AZ46">
        <f>_xlfn.STDEV.P(Table15[SWD Now])</f>
        <v>7.6561833087474378</v>
      </c>
      <c r="BA46">
        <f>_xlfn.STDEV.P(Table15[SWD 2 °C])</f>
        <v>8.0017345058456435</v>
      </c>
      <c r="BB46">
        <f>_xlfn.STDEV.P(Table15[SWD 4 °C])</f>
        <v>7.7561825240861095</v>
      </c>
      <c r="BC46">
        <f>_xlfn.STDEV.P(Table15[SWD Change 2 °C])</f>
        <v>6.6422273126918343</v>
      </c>
      <c r="BD46">
        <f>_xlfn.STDEV.P(Table15[SWD Change 4 °C])</f>
        <v>6.2462396851290967</v>
      </c>
      <c r="BE46">
        <f>_xlfn.STDEV.P(Table15[WWD Now])</f>
        <v>9.8906676277412622</v>
      </c>
      <c r="BF46">
        <f>_xlfn.STDEV.P(Table15[WWD 2 °C])</f>
        <v>11.781687623821391</v>
      </c>
      <c r="BG46">
        <f>_xlfn.STDEV.P(Table15[WWD 4 °C])</f>
        <v>12.770373877831135</v>
      </c>
      <c r="BH46">
        <f>_xlfn.STDEV.P(Table15[WWD Change 2 °C])</f>
        <v>4.0311035608586572</v>
      </c>
      <c r="BI46">
        <f>_xlfn.STDEV.P(Table15[WWD Change 4 °C])</f>
        <v>4.9429397185505399</v>
      </c>
      <c r="BJ46">
        <f>_xlfn.STDEV.P(Table15[WF Now])</f>
        <v>8.4902825606209174</v>
      </c>
      <c r="BK46">
        <f>_xlfn.STDEV.P(Table15[WF 2 °C])</f>
        <v>12.475921625601963</v>
      </c>
      <c r="BL46">
        <f>_xlfn.STDEV.P(Table15[WF 4 °C])</f>
        <v>18.544623292513233</v>
      </c>
      <c r="BM46">
        <f>_xlfn.STDEV.P(Table15[WF Change 2 °C])</f>
        <v>6.3479709115494147</v>
      </c>
      <c r="BN46">
        <f>_xlfn.STDEV.P(Table15[WF Change 4 °C])</f>
        <v>12.276615900124254</v>
      </c>
      <c r="BO46">
        <f>_xlfn.STDEV.P(Table15[RCP8.5 - Now])</f>
        <v>2.0819356919237739</v>
      </c>
      <c r="BP46">
        <f>_xlfn.STDEV.P(Table15[RCP8.5 - 2100])</f>
        <v>13.62423603100634</v>
      </c>
      <c r="BQ46">
        <f>_xlfn.STDEV.P(Table15[RR Change 4 °C])</f>
        <v>11.881388635945184</v>
      </c>
      <c r="BR46">
        <f>_xlfn.STDEV.P(Table15[By 2050])</f>
        <v>8.9120876410888688</v>
      </c>
      <c r="BS46">
        <f>_xlfn.STDEV.P(Table15[By 2100])</f>
        <v>18.072552195446633</v>
      </c>
      <c r="BT46">
        <f>_xlfn.STDEV.P(Table15[PRF Change 4 °C])</f>
        <v>19.318596306805162</v>
      </c>
      <c r="BU46">
        <f>_xlfn.STDEV.P(Table15[Now])</f>
        <v>1.7076123194301029</v>
      </c>
      <c r="BV46">
        <f>_xlfn.STDEV.P(Table15[8.5])</f>
        <v>8.4495682580198057</v>
      </c>
      <c r="BW46">
        <f>_xlfn.STDEV.P(Table15[LRF Change 4 °C])</f>
        <v>7.7294982280314404</v>
      </c>
    </row>
    <row r="48" spans="1:92">
      <c r="H48" s="751"/>
      <c r="CK48" s="2"/>
    </row>
  </sheetData>
  <mergeCells count="3">
    <mergeCell ref="BO3:BQ3"/>
    <mergeCell ref="BX3:BY3"/>
    <mergeCell ref="BZ3:CB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6a2afe191a309b2a2b2720e91172271e">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265f47e2a8fd58aa04690ff982da337d"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AReceivedDate xmlns="eebef177-55b5-4448-a5fb-28ea454417ee">2026-02-19T00:00:00+00:00</EAReceivedDate>
    <ga477587807b4e8dbd9d142e03c014fa xmlns="dbe221e7-66db-4bdb-a92c-aa517c005f15">
      <Terms xmlns="http://schemas.microsoft.com/office/infopath/2007/PartnerControls"/>
    </ga477587807b4e8dbd9d142e03c014fa>
    <PermitNumber xmlns="eebef177-55b5-4448-a5fb-28ea454417ee">EPR-QP3525MG</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EPR/QP3525MG</OtherReference>
    <EventLink xmlns="5ffd8e36-f429-4edc-ab50-c5be84842779" xsi:nil="true"/>
    <Customer_x002f_OperatorName xmlns="eebef177-55b5-4448-a5fb-28ea454417ee">DONALD WARD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2026-02-19T00:00:00+00:00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EPR/QP3525MG</EPRNumber>
    <FacilityAddressPostcode xmlns="eebef177-55b5-4448-a5fb-28ea454417ee">NG7 2SD</FacilityAddressPostcode>
    <ed3cfd1978f244c4af5dc9d642a18018 xmlns="dbe221e7-66db-4bdb-a92c-aa517c005f15">
      <Terms xmlns="http://schemas.microsoft.com/office/infopath/2007/PartnerControls"/>
    </ed3cfd1978f244c4af5dc9d642a18018>
    <TaxCatchAll xmlns="662745e8-e224-48e8-a2e3-254862b8c2f5">
      <Value>41</Value>
      <Value>49</Value>
      <Value>11</Value>
      <Value>32</Value>
      <Value>14</Value>
    </TaxCatchAll>
    <ExternalAuthor xmlns="eebef177-55b5-4448-a5fb-28ea454417ee">Donald Ward Limited</ExternalAuthor>
    <SiteName xmlns="eebef177-55b5-4448-a5fb-28ea454417ee">Nottingham</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Harrimans Lane, Dunkirk, Nottingham, Nottinghamshire</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lcf76f155ced4ddcb4097134ff3c332f xmlns="36f166ca-06f6-44d6-8731-6d518cdf1bc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375B13-A5AF-4E4C-ACB8-7BDCFA20C9A6}">
  <ds:schemaRefs>
    <ds:schemaRef ds:uri="http://schemas.microsoft.com/sharepoint/v3/contenttype/forms"/>
  </ds:schemaRefs>
</ds:datastoreItem>
</file>

<file path=customXml/itemProps2.xml><?xml version="1.0" encoding="utf-8"?>
<ds:datastoreItem xmlns:ds="http://schemas.openxmlformats.org/officeDocument/2006/customXml" ds:itemID="{79BC7D00-EC82-4220-A02E-4FD861EA3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36f166ca-06f6-44d6-8731-6d518cdf1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579451-D7ED-4489-8E5B-FC103AE2D0A9}">
  <ds:schemaRefs>
    <ds:schemaRef ds:uri="http://purl.org/dc/elements/1.1/"/>
    <ds:schemaRef ds:uri="http://purl.org/dc/terms/"/>
    <ds:schemaRef ds:uri="662745e8-e224-48e8-a2e3-254862b8c2f5"/>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5ffd8e36-f429-4edc-ab50-c5be84842779"/>
    <ds:schemaRef ds:uri="36f166ca-06f6-44d6-8731-6d518cdf1bc5"/>
    <ds:schemaRef ds:uri="eebef177-55b5-4448-a5fb-28ea454417ee"/>
    <ds:schemaRef ds:uri="dbe221e7-66db-4bdb-a92c-aa517c005f1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Front Page</vt:lpstr>
      <vt:lpstr>Instructions</vt:lpstr>
      <vt:lpstr>Site Specific RA</vt:lpstr>
      <vt:lpstr>Overall RA</vt:lpstr>
      <vt:lpstr>Appendices</vt:lpstr>
      <vt:lpstr>Indicators</vt:lpstr>
      <vt:lpstr>'Overall RA'!_Hlk162961077</vt:lpstr>
      <vt:lpstr>'Overall RA'!_Hlk168837315</vt:lpstr>
      <vt:lpstr>'Overall RA'!_Hlk175153403</vt:lpstr>
      <vt:lpstr>'Overall RA'!_Hlk175224090</vt:lpstr>
      <vt:lpstr>'Overall RA'!_Ref161038773</vt:lpstr>
      <vt:lpstr>'Overall RA'!_Toc176344442</vt:lpstr>
      <vt:lpstr>'Overall RA'!_Toc176344443</vt:lpstr>
      <vt:lpstr>'Overall RA'!_Toc176344444</vt:lpstr>
      <vt:lpstr>'Overall RA'!_Toc176344445</vt:lpstr>
      <vt:lpstr>'Overall RA'!_Toc176344446</vt:lpstr>
      <vt:lpstr>'Overall RA'!_Toc176344447</vt:lpstr>
      <vt:lpstr>'Overall RA'!_Toc176344448</vt:lpstr>
      <vt:lpstr>'Overall RA'!_Toc176344449</vt:lpstr>
      <vt:lpstr>'Overall RA'!_Toc176344450</vt:lpstr>
      <vt:lpstr>'Overall RA'!_Toc176344451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 Lee</dc:creator>
  <cp:lastModifiedBy>Joel Robson</cp:lastModifiedBy>
  <cp:lastPrinted>2024-11-06T09:17:00Z</cp:lastPrinted>
  <dcterms:created xsi:type="dcterms:W3CDTF">2024-08-21T11:38:38Z</dcterms:created>
  <dcterms:modified xsi:type="dcterms:W3CDTF">2026-05-08T11:50:08Z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0x0101000E9AD557692E154F9D2697C8C6432F7600AE63457114087445B7539258F5139544</vt:lpwstr>
  </property>
  <property fmtid="{D5CDD505-2E9C-101B-9397-08002B2CF9AE}" pid="3" name="PermitDocumentType">
    <vt:lpwstr/>
  </property>
  <property fmtid="{D5CDD505-2E9C-101B-9397-08002B2CF9AE}" pid="4" name="MediaServiceImageTags">
    <vt:lpwstr/>
  </property>
  <property fmtid="{D5CDD505-2E9C-101B-9397-08002B2CF9AE}" pid="5" name="TypeofPermit">
    <vt:lpwstr>32;#Bespoke|743fbb82-64b4-442a-8bac-afa632175399</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49;#Installations|645f1c9c-65df-490a-9ce3-4a2aa7c5ff7f</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ies>
</file>