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F:\28 SITE FOLDERS\TAR_BRO\20021 HRA\4 DATA (Work in progress)\05 FINAL Revised HRA\Appendices\Appendix HRA C\"/>
    </mc:Choice>
  </mc:AlternateContent>
  <xr:revisionPtr revIDLastSave="0" documentId="8_{5881909B-1308-4F10-8921-5D9DD54B7A3A}" xr6:coauthVersionLast="47" xr6:coauthVersionMax="47" xr10:uidLastSave="{00000000-0000-0000-0000-000000000000}"/>
  <bookViews>
    <workbookView xWindow="-21720" yWindow="-120" windowWidth="21840" windowHeight="13020" firstSheet="4" activeTab="4" xr2:uid="{811DBFA2-7716-4639-A8A4-E9CE718E3842}"/>
  </bookViews>
  <sheets>
    <sheet name="GQRA" sheetId="4" r:id="rId1"/>
    <sheet name="Toluene source term" sheetId="5" r:id="rId2"/>
    <sheet name="Sens_i AL x 2" sheetId="6" r:id="rId3"/>
    <sheet name="Sens_k Aq reduced" sheetId="7" r:id="rId4"/>
    <sheet name="Sens_source term x2" sheetId="8" r:id="rId5"/>
  </sheets>
  <externalReferences>
    <externalReference r:id="rId6"/>
  </externalReferences>
  <definedNames>
    <definedName name="Fbav">'[1]Flow Calculations'!$E$37</definedName>
    <definedName name="Fbmax">'[1]Flow Calculations'!$F$37</definedName>
    <definedName name="Fg2av">'[1]Flow Calculations'!$D$56</definedName>
    <definedName name="Fg2max">'[1]Flow Calculations'!$E$56</definedName>
    <definedName name="Fgav">'[1]Flow Calculations'!$D$50</definedName>
    <definedName name="Fgmax">'[1]Flow Calculations'!$E$50</definedName>
    <definedName name="Flowaq">#REF!</definedName>
    <definedName name="FLOWaqbase">#REF!</definedName>
    <definedName name="FLOWaqsw">#REF!</definedName>
    <definedName name="FLOWbase">#REF!</definedName>
    <definedName name="FlowSW">#REF!</definedName>
    <definedName name="Mixaq">#REF!</definedName>
    <definedName name="_xlnm.Print_Area" localSheetId="0">GQRA!$A$1:$H$34</definedName>
    <definedName name="_xlnm.Print_Area" localSheetId="2">'Sens_i AL x 2'!$A$1:$H$33</definedName>
    <definedName name="_xlnm.Print_Area" localSheetId="3">'Sens_k Aq reduced'!$A$1:$H$34</definedName>
    <definedName name="_xlnm.Print_Area" localSheetId="4">'Sens_source term x2'!$A$1:$H$33</definedName>
    <definedName name="Qi">'[1]Flow Calculations'!$D$7</definedName>
    <definedName name="Qil">'[1]Flow Calculations'!$D$19</definedName>
    <definedName name="Ql">'[1]Flow Calculations'!$D$16</definedName>
    <definedName name="Qs">'[1]Flow Calculations'!$D$27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8" l="1"/>
  <c r="D7" i="7"/>
  <c r="D7" i="6"/>
  <c r="F4" i="4"/>
  <c r="D24" i="4"/>
  <c r="D23" i="4"/>
  <c r="E12" i="8" l="1"/>
  <c r="E11" i="8"/>
  <c r="E10" i="8"/>
  <c r="F10" i="8" s="1"/>
  <c r="G10" i="8" s="1"/>
  <c r="E9" i="8"/>
  <c r="E8" i="8"/>
  <c r="E6" i="8"/>
  <c r="E5" i="8"/>
  <c r="E4" i="8"/>
  <c r="E7" i="8"/>
  <c r="F29" i="8"/>
  <c r="D24" i="8"/>
  <c r="F27" i="7"/>
  <c r="D24" i="7" s="1"/>
  <c r="F29" i="7"/>
  <c r="D23" i="7" s="1"/>
  <c r="F29" i="6"/>
  <c r="D23" i="6" s="1"/>
  <c r="D24" i="6"/>
  <c r="F6" i="8" l="1"/>
  <c r="G6" i="8" s="1"/>
  <c r="F7" i="8"/>
  <c r="G7" i="8" s="1"/>
  <c r="F11" i="8"/>
  <c r="G11" i="8" s="1"/>
  <c r="F4" i="8"/>
  <c r="G4" i="8" s="1"/>
  <c r="F8" i="8"/>
  <c r="G8" i="8" s="1"/>
  <c r="F12" i="8"/>
  <c r="G12" i="8" s="1"/>
  <c r="F5" i="8"/>
  <c r="G5" i="8" s="1"/>
  <c r="F9" i="8"/>
  <c r="G9" i="8" s="1"/>
  <c r="D23" i="8"/>
  <c r="F6" i="7"/>
  <c r="G6" i="7" s="1"/>
  <c r="F10" i="7"/>
  <c r="G10" i="7" s="1"/>
  <c r="F7" i="7"/>
  <c r="G7" i="7" s="1"/>
  <c r="F4" i="7"/>
  <c r="G4" i="7" s="1"/>
  <c r="F11" i="7"/>
  <c r="G11" i="7" s="1"/>
  <c r="F8" i="7"/>
  <c r="G8" i="7" s="1"/>
  <c r="F12" i="7"/>
  <c r="G12" i="7" s="1"/>
  <c r="F5" i="7"/>
  <c r="G5" i="7" s="1"/>
  <c r="F9" i="7"/>
  <c r="G9" i="7" s="1"/>
  <c r="F7" i="6"/>
  <c r="G7" i="6" s="1"/>
  <c r="F8" i="6"/>
  <c r="G8" i="6" s="1"/>
  <c r="F9" i="6"/>
  <c r="G9" i="6" s="1"/>
  <c r="F10" i="6"/>
  <c r="G10" i="6" s="1"/>
  <c r="F12" i="6"/>
  <c r="G12" i="6" s="1"/>
  <c r="F4" i="6"/>
  <c r="G4" i="6" s="1"/>
  <c r="F11" i="6"/>
  <c r="G11" i="6" s="1"/>
  <c r="F5" i="6"/>
  <c r="G5" i="6" s="1"/>
  <c r="F6" i="6"/>
  <c r="G6" i="6" s="1"/>
  <c r="B3" i="5"/>
  <c r="B5" i="5" l="1"/>
  <c r="F29" i="4" l="1"/>
  <c r="F5" i="4" l="1"/>
  <c r="G5" i="4" s="1"/>
  <c r="F6" i="4"/>
  <c r="G6" i="4" s="1"/>
  <c r="F10" i="4"/>
  <c r="G10" i="4" s="1"/>
  <c r="D7" i="4"/>
  <c r="F7" i="4" s="1"/>
  <c r="G7" i="4" s="1"/>
  <c r="G4" i="4" l="1"/>
  <c r="F11" i="4" l="1"/>
  <c r="G11" i="4" s="1"/>
  <c r="F8" i="4" l="1"/>
  <c r="G8" i="4" s="1"/>
  <c r="F9" i="4" l="1"/>
  <c r="G9" i="4" s="1"/>
  <c r="F12" i="4"/>
  <c r="G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Leeds</author>
  </authors>
  <commentList>
    <comment ref="H30" authorId="0" shapeId="0" xr:uid="{7A7B8E00-F63E-47C8-8243-155782B6B0AE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</t>
        </r>
      </text>
    </comment>
    <comment ref="H31" authorId="0" shapeId="0" xr:uid="{882E359E-F6D4-48A2-A1E0-750388C0C81A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Leeds</author>
  </authors>
  <commentList>
    <comment ref="H30" authorId="0" shapeId="0" xr:uid="{7DC873F7-F87C-4955-A4A4-EE701A18D681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</t>
        </r>
      </text>
    </comment>
    <comment ref="H31" authorId="0" shapeId="0" xr:uid="{716FBE67-368E-4087-B125-BA570767182C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Leeds</author>
  </authors>
  <commentList>
    <comment ref="H30" authorId="0" shapeId="0" xr:uid="{773BE808-81A7-4933-8376-1D9741B20C80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</t>
        </r>
      </text>
    </comment>
    <comment ref="H31" authorId="0" shapeId="0" xr:uid="{F294B5BE-7388-4DED-83E0-C1B240526FD4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Leeds</author>
  </authors>
  <commentList>
    <comment ref="H30" authorId="0" shapeId="0" xr:uid="{5F577546-490C-4005-93C6-39ECFFD4857D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</t>
        </r>
      </text>
    </comment>
    <comment ref="H31" authorId="0" shapeId="0" xr:uid="{9F40E26C-7007-4BE8-88EB-6B0456995ECA}">
      <text>
        <r>
          <rPr>
            <b/>
            <sz val="9"/>
            <color indexed="81"/>
            <rFont val="Tahoma"/>
            <family val="2"/>
          </rPr>
          <t>Michael Leeds:</t>
        </r>
        <r>
          <rPr>
            <sz val="9"/>
            <color indexed="81"/>
            <rFont val="Tahoma"/>
            <family val="2"/>
          </rPr>
          <t xml:space="preserve">
See supporting data folder.</t>
        </r>
      </text>
    </comment>
  </commentList>
</comments>
</file>

<file path=xl/sharedStrings.xml><?xml version="1.0" encoding="utf-8"?>
<sst xmlns="http://schemas.openxmlformats.org/spreadsheetml/2006/main" count="170" uniqueCount="53">
  <si>
    <t xml:space="preserve"> GENERIC QUANTITATIVE RISK ASSESSMENT CALCULATIONS</t>
  </si>
  <si>
    <t>Determinand</t>
  </si>
  <si>
    <t>Compliance limit or environmental assessment limit (EAL) (mg/l)</t>
  </si>
  <si>
    <t>Mean background concentrations (mg/l)</t>
  </si>
  <si>
    <t>Concentration at the outside edge of the attenuation layer (WAC LS ratio 10l/kg expressed as mg/l)</t>
  </si>
  <si>
    <t>Concentration predicted in the aquifer (mg/l)</t>
  </si>
  <si>
    <t xml:space="preserve">Ratio of predicted discharge concentration after immediate dilution to MRV (Hazardous substances) or predicted concentrations to EAL (Non-hazardous pollutants) </t>
  </si>
  <si>
    <t>Arsenic</t>
  </si>
  <si>
    <t>Lead</t>
  </si>
  <si>
    <t>Mercury</t>
  </si>
  <si>
    <t>Toluene</t>
  </si>
  <si>
    <t>Cadmium</t>
  </si>
  <si>
    <t>Chloride</t>
  </si>
  <si>
    <t>Copper</t>
  </si>
  <si>
    <t>Nickel</t>
  </si>
  <si>
    <t>Zinc</t>
  </si>
  <si>
    <t xml:space="preserve">The source term for toluene is based on the solid composition WAC for BTEX converted into mg/l </t>
  </si>
  <si>
    <t>It is conservatively assumed that the total BTEX concentration comprises toluene</t>
  </si>
  <si>
    <t>Substances for which no background concentrations are available.  Background concentrations conservatively assumed to comprise half of the EAL.</t>
  </si>
  <si>
    <t>Where C_aq is the calculated concentration in the aquifer (mg/l)</t>
  </si>
  <si>
    <r>
      <t>Where Qiw = K</t>
    </r>
    <r>
      <rPr>
        <vertAlign val="subscript"/>
        <sz val="10"/>
        <color theme="1"/>
        <rFont val="Arial"/>
        <family val="2"/>
      </rPr>
      <t>AL</t>
    </r>
    <r>
      <rPr>
        <sz val="10"/>
        <color theme="1"/>
        <rFont val="Arial"/>
        <family val="2"/>
      </rPr>
      <t xml:space="preserve"> x i_</t>
    </r>
    <r>
      <rPr>
        <vertAlign val="subscript"/>
        <sz val="10"/>
        <color theme="1"/>
        <rFont val="Arial"/>
        <family val="2"/>
      </rPr>
      <t>AL</t>
    </r>
    <r>
      <rPr>
        <sz val="10"/>
        <color theme="1"/>
        <rFont val="Arial"/>
        <family val="2"/>
      </rPr>
      <t xml:space="preserve"> x (w_waste x thickness_waste)</t>
    </r>
  </si>
  <si>
    <t>Where Qaq = K_aq x i_aq x (w_waste x thickness_waste)</t>
  </si>
  <si>
    <r>
      <t>K</t>
    </r>
    <r>
      <rPr>
        <vertAlign val="subscript"/>
        <sz val="10"/>
        <color theme="1"/>
        <rFont val="Arial"/>
        <family val="2"/>
      </rPr>
      <t>AL</t>
    </r>
    <r>
      <rPr>
        <sz val="10"/>
        <color theme="1"/>
        <rFont val="Arial"/>
        <family val="2"/>
      </rPr>
      <t xml:space="preserve"> is the assumed hydraulic conductivity of the attenuation layer (m/s)</t>
    </r>
  </si>
  <si>
    <t>m/s</t>
  </si>
  <si>
    <t>It is  conservatively assumed that the hydraulic conductivity of the attenuation layer is consistent with the requirements of the Landfill Directive (1999/31/EC) for inert landfills.  As the attenuation layer will comprise generally glacial till the hydraulic conductivity is likely to be considerably lower than the assumed value.</t>
  </si>
  <si>
    <t>K_aq is the hydraulic conductivity of the sand and gravel aquifer (m/s)</t>
  </si>
  <si>
    <t>Minimum assumed in 2018 HIA of 20m/d for Bytham Sand and Gravel Formation</t>
  </si>
  <si>
    <t>i_aq is the hydraulic gradient within the sand and gravel aquifer (m/m)</t>
  </si>
  <si>
    <t xml:space="preserve">Pre-extraction hydraulic gradient across the Brooksby Quarry complex between groundwater monitoring boreholes WM1 and WM2 </t>
  </si>
  <si>
    <r>
      <t>i_</t>
    </r>
    <r>
      <rPr>
        <vertAlign val="subscript"/>
        <sz val="10"/>
        <color theme="1"/>
        <rFont val="Arial"/>
        <family val="2"/>
      </rPr>
      <t>AL</t>
    </r>
    <r>
      <rPr>
        <sz val="10"/>
        <color theme="1"/>
        <rFont val="Arial"/>
        <family val="2"/>
      </rPr>
      <t xml:space="preserve"> is the hydraulic gradient across the artificial geological barrier (m/m)</t>
    </r>
  </si>
  <si>
    <t>To account for the possibility that the hydraulic gradient in the waste mass will be greater than in the aquifer, conservatively a hydraulic gradient of twice that in the aquifer has been used.</t>
  </si>
  <si>
    <t>w_waste is the width of the waste (m)</t>
  </si>
  <si>
    <t>m</t>
  </si>
  <si>
    <t>Based on Figure ESSD 2 (drawing reference TAR/BRO/12-21/22914). Confirmed by aerial photography images.</t>
  </si>
  <si>
    <t>thickness_waste is the thickness of the waste below the rest groundwater level (m)</t>
  </si>
  <si>
    <t>Approximate saturated thickness of waste based on Figure ESSD 7 (drawing reference TAR/BRO/06-22/23185) and Figure ESSD 6 (drawing reference TAR/BRO/08-21/22740)</t>
  </si>
  <si>
    <t>C_bg is the background concentration in the sand and gravel aquifer (mg/l)</t>
  </si>
  <si>
    <t>C_iw is the concentration at the outside edge of the attenuation layer</t>
  </si>
  <si>
    <t>KOC (l/kg)</t>
  </si>
  <si>
    <t xml:space="preserve">Average of the maximum and minimum values of KOC for TOLUENE taken from the ConSim helpfile.  </t>
  </si>
  <si>
    <t>FOC</t>
  </si>
  <si>
    <t>Average of the FOCs for clay, silt and sand taken from the ConSim helpfile</t>
  </si>
  <si>
    <t>Kd (l/kg)</t>
  </si>
  <si>
    <t>Calculated (KOC x FOC)</t>
  </si>
  <si>
    <t>BTEX WAC (mg/kg)</t>
  </si>
  <si>
    <t>Solid waste inert WAC for BTEX.  Conservatively assume all is toluene.</t>
  </si>
  <si>
    <t>Calculated leachate concentration (mg/l)</t>
  </si>
  <si>
    <t>Assumed LS 10/1 equivalent</t>
  </si>
  <si>
    <t xml:space="preserve"> GENERIC QUANTITATIVE RISK ASSESSMENT CALCULATIONS - SENSITIVITY ANYALYSIS FOR HYDRAULIC GRADIENT ACROSS ARTIFICAL GEOLOGICAL BARRIER DOUBLED</t>
  </si>
  <si>
    <t>Varied as part of the sensitivity analyis to double the hydraulic gradient assumed as part of the GQRA and four times the hydraulic gradient in the aquifer.</t>
  </si>
  <si>
    <t xml:space="preserve"> GENERIC QUANTITATIVE RISK ASSESSMENT CALCULATIONS - SENSITIVITY ANYALYSIS FOR HYDRAULIC CONDUCTIVITY OF AQUIFER REDUCED BY A FACTOR OF 2.5</t>
  </si>
  <si>
    <t>Minimum assumed in 2018 HIA of 20m/d for Bytham Sand and Gravel Formation reduced by a factor of 2.5 for the purpose of undertaking the sensitivity analysis.</t>
  </si>
  <si>
    <t xml:space="preserve"> GENERIC QUANTITATIVE RISK ASSESSMENT CALCULATIONS - SENSITIVITY ANYALYSIS FOR SOURCE TERM CONCENTRATIONS DOUBLED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</si>
</sst>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00"/>
  </numFmts>
  <fonts count="10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/>
    <xf numFmtId="0" fontId="1" fillId="0" borderId="14" xfId="0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5" fillId="0" borderId="0" xfId="0" applyFont="1"/>
    <xf numFmtId="11" fontId="5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/>
    </xf>
    <xf numFmtId="0" fontId="8" fillId="0" borderId="0" xfId="0" applyFont="1"/>
    <xf numFmtId="11" fontId="8" fillId="0" borderId="0" xfId="0" applyNumberFormat="1" applyFont="1"/>
    <xf numFmtId="11" fontId="2" fillId="0" borderId="0" xfId="0" applyNumberFormat="1" applyFont="1"/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/>
    </xf>
    <xf numFmtId="0" fontId="9" fillId="0" borderId="1" xfId="1" applyBorder="1"/>
    <xf numFmtId="0" fontId="9" fillId="0" borderId="0" xfId="1"/>
    <xf numFmtId="164" fontId="9" fillId="0" borderId="1" xfId="1" applyNumberFormat="1" applyBorder="1"/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Normal" xfId="0" builtinId="0"/>
    <cellStyle name="Normal 7" xfId="1" xr:uid="{4CEE8BCB-4C79-4BA2-AEBC-619915FED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24</xdr:row>
      <xdr:rowOff>224</xdr:rowOff>
    </xdr:from>
    <xdr:to>
      <xdr:col>1</xdr:col>
      <xdr:colOff>361950</xdr:colOff>
      <xdr:row>24</xdr:row>
      <xdr:rowOff>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88" y="4818753"/>
          <a:ext cx="209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244431</xdr:colOff>
      <xdr:row>17</xdr:row>
      <xdr:rowOff>21500</xdr:rowOff>
    </xdr:from>
    <xdr:to>
      <xdr:col>3</xdr:col>
      <xdr:colOff>345622</xdr:colOff>
      <xdr:row>20</xdr:row>
      <xdr:rowOff>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519" y="3629794"/>
          <a:ext cx="3418132" cy="48367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24</xdr:row>
      <xdr:rowOff>224</xdr:rowOff>
    </xdr:from>
    <xdr:to>
      <xdr:col>1</xdr:col>
      <xdr:colOff>361950</xdr:colOff>
      <xdr:row>24</xdr:row>
      <xdr:rowOff>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8E4462-7422-4DBB-B19D-10BB6D66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524724"/>
          <a:ext cx="2057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244431</xdr:colOff>
      <xdr:row>17</xdr:row>
      <xdr:rowOff>21500</xdr:rowOff>
    </xdr:from>
    <xdr:to>
      <xdr:col>3</xdr:col>
      <xdr:colOff>345622</xdr:colOff>
      <xdr:row>20</xdr:row>
      <xdr:rowOff>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497D3D-0CE8-41CA-92F7-C054BE38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691" y="4313465"/>
          <a:ext cx="3373981" cy="4975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24</xdr:row>
      <xdr:rowOff>224</xdr:rowOff>
    </xdr:from>
    <xdr:to>
      <xdr:col>1</xdr:col>
      <xdr:colOff>361950</xdr:colOff>
      <xdr:row>24</xdr:row>
      <xdr:rowOff>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766CD9-10CF-4ADD-80C7-43A20211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524724"/>
          <a:ext cx="2057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244431</xdr:colOff>
      <xdr:row>17</xdr:row>
      <xdr:rowOff>21500</xdr:rowOff>
    </xdr:from>
    <xdr:to>
      <xdr:col>3</xdr:col>
      <xdr:colOff>345622</xdr:colOff>
      <xdr:row>20</xdr:row>
      <xdr:rowOff>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FC7B53-956D-4D32-80B6-8D9676C07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691" y="4313465"/>
          <a:ext cx="3373981" cy="4975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24</xdr:row>
      <xdr:rowOff>224</xdr:rowOff>
    </xdr:from>
    <xdr:to>
      <xdr:col>1</xdr:col>
      <xdr:colOff>361950</xdr:colOff>
      <xdr:row>24</xdr:row>
      <xdr:rowOff>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60B30B-6469-4BC9-A909-9B46A20F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524724"/>
          <a:ext cx="2057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244431</xdr:colOff>
      <xdr:row>17</xdr:row>
      <xdr:rowOff>21500</xdr:rowOff>
    </xdr:from>
    <xdr:to>
      <xdr:col>3</xdr:col>
      <xdr:colOff>345622</xdr:colOff>
      <xdr:row>20</xdr:row>
      <xdr:rowOff>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1C8E6A-7E04-440E-BA9F-D0484D5F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691" y="4313465"/>
          <a:ext cx="3373981" cy="4975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F_WT%20COLLIERY%20SPOIL%20DILUTION%20CALC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 Calculations"/>
      <sheetName val="Dilution"/>
      <sheetName val="Results"/>
      <sheetName val="Probabalistic model scenario 1"/>
      <sheetName val="GW leaching of spoil"/>
      <sheetName val="BH95_1"/>
      <sheetName val="Groundwater - Year ranges"/>
      <sheetName val="Barrier Data"/>
      <sheetName val="Graph"/>
      <sheetName val="HYDRODAT"/>
      <sheetName val="altered data"/>
      <sheetName val="whitwell_conductivity"/>
      <sheetName val="Rainf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workbookViewId="0">
      <selection activeCell="F31" sqref="F31"/>
    </sheetView>
  </sheetViews>
  <sheetFormatPr defaultColWidth="9.140625" defaultRowHeight="12.6"/>
  <cols>
    <col min="1" max="1" width="2.42578125" style="1" customWidth="1"/>
    <col min="2" max="2" width="17.85546875" style="1" customWidth="1"/>
    <col min="3" max="3" width="28.42578125" style="1" customWidth="1"/>
    <col min="4" max="4" width="15" style="1" bestFit="1" customWidth="1"/>
    <col min="5" max="5" width="20.5703125" style="1" customWidth="1"/>
    <col min="6" max="6" width="18.85546875" style="1" customWidth="1"/>
    <col min="7" max="7" width="22.5703125" style="1" customWidth="1"/>
    <col min="8" max="8" width="81.85546875" style="1" customWidth="1"/>
    <col min="9" max="16384" width="9.140625" style="1"/>
  </cols>
  <sheetData>
    <row r="1" spans="2:8" ht="14.45" customHeight="1">
      <c r="B1" s="48" t="s">
        <v>0</v>
      </c>
      <c r="C1" s="48"/>
      <c r="D1" s="48"/>
      <c r="E1" s="48"/>
      <c r="F1" s="48"/>
      <c r="G1" s="48"/>
      <c r="H1" s="48"/>
    </row>
    <row r="2" spans="2:8" ht="12.95" thickBot="1"/>
    <row r="3" spans="2:8" ht="134.44999999999999" customHeight="1" thickTop="1" thickBot="1">
      <c r="B3" s="3" t="s">
        <v>1</v>
      </c>
      <c r="C3" s="4" t="s">
        <v>2</v>
      </c>
      <c r="D3" s="4" t="s">
        <v>3</v>
      </c>
      <c r="E3" s="4" t="s">
        <v>4</v>
      </c>
      <c r="F3" s="9" t="s">
        <v>5</v>
      </c>
      <c r="G3" s="5" t="s">
        <v>6</v>
      </c>
      <c r="H3" s="22"/>
    </row>
    <row r="4" spans="2:8" ht="12.95" thickTop="1">
      <c r="B4" s="35" t="s">
        <v>7</v>
      </c>
      <c r="C4" s="13">
        <v>6.0000000000000001E-3</v>
      </c>
      <c r="D4" s="37">
        <v>1.6000000000000001E-3</v>
      </c>
      <c r="E4" s="14">
        <v>0.05</v>
      </c>
      <c r="F4" s="15">
        <f>((E4*$F$26*$F$29*$F$30*$F$31)+($D4*$F$27*$F$28*$F$30*$F$31))/((($F$26*$F$29*$F$30*$F$31)+($F$27*$F$28*$F$30*$F$31)))</f>
        <v>1.6418685121107268E-3</v>
      </c>
      <c r="G4" s="25">
        <f>F4/C4</f>
        <v>0.27364475201845445</v>
      </c>
      <c r="H4" s="22"/>
    </row>
    <row r="5" spans="2:8">
      <c r="B5" s="24" t="s">
        <v>8</v>
      </c>
      <c r="C5" s="36">
        <v>1.9300000000000001E-3</v>
      </c>
      <c r="D5" s="36">
        <v>6.4999999999999997E-4</v>
      </c>
      <c r="E5" s="6">
        <v>0.05</v>
      </c>
      <c r="F5" s="10">
        <f>((E5*$F$26*$F$29*$F$30*$F$31)+($D5*$F$27*$F$28*$F$30*$F$31))/((($F$26*$F$29*$F$30*$F$31)+($F$27*$F$28*$F$30*$F$31)))</f>
        <v>6.9269031141868515E-4</v>
      </c>
      <c r="G5" s="25">
        <f>F5/C5</f>
        <v>0.35890689710812701</v>
      </c>
      <c r="H5" s="22"/>
    </row>
    <row r="6" spans="2:8" s="22" customFormat="1">
      <c r="B6" s="26" t="s">
        <v>9</v>
      </c>
      <c r="C6" s="38">
        <v>1E-4</v>
      </c>
      <c r="D6" s="38">
        <v>4.0000000000000003E-5</v>
      </c>
      <c r="E6" s="6">
        <v>1E-3</v>
      </c>
      <c r="F6" s="10">
        <f>((E6*$F$26*$F$29*$F$30*$F$31)+($D6*$F$27*$F$28*$F$30*$F$31))/((($F$26*$F$29*$F$30*$F$31)+($F$27*$F$28*$F$30*$F$31)))</f>
        <v>4.0830449826989622E-5</v>
      </c>
      <c r="G6" s="43">
        <f>F6/C6</f>
        <v>0.40830449826989618</v>
      </c>
    </row>
    <row r="7" spans="2:8" s="22" customFormat="1">
      <c r="B7" s="39" t="s">
        <v>10</v>
      </c>
      <c r="C7" s="6">
        <v>4.0000000000000001E-3</v>
      </c>
      <c r="D7" s="6">
        <f>C7/2</f>
        <v>2E-3</v>
      </c>
      <c r="E7" s="6">
        <v>0.86950000000000005</v>
      </c>
      <c r="F7" s="10">
        <f t="shared" ref="F7:F12" si="0">((E7*$F$26*$F$29*$F$30*$F$31)+($D7*$F$27*$F$28*$F$30*$F$31))/((($F$26*$F$29*$F$30*$F$31)+($F$27*$F$28*$F$30*$F$31)))</f>
        <v>2.7504325259515572E-3</v>
      </c>
      <c r="G7" s="25">
        <f>F7/C7</f>
        <v>0.68760813148788924</v>
      </c>
    </row>
    <row r="8" spans="2:8" s="22" customFormat="1">
      <c r="B8" s="26" t="s">
        <v>11</v>
      </c>
      <c r="C8" s="38">
        <v>2.5999999999999998E-4</v>
      </c>
      <c r="D8" s="38">
        <v>5.0000000000000002E-5</v>
      </c>
      <c r="E8" s="6">
        <v>4.0000000000000001E-3</v>
      </c>
      <c r="F8" s="10">
        <f t="shared" si="0"/>
        <v>5.3416955017301038E-5</v>
      </c>
      <c r="G8" s="25">
        <f t="shared" ref="G8:G12" si="1">F8/C8</f>
        <v>0.20544982698961939</v>
      </c>
    </row>
    <row r="9" spans="2:8" s="22" customFormat="1">
      <c r="B9" s="26" t="s">
        <v>12</v>
      </c>
      <c r="C9" s="41">
        <v>93.7</v>
      </c>
      <c r="D9" s="41">
        <v>39.4</v>
      </c>
      <c r="E9" s="6">
        <v>80</v>
      </c>
      <c r="F9" s="11">
        <f t="shared" si="0"/>
        <v>39.435121107266433</v>
      </c>
      <c r="G9" s="25">
        <f t="shared" si="1"/>
        <v>0.42086575354606648</v>
      </c>
    </row>
    <row r="10" spans="2:8" s="22" customFormat="1">
      <c r="B10" s="32" t="s">
        <v>13</v>
      </c>
      <c r="C10" s="40">
        <v>3.1600000000000003E-2</v>
      </c>
      <c r="D10" s="40">
        <v>2.7000000000000001E-3</v>
      </c>
      <c r="E10" s="6">
        <v>0.2</v>
      </c>
      <c r="F10" s="10">
        <f t="shared" si="0"/>
        <v>2.8706747404844291E-3</v>
      </c>
      <c r="G10" s="25">
        <f t="shared" si="1"/>
        <v>9.0844137357102173E-2</v>
      </c>
    </row>
    <row r="11" spans="2:8" s="22" customFormat="1">
      <c r="B11" s="32" t="s">
        <v>14</v>
      </c>
      <c r="C11" s="40">
        <v>4.4000000000000003E-3</v>
      </c>
      <c r="D11" s="40">
        <v>1.6515151515151499E-3</v>
      </c>
      <c r="E11" s="6">
        <v>0.04</v>
      </c>
      <c r="F11" s="10">
        <f t="shared" si="0"/>
        <v>1.6846885813148775E-3</v>
      </c>
      <c r="G11" s="25">
        <f t="shared" si="1"/>
        <v>0.38288376848065397</v>
      </c>
    </row>
    <row r="12" spans="2:8" s="22" customFormat="1" ht="12.95" thickBot="1">
      <c r="B12" s="27" t="s">
        <v>15</v>
      </c>
      <c r="C12" s="42">
        <v>6.5600000000000006E-2</v>
      </c>
      <c r="D12" s="42">
        <v>8.8000000000000005E-3</v>
      </c>
      <c r="E12" s="7">
        <v>0.4</v>
      </c>
      <c r="F12" s="12">
        <f t="shared" si="0"/>
        <v>9.1384083044982693E-3</v>
      </c>
      <c r="G12" s="28">
        <f t="shared" si="1"/>
        <v>0.13930500464174189</v>
      </c>
    </row>
    <row r="13" spans="2:8" ht="12.95" thickTop="1"/>
    <row r="14" spans="2:8">
      <c r="B14" s="1" t="s">
        <v>16</v>
      </c>
    </row>
    <row r="15" spans="2:8">
      <c r="B15" s="1" t="s">
        <v>17</v>
      </c>
      <c r="E15" s="2"/>
    </row>
    <row r="16" spans="2:8">
      <c r="B16" s="20" t="s">
        <v>18</v>
      </c>
      <c r="C16" s="20"/>
      <c r="D16" s="20"/>
      <c r="E16" s="21"/>
      <c r="F16" s="20"/>
      <c r="G16" s="20"/>
    </row>
    <row r="22" spans="2:8">
      <c r="B22" s="1" t="s">
        <v>19</v>
      </c>
    </row>
    <row r="23" spans="2:8" ht="15.6">
      <c r="B23" s="1" t="s">
        <v>20</v>
      </c>
      <c r="D23" s="23">
        <f>F26*F29*(F30*F31)</f>
        <v>1.1091600000000001E-6</v>
      </c>
      <c r="E23" s="22"/>
      <c r="F23" s="22"/>
      <c r="G23" s="22"/>
    </row>
    <row r="24" spans="2:8">
      <c r="B24" s="1" t="s">
        <v>21</v>
      </c>
      <c r="D24" s="23">
        <f>F27*F28*(F30*F31)</f>
        <v>1.2810798000000001E-3</v>
      </c>
      <c r="E24" s="22"/>
      <c r="F24" s="22"/>
      <c r="G24" s="23"/>
    </row>
    <row r="26" spans="2:8" ht="50.1">
      <c r="B26" s="49" t="s">
        <v>22</v>
      </c>
      <c r="C26" s="50"/>
      <c r="D26" s="50"/>
      <c r="E26" s="50"/>
      <c r="F26" s="18">
        <v>9.9999999999999995E-8</v>
      </c>
      <c r="G26" s="16" t="s">
        <v>23</v>
      </c>
      <c r="H26" s="47" t="s">
        <v>24</v>
      </c>
    </row>
    <row r="27" spans="2:8" ht="14.45">
      <c r="B27" s="49" t="s">
        <v>25</v>
      </c>
      <c r="C27" s="50"/>
      <c r="D27" s="50"/>
      <c r="E27" s="50"/>
      <c r="F27" s="18">
        <v>2.31E-4</v>
      </c>
      <c r="G27" s="16" t="s">
        <v>23</v>
      </c>
      <c r="H27" s="17" t="s">
        <v>26</v>
      </c>
    </row>
    <row r="28" spans="2:8" ht="24.95">
      <c r="B28" s="49" t="s">
        <v>27</v>
      </c>
      <c r="C28" s="50"/>
      <c r="D28" s="50"/>
      <c r="E28" s="50"/>
      <c r="F28" s="19">
        <v>4.7400000000000003E-3</v>
      </c>
      <c r="G28" s="16"/>
      <c r="H28" s="17" t="s">
        <v>28</v>
      </c>
    </row>
    <row r="29" spans="2:8" ht="42" customHeight="1">
      <c r="B29" s="49" t="s">
        <v>29</v>
      </c>
      <c r="C29" s="50"/>
      <c r="D29" s="50"/>
      <c r="E29" s="50"/>
      <c r="F29" s="19">
        <f>F28*2</f>
        <v>9.4800000000000006E-3</v>
      </c>
      <c r="G29" s="16"/>
      <c r="H29" s="17" t="s">
        <v>30</v>
      </c>
    </row>
    <row r="30" spans="2:8" ht="24.95">
      <c r="B30" s="51" t="s">
        <v>31</v>
      </c>
      <c r="C30" s="52"/>
      <c r="D30" s="52"/>
      <c r="E30" s="53"/>
      <c r="F30" s="19">
        <v>390</v>
      </c>
      <c r="G30" s="16" t="s">
        <v>32</v>
      </c>
      <c r="H30" s="17" t="s">
        <v>33</v>
      </c>
    </row>
    <row r="31" spans="2:8" ht="45" customHeight="1">
      <c r="B31" s="49" t="s">
        <v>34</v>
      </c>
      <c r="C31" s="50"/>
      <c r="D31" s="50"/>
      <c r="E31" s="50"/>
      <c r="F31" s="19">
        <v>3</v>
      </c>
      <c r="G31" s="16" t="s">
        <v>32</v>
      </c>
      <c r="H31" s="17" t="s">
        <v>35</v>
      </c>
    </row>
    <row r="32" spans="2:8">
      <c r="B32" s="1" t="s">
        <v>36</v>
      </c>
    </row>
    <row r="33" spans="2:7">
      <c r="B33" s="1" t="s">
        <v>37</v>
      </c>
    </row>
    <row r="35" spans="2:7" ht="12.95">
      <c r="B35" s="29"/>
      <c r="C35" s="29"/>
      <c r="D35" s="29"/>
      <c r="E35" s="2"/>
    </row>
    <row r="36" spans="2:7" ht="12.95">
      <c r="B36" s="29"/>
      <c r="C36" s="29"/>
      <c r="D36" s="29"/>
      <c r="G36" s="31"/>
    </row>
    <row r="37" spans="2:7" ht="12.95">
      <c r="B37" s="29"/>
      <c r="C37" s="29"/>
      <c r="D37" s="29"/>
      <c r="G37" s="31"/>
    </row>
    <row r="38" spans="2:7" ht="12.95">
      <c r="B38" s="29"/>
      <c r="C38" s="29"/>
      <c r="D38" s="30"/>
      <c r="F38" s="33"/>
      <c r="G38" s="31"/>
    </row>
    <row r="39" spans="2:7" ht="12.95">
      <c r="B39" s="29"/>
      <c r="C39" s="29"/>
      <c r="D39" s="30"/>
      <c r="F39" s="33"/>
      <c r="G39" s="31"/>
    </row>
    <row r="40" spans="2:7" ht="12.95">
      <c r="B40" s="29"/>
      <c r="C40" s="29"/>
      <c r="D40" s="30"/>
      <c r="F40" s="33"/>
      <c r="G40" s="31"/>
    </row>
    <row r="41" spans="2:7">
      <c r="B41" s="8"/>
      <c r="C41" s="8"/>
      <c r="D41" s="8"/>
      <c r="F41" s="34"/>
      <c r="G41" s="31"/>
    </row>
    <row r="42" spans="2:7">
      <c r="D42" s="8"/>
      <c r="F42" s="33"/>
      <c r="G42" s="31"/>
    </row>
    <row r="43" spans="2:7">
      <c r="G43" s="31"/>
    </row>
  </sheetData>
  <sortState xmlns:xlrd2="http://schemas.microsoft.com/office/spreadsheetml/2017/richdata2" ref="B4:F12">
    <sortCondition ref="B4:B12"/>
  </sortState>
  <mergeCells count="7">
    <mergeCell ref="B1:H1"/>
    <mergeCell ref="B31:E31"/>
    <mergeCell ref="B26:E26"/>
    <mergeCell ref="B27:E27"/>
    <mergeCell ref="B28:E28"/>
    <mergeCell ref="B29:E29"/>
    <mergeCell ref="B30:E30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&amp;L&amp;"Arial,Bold"TARMAC&amp;C&amp;"Arial,Bold"
&amp;G&amp;R&amp;"Arial,Bold"BROOKSBY QUARRY</oddHeader>
    <oddFooter xml:space="preserve">&amp;L&amp;"Arial,Regular"TAR/BRO/JRC/20021/HRA
August 2023
&amp;"Arial,Italic"&amp;8&amp;F&amp;C&amp;G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CB33-DFD8-4A54-84F0-98F013B58D06}">
  <sheetPr>
    <pageSetUpPr fitToPage="1"/>
  </sheetPr>
  <dimension ref="A1:C5"/>
  <sheetViews>
    <sheetView workbookViewId="0"/>
  </sheetViews>
  <sheetFormatPr defaultColWidth="8.85546875" defaultRowHeight="14.45"/>
  <cols>
    <col min="1" max="1" width="50.85546875" style="45" bestFit="1" customWidth="1"/>
    <col min="2" max="2" width="11.42578125" style="45" bestFit="1" customWidth="1"/>
    <col min="3" max="3" width="93.5703125" style="45" bestFit="1" customWidth="1"/>
    <col min="4" max="16384" width="8.85546875" style="45"/>
  </cols>
  <sheetData>
    <row r="1" spans="1:3">
      <c r="A1" s="44" t="s">
        <v>38</v>
      </c>
      <c r="B1" s="44">
        <v>186.5</v>
      </c>
      <c r="C1" s="44" t="s">
        <v>39</v>
      </c>
    </row>
    <row r="2" spans="1:3">
      <c r="A2" s="44" t="s">
        <v>40</v>
      </c>
      <c r="B2" s="44">
        <v>3.6999999999999998E-2</v>
      </c>
      <c r="C2" s="44" t="s">
        <v>41</v>
      </c>
    </row>
    <row r="3" spans="1:3">
      <c r="A3" s="44" t="s">
        <v>42</v>
      </c>
      <c r="B3" s="44">
        <f>B1*B2</f>
        <v>6.9005000000000001</v>
      </c>
      <c r="C3" s="44" t="s">
        <v>43</v>
      </c>
    </row>
    <row r="4" spans="1:3">
      <c r="A4" s="44" t="s">
        <v>44</v>
      </c>
      <c r="B4" s="44">
        <v>6</v>
      </c>
      <c r="C4" s="44" t="s">
        <v>45</v>
      </c>
    </row>
    <row r="5" spans="1:3">
      <c r="A5" s="44" t="s">
        <v>46</v>
      </c>
      <c r="B5" s="46">
        <f>B4/B3</f>
        <v>0.86950220998478367</v>
      </c>
      <c r="C5" s="44" t="s">
        <v>47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&amp;L&amp;"Arial,Bold"TARMAC&amp;C&amp;"Arial,Bold"
&amp;G&amp;R&amp;"Arial,Bold"BROOKSBY QUARRY</oddHeader>
    <oddFooter xml:space="preserve">&amp;L&amp;"Arial,Regular"TAR/BRO/JRC/20021/HRA
August 2023
&amp;"Arial,Italic"&amp;8&amp;F&amp;C&amp;G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BBF6-0615-4335-A085-EF9AC5C81892}">
  <sheetPr>
    <pageSetUpPr fitToPage="1"/>
  </sheetPr>
  <dimension ref="B1:H43"/>
  <sheetViews>
    <sheetView workbookViewId="0">
      <selection activeCell="E21" sqref="E21"/>
    </sheetView>
  </sheetViews>
  <sheetFormatPr defaultColWidth="9.140625" defaultRowHeight="12.6"/>
  <cols>
    <col min="1" max="1" width="2.42578125" style="1" customWidth="1"/>
    <col min="2" max="2" width="17.85546875" style="1" customWidth="1"/>
    <col min="3" max="3" width="28.42578125" style="1" customWidth="1"/>
    <col min="4" max="4" width="15" style="1" bestFit="1" customWidth="1"/>
    <col min="5" max="5" width="20.5703125" style="1" customWidth="1"/>
    <col min="6" max="6" width="18.85546875" style="1" customWidth="1"/>
    <col min="7" max="7" width="22.5703125" style="1" customWidth="1"/>
    <col min="8" max="8" width="81.85546875" style="1" customWidth="1"/>
    <col min="9" max="16384" width="9.140625" style="1"/>
  </cols>
  <sheetData>
    <row r="1" spans="2:8" ht="14.45" customHeight="1">
      <c r="B1" s="48" t="s">
        <v>48</v>
      </c>
      <c r="C1" s="48"/>
      <c r="D1" s="48"/>
      <c r="E1" s="48"/>
      <c r="F1" s="48"/>
      <c r="G1" s="48"/>
      <c r="H1" s="48"/>
    </row>
    <row r="2" spans="2:8" ht="12.95" thickBot="1"/>
    <row r="3" spans="2:8" ht="122.1" customHeight="1" thickTop="1" thickBot="1">
      <c r="B3" s="3" t="s">
        <v>1</v>
      </c>
      <c r="C3" s="4" t="s">
        <v>2</v>
      </c>
      <c r="D3" s="4" t="s">
        <v>3</v>
      </c>
      <c r="E3" s="4" t="s">
        <v>4</v>
      </c>
      <c r="F3" s="9" t="s">
        <v>5</v>
      </c>
      <c r="G3" s="5" t="s">
        <v>6</v>
      </c>
      <c r="H3" s="22"/>
    </row>
    <row r="4" spans="2:8" ht="12.95" thickTop="1">
      <c r="B4" s="35" t="s">
        <v>7</v>
      </c>
      <c r="C4" s="13">
        <v>6.0000000000000001E-3</v>
      </c>
      <c r="D4" s="37">
        <v>1.6000000000000001E-3</v>
      </c>
      <c r="E4" s="14">
        <v>0.05</v>
      </c>
      <c r="F4" s="15">
        <f t="shared" ref="F4:F12" si="0">((E4*$F$26*$F$29*$F$30*$F$31)+($D4*$F$27*$F$28*$F$30*$F$31))/((($F$26*$F$29*$F$30*$F$31)+($F$27*$F$28*$F$30*$F$31)))</f>
        <v>1.6836646499567851E-3</v>
      </c>
      <c r="G4" s="25">
        <f>F4/C4</f>
        <v>0.28061077499279752</v>
      </c>
      <c r="H4" s="22"/>
    </row>
    <row r="5" spans="2:8">
      <c r="B5" s="24" t="s">
        <v>8</v>
      </c>
      <c r="C5" s="36">
        <v>1.9300000000000001E-3</v>
      </c>
      <c r="D5" s="36">
        <v>6.4999999999999997E-4</v>
      </c>
      <c r="E5" s="6">
        <v>0.05</v>
      </c>
      <c r="F5" s="10">
        <f>((E5*$F$26*$F$29*$F$30*$F$31)+($D5*$F$27*$F$28*$F$30*$F$31))/((($F$26*$F$29*$F$30*$F$31)+($F$27*$F$28*$F$30*$F$31)))</f>
        <v>7.3530682800345716E-4</v>
      </c>
      <c r="G5" s="25">
        <f>F5/C5</f>
        <v>0.38098799378417469</v>
      </c>
      <c r="H5" s="22"/>
    </row>
    <row r="6" spans="2:8" s="22" customFormat="1">
      <c r="B6" s="26" t="s">
        <v>9</v>
      </c>
      <c r="C6" s="38">
        <v>1E-4</v>
      </c>
      <c r="D6" s="38">
        <v>4.0000000000000003E-5</v>
      </c>
      <c r="E6" s="6">
        <v>1E-3</v>
      </c>
      <c r="F6" s="10">
        <f>((E6*$F$26*$F$29*$F$30*$F$31)+($D6*$F$27*$F$28*$F$30*$F$31))/((($F$26*$F$29*$F$30*$F$31)+($F$27*$F$28*$F$30*$F$31)))</f>
        <v>4.1659464131374246E-5</v>
      </c>
      <c r="G6" s="43">
        <f>F6/C6</f>
        <v>0.41659464131374246</v>
      </c>
    </row>
    <row r="7" spans="2:8" s="22" customFormat="1">
      <c r="B7" s="39" t="s">
        <v>10</v>
      </c>
      <c r="C7" s="6">
        <v>4.0000000000000001E-3</v>
      </c>
      <c r="D7" s="6">
        <f>C7/2</f>
        <v>2E-3</v>
      </c>
      <c r="E7" s="6">
        <v>0.86950000000000005</v>
      </c>
      <c r="F7" s="10">
        <f t="shared" si="0"/>
        <v>3.4995678478824551E-3</v>
      </c>
      <c r="G7" s="25">
        <f>F7/C7</f>
        <v>0.87489196197061381</v>
      </c>
    </row>
    <row r="8" spans="2:8" s="22" customFormat="1">
      <c r="B8" s="26" t="s">
        <v>11</v>
      </c>
      <c r="C8" s="38">
        <v>2.5999999999999998E-4</v>
      </c>
      <c r="D8" s="38">
        <v>5.0000000000000002E-5</v>
      </c>
      <c r="E8" s="6">
        <v>4.0000000000000001E-3</v>
      </c>
      <c r="F8" s="10">
        <f t="shared" si="0"/>
        <v>5.6828003457216947E-5</v>
      </c>
      <c r="G8" s="25">
        <f t="shared" ref="G8:G12" si="1">F8/C8</f>
        <v>0.21856924406621905</v>
      </c>
    </row>
    <row r="9" spans="2:8" s="22" customFormat="1">
      <c r="B9" s="26" t="s">
        <v>12</v>
      </c>
      <c r="C9" s="41">
        <v>93.7</v>
      </c>
      <c r="D9" s="41">
        <v>39.4</v>
      </c>
      <c r="E9" s="6">
        <v>80</v>
      </c>
      <c r="F9" s="11">
        <f t="shared" si="0"/>
        <v>39.470181503889364</v>
      </c>
      <c r="G9" s="25">
        <f t="shared" si="1"/>
        <v>0.42123993067117782</v>
      </c>
    </row>
    <row r="10" spans="2:8" s="22" customFormat="1">
      <c r="B10" s="32" t="s">
        <v>13</v>
      </c>
      <c r="C10" s="40">
        <v>3.1600000000000003E-2</v>
      </c>
      <c r="D10" s="40">
        <v>2.7000000000000001E-3</v>
      </c>
      <c r="E10" s="6">
        <v>0.2</v>
      </c>
      <c r="F10" s="10">
        <f t="shared" si="0"/>
        <v>3.0410544511668106E-3</v>
      </c>
      <c r="G10" s="25">
        <f t="shared" si="1"/>
        <v>9.6235900353380074E-2</v>
      </c>
    </row>
    <row r="11" spans="2:8" s="22" customFormat="1">
      <c r="B11" s="32" t="s">
        <v>14</v>
      </c>
      <c r="C11" s="40">
        <v>4.4000000000000003E-3</v>
      </c>
      <c r="D11" s="40">
        <v>1.6515151515151499E-3</v>
      </c>
      <c r="E11" s="6">
        <v>0.04</v>
      </c>
      <c r="F11" s="10">
        <f t="shared" si="0"/>
        <v>1.717804667242868E-3</v>
      </c>
      <c r="G11" s="25">
        <f t="shared" si="1"/>
        <v>0.39041015164610632</v>
      </c>
    </row>
    <row r="12" spans="2:8" s="22" customFormat="1" ht="12.95" thickBot="1">
      <c r="B12" s="27" t="s">
        <v>15</v>
      </c>
      <c r="C12" s="42">
        <v>6.5600000000000006E-2</v>
      </c>
      <c r="D12" s="42">
        <v>8.8000000000000005E-3</v>
      </c>
      <c r="E12" s="7">
        <v>0.4</v>
      </c>
      <c r="F12" s="12">
        <f t="shared" si="0"/>
        <v>9.4762316335350039E-3</v>
      </c>
      <c r="G12" s="28">
        <f t="shared" si="1"/>
        <v>0.14445475051120432</v>
      </c>
    </row>
    <row r="13" spans="2:8" ht="12.95" thickTop="1"/>
    <row r="14" spans="2:8">
      <c r="B14" s="1" t="s">
        <v>16</v>
      </c>
    </row>
    <row r="15" spans="2:8">
      <c r="B15" s="1" t="s">
        <v>17</v>
      </c>
      <c r="E15" s="2"/>
    </row>
    <row r="16" spans="2:8">
      <c r="B16" s="20" t="s">
        <v>18</v>
      </c>
      <c r="C16" s="20"/>
      <c r="D16" s="20"/>
      <c r="E16" s="21"/>
      <c r="F16" s="20"/>
      <c r="G16" s="20"/>
    </row>
    <row r="22" spans="2:8">
      <c r="B22" s="1" t="s">
        <v>19</v>
      </c>
    </row>
    <row r="23" spans="2:8" ht="15.6">
      <c r="B23" s="1" t="s">
        <v>20</v>
      </c>
      <c r="D23" s="23">
        <f>F26*F29*(F30*F31)</f>
        <v>2.2183200000000001E-6</v>
      </c>
      <c r="E23" s="22"/>
      <c r="F23" s="22"/>
      <c r="G23" s="22"/>
    </row>
    <row r="24" spans="2:8">
      <c r="B24" s="1" t="s">
        <v>21</v>
      </c>
      <c r="D24" s="23">
        <f>F27*F28*(F30*F31)</f>
        <v>1.2810798000000001E-3</v>
      </c>
      <c r="E24" s="22"/>
      <c r="F24" s="22"/>
      <c r="G24" s="23"/>
    </row>
    <row r="26" spans="2:8" ht="50.1">
      <c r="B26" s="49" t="s">
        <v>22</v>
      </c>
      <c r="C26" s="50"/>
      <c r="D26" s="50"/>
      <c r="E26" s="50"/>
      <c r="F26" s="18">
        <v>9.9999999999999995E-8</v>
      </c>
      <c r="G26" s="16" t="s">
        <v>23</v>
      </c>
      <c r="H26" s="47" t="s">
        <v>24</v>
      </c>
    </row>
    <row r="27" spans="2:8" ht="14.45">
      <c r="B27" s="49" t="s">
        <v>25</v>
      </c>
      <c r="C27" s="50"/>
      <c r="D27" s="50"/>
      <c r="E27" s="50"/>
      <c r="F27" s="18">
        <v>2.31E-4</v>
      </c>
      <c r="G27" s="16" t="s">
        <v>23</v>
      </c>
      <c r="H27" s="17" t="s">
        <v>26</v>
      </c>
    </row>
    <row r="28" spans="2:8" ht="24.95">
      <c r="B28" s="49" t="s">
        <v>27</v>
      </c>
      <c r="C28" s="50"/>
      <c r="D28" s="50"/>
      <c r="E28" s="50"/>
      <c r="F28" s="19">
        <v>4.7400000000000003E-3</v>
      </c>
      <c r="G28" s="16"/>
      <c r="H28" s="17" t="s">
        <v>28</v>
      </c>
    </row>
    <row r="29" spans="2:8" ht="42" customHeight="1">
      <c r="B29" s="49" t="s">
        <v>29</v>
      </c>
      <c r="C29" s="50"/>
      <c r="D29" s="50"/>
      <c r="E29" s="50"/>
      <c r="F29" s="19">
        <f>(F28*2)*2</f>
        <v>1.8960000000000001E-2</v>
      </c>
      <c r="G29" s="16"/>
      <c r="H29" s="17" t="s">
        <v>49</v>
      </c>
    </row>
    <row r="30" spans="2:8" ht="24.95">
      <c r="B30" s="49" t="s">
        <v>31</v>
      </c>
      <c r="C30" s="50"/>
      <c r="D30" s="50"/>
      <c r="E30" s="50"/>
      <c r="F30" s="19">
        <v>390</v>
      </c>
      <c r="G30" s="16" t="s">
        <v>32</v>
      </c>
      <c r="H30" s="17" t="s">
        <v>33</v>
      </c>
    </row>
    <row r="31" spans="2:8" ht="45" customHeight="1">
      <c r="B31" s="49" t="s">
        <v>34</v>
      </c>
      <c r="C31" s="50"/>
      <c r="D31" s="50"/>
      <c r="E31" s="50"/>
      <c r="F31" s="19">
        <v>3</v>
      </c>
      <c r="G31" s="16" t="s">
        <v>32</v>
      </c>
      <c r="H31" s="17" t="s">
        <v>35</v>
      </c>
    </row>
    <row r="32" spans="2:8">
      <c r="B32" s="1" t="s">
        <v>36</v>
      </c>
    </row>
    <row r="33" spans="2:7">
      <c r="B33" s="1" t="s">
        <v>37</v>
      </c>
    </row>
    <row r="35" spans="2:7" ht="12.95">
      <c r="B35" s="29"/>
      <c r="C35" s="29"/>
      <c r="D35" s="29"/>
      <c r="E35" s="2"/>
    </row>
    <row r="36" spans="2:7" ht="12.95">
      <c r="B36" s="29"/>
      <c r="C36" s="29"/>
      <c r="D36" s="29"/>
      <c r="G36" s="31"/>
    </row>
    <row r="37" spans="2:7" ht="12.95">
      <c r="B37" s="29"/>
      <c r="C37" s="29"/>
      <c r="D37" s="29"/>
      <c r="G37" s="31"/>
    </row>
    <row r="38" spans="2:7" ht="12.95">
      <c r="B38" s="29"/>
      <c r="C38" s="29"/>
      <c r="D38" s="30"/>
      <c r="F38" s="33"/>
      <c r="G38" s="31"/>
    </row>
    <row r="39" spans="2:7" ht="12.95">
      <c r="B39" s="29"/>
      <c r="C39" s="29"/>
      <c r="D39" s="30"/>
      <c r="F39" s="33"/>
      <c r="G39" s="31"/>
    </row>
    <row r="40" spans="2:7" ht="12.95">
      <c r="B40" s="29"/>
      <c r="C40" s="29"/>
      <c r="D40" s="30"/>
      <c r="F40" s="33"/>
      <c r="G40" s="31"/>
    </row>
    <row r="41" spans="2:7">
      <c r="B41" s="8"/>
      <c r="C41" s="8"/>
      <c r="D41" s="8"/>
      <c r="F41" s="34"/>
      <c r="G41" s="31"/>
    </row>
    <row r="42" spans="2:7">
      <c r="D42" s="8"/>
      <c r="F42" s="33"/>
      <c r="G42" s="31"/>
    </row>
    <row r="43" spans="2:7">
      <c r="G43" s="31"/>
    </row>
  </sheetData>
  <mergeCells count="7">
    <mergeCell ref="B31:E31"/>
    <mergeCell ref="B1:H1"/>
    <mergeCell ref="B26:E26"/>
    <mergeCell ref="B27:E27"/>
    <mergeCell ref="B28:E28"/>
    <mergeCell ref="B29:E29"/>
    <mergeCell ref="B30:E30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&amp;L&amp;"Arial,Bold"TARMAC&amp;C&amp;"Arial,Bold"
&amp;G&amp;R&amp;"Arial,Bold"BROOKSBY QUARRY</oddHeader>
    <oddFooter xml:space="preserve">&amp;L&amp;"Arial,Regular"TAR/BRO/JRC/20021/HRA
August 2023
&amp;"Arial,Italic"&amp;8&amp;F&amp;C&amp;G
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5BE4-0A5C-47EE-BB57-4B7D25503387}">
  <sheetPr>
    <pageSetUpPr fitToPage="1"/>
  </sheetPr>
  <dimension ref="B1:H43"/>
  <sheetViews>
    <sheetView workbookViewId="0">
      <selection activeCell="E21" sqref="E21"/>
    </sheetView>
  </sheetViews>
  <sheetFormatPr defaultColWidth="9.140625" defaultRowHeight="12.6"/>
  <cols>
    <col min="1" max="1" width="2.42578125" style="1" customWidth="1"/>
    <col min="2" max="2" width="17.85546875" style="1" customWidth="1"/>
    <col min="3" max="3" width="28.42578125" style="1" customWidth="1"/>
    <col min="4" max="4" width="15" style="1" bestFit="1" customWidth="1"/>
    <col min="5" max="5" width="20.5703125" style="1" customWidth="1"/>
    <col min="6" max="6" width="18.85546875" style="1" customWidth="1"/>
    <col min="7" max="7" width="22.5703125" style="1" customWidth="1"/>
    <col min="8" max="8" width="81.85546875" style="1" customWidth="1"/>
    <col min="9" max="16384" width="9.140625" style="1"/>
  </cols>
  <sheetData>
    <row r="1" spans="2:8" ht="14.45" customHeight="1">
      <c r="B1" s="48" t="s">
        <v>50</v>
      </c>
      <c r="C1" s="48"/>
      <c r="D1" s="48"/>
      <c r="E1" s="48"/>
      <c r="F1" s="48"/>
      <c r="G1" s="48"/>
      <c r="H1" s="48"/>
    </row>
    <row r="2" spans="2:8" ht="12.95" thickBot="1"/>
    <row r="3" spans="2:8" ht="122.1" customHeight="1" thickTop="1" thickBot="1">
      <c r="B3" s="3" t="s">
        <v>1</v>
      </c>
      <c r="C3" s="4" t="s">
        <v>2</v>
      </c>
      <c r="D3" s="4" t="s">
        <v>3</v>
      </c>
      <c r="E3" s="4" t="s">
        <v>4</v>
      </c>
      <c r="F3" s="9" t="s">
        <v>5</v>
      </c>
      <c r="G3" s="5" t="s">
        <v>6</v>
      </c>
      <c r="H3" s="22"/>
    </row>
    <row r="4" spans="2:8" ht="12.95" thickTop="1">
      <c r="B4" s="35" t="s">
        <v>7</v>
      </c>
      <c r="C4" s="13">
        <v>6.0000000000000001E-3</v>
      </c>
      <c r="D4" s="37">
        <v>1.6000000000000001E-3</v>
      </c>
      <c r="E4" s="14">
        <v>0.05</v>
      </c>
      <c r="F4" s="15">
        <f t="shared" ref="F4:F12" si="0">((E4*$F$26*$F$29*$F$30*$F$31)+($D4*$F$27*$F$28*$F$30*$F$31))/((($F$26*$F$29*$F$30*$F$31)+($F$27*$F$28*$F$30*$F$31)))</f>
        <v>1.7045356371490287E-3</v>
      </c>
      <c r="G4" s="25">
        <f>F4/C4</f>
        <v>0.28408927285817143</v>
      </c>
      <c r="H4" s="22"/>
    </row>
    <row r="5" spans="2:8">
      <c r="B5" s="24" t="s">
        <v>8</v>
      </c>
      <c r="C5" s="36">
        <v>1.9300000000000001E-3</v>
      </c>
      <c r="D5" s="36">
        <v>6.4999999999999997E-4</v>
      </c>
      <c r="E5" s="6">
        <v>0.05</v>
      </c>
      <c r="F5" s="10">
        <f>((E5*$F$26*$F$29*$F$30*$F$31)+($D5*$F$27*$F$28*$F$30*$F$31))/((($F$26*$F$29*$F$30*$F$31)+($F$27*$F$28*$F$30*$F$31)))</f>
        <v>7.5658747300215998E-4</v>
      </c>
      <c r="G5" s="25">
        <f>F5/C5</f>
        <v>0.39201423471614505</v>
      </c>
      <c r="H5" s="22"/>
    </row>
    <row r="6" spans="2:8" s="22" customFormat="1">
      <c r="B6" s="26" t="s">
        <v>9</v>
      </c>
      <c r="C6" s="38">
        <v>1E-4</v>
      </c>
      <c r="D6" s="38">
        <v>4.0000000000000003E-5</v>
      </c>
      <c r="E6" s="6">
        <v>1E-3</v>
      </c>
      <c r="F6" s="10">
        <f>((E6*$F$26*$F$29*$F$30*$F$31)+($D6*$F$27*$F$28*$F$30*$F$31))/((($F$26*$F$29*$F$30*$F$31)+($F$27*$F$28*$F$30*$F$31)))</f>
        <v>4.2073434125269989E-5</v>
      </c>
      <c r="G6" s="43">
        <f>F6/C6</f>
        <v>0.42073434125269987</v>
      </c>
    </row>
    <row r="7" spans="2:8" s="22" customFormat="1">
      <c r="B7" s="39" t="s">
        <v>10</v>
      </c>
      <c r="C7" s="6">
        <v>4.0000000000000001E-3</v>
      </c>
      <c r="D7" s="6">
        <f>C7/2</f>
        <v>2E-3</v>
      </c>
      <c r="E7" s="6">
        <v>0.86950000000000005</v>
      </c>
      <c r="F7" s="10">
        <f t="shared" si="0"/>
        <v>3.8736501079913608E-3</v>
      </c>
      <c r="G7" s="25">
        <f>F7/C7</f>
        <v>0.9684125269978402</v>
      </c>
    </row>
    <row r="8" spans="2:8" s="22" customFormat="1">
      <c r="B8" s="26" t="s">
        <v>11</v>
      </c>
      <c r="C8" s="38">
        <v>2.5999999999999998E-4</v>
      </c>
      <c r="D8" s="38">
        <v>5.0000000000000002E-5</v>
      </c>
      <c r="E8" s="6">
        <v>4.0000000000000001E-3</v>
      </c>
      <c r="F8" s="10">
        <f t="shared" si="0"/>
        <v>5.8531317494600447E-5</v>
      </c>
      <c r="G8" s="25">
        <f t="shared" ref="G8:G12" si="1">F8/C8</f>
        <v>0.22512045190230942</v>
      </c>
    </row>
    <row r="9" spans="2:8" s="22" customFormat="1">
      <c r="B9" s="26" t="s">
        <v>12</v>
      </c>
      <c r="C9" s="41">
        <v>93.7</v>
      </c>
      <c r="D9" s="41">
        <v>39.4</v>
      </c>
      <c r="E9" s="6">
        <v>80</v>
      </c>
      <c r="F9" s="11">
        <f t="shared" si="0"/>
        <v>39.487688984881217</v>
      </c>
      <c r="G9" s="25">
        <f t="shared" si="1"/>
        <v>0.42142677678635238</v>
      </c>
    </row>
    <row r="10" spans="2:8" s="22" customFormat="1">
      <c r="B10" s="32" t="s">
        <v>13</v>
      </c>
      <c r="C10" s="40">
        <v>3.1600000000000003E-2</v>
      </c>
      <c r="D10" s="40">
        <v>2.7000000000000001E-3</v>
      </c>
      <c r="E10" s="6">
        <v>0.2</v>
      </c>
      <c r="F10" s="10">
        <f t="shared" si="0"/>
        <v>3.1261339092872572E-3</v>
      </c>
      <c r="G10" s="25">
        <f t="shared" si="1"/>
        <v>9.8928288268584075E-2</v>
      </c>
    </row>
    <row r="11" spans="2:8" s="22" customFormat="1">
      <c r="B11" s="32" t="s">
        <v>14</v>
      </c>
      <c r="C11" s="40">
        <v>4.4000000000000003E-3</v>
      </c>
      <c r="D11" s="40">
        <v>1.6515151515151499E-3</v>
      </c>
      <c r="E11" s="6">
        <v>0.04</v>
      </c>
      <c r="F11" s="10">
        <f t="shared" si="0"/>
        <v>1.7343412526997827E-3</v>
      </c>
      <c r="G11" s="25">
        <f t="shared" si="1"/>
        <v>0.39416846652267784</v>
      </c>
    </row>
    <row r="12" spans="2:8" s="22" customFormat="1" ht="12.95" thickBot="1">
      <c r="B12" s="27" t="s">
        <v>15</v>
      </c>
      <c r="C12" s="42">
        <v>6.5600000000000006E-2</v>
      </c>
      <c r="D12" s="42">
        <v>8.8000000000000005E-3</v>
      </c>
      <c r="E12" s="7">
        <v>0.4</v>
      </c>
      <c r="F12" s="12">
        <f t="shared" si="0"/>
        <v>9.644924406047516E-3</v>
      </c>
      <c r="G12" s="28">
        <f t="shared" si="1"/>
        <v>0.14702628667755357</v>
      </c>
    </row>
    <row r="13" spans="2:8" ht="12.95" thickTop="1"/>
    <row r="14" spans="2:8">
      <c r="B14" s="1" t="s">
        <v>16</v>
      </c>
    </row>
    <row r="15" spans="2:8">
      <c r="B15" s="1" t="s">
        <v>17</v>
      </c>
      <c r="E15" s="2"/>
    </row>
    <row r="16" spans="2:8">
      <c r="B16" s="20" t="s">
        <v>18</v>
      </c>
      <c r="C16" s="20"/>
      <c r="D16" s="20"/>
      <c r="E16" s="21"/>
      <c r="F16" s="20"/>
      <c r="G16" s="20"/>
    </row>
    <row r="22" spans="2:8">
      <c r="B22" s="1" t="s">
        <v>19</v>
      </c>
    </row>
    <row r="23" spans="2:8" ht="15.6">
      <c r="B23" s="1" t="s">
        <v>20</v>
      </c>
      <c r="D23" s="23">
        <f>F26*F29*(F30*F31)</f>
        <v>1.1091600000000001E-6</v>
      </c>
      <c r="E23" s="22"/>
      <c r="F23" s="22"/>
      <c r="G23" s="22"/>
    </row>
    <row r="24" spans="2:8">
      <c r="B24" s="1" t="s">
        <v>21</v>
      </c>
      <c r="D24" s="23">
        <f>F27*F28*(F30*F31)</f>
        <v>5.1243192000000005E-4</v>
      </c>
      <c r="E24" s="22"/>
      <c r="F24" s="22"/>
      <c r="G24" s="23"/>
    </row>
    <row r="26" spans="2:8" ht="50.1">
      <c r="B26" s="49" t="s">
        <v>22</v>
      </c>
      <c r="C26" s="50"/>
      <c r="D26" s="50"/>
      <c r="E26" s="50"/>
      <c r="F26" s="18">
        <v>9.9999999999999995E-8</v>
      </c>
      <c r="G26" s="16" t="s">
        <v>23</v>
      </c>
      <c r="H26" s="47" t="s">
        <v>24</v>
      </c>
    </row>
    <row r="27" spans="2:8" ht="24.95">
      <c r="B27" s="49" t="s">
        <v>25</v>
      </c>
      <c r="C27" s="50"/>
      <c r="D27" s="50"/>
      <c r="E27" s="50"/>
      <c r="F27" s="18">
        <f>0.000231/2.5</f>
        <v>9.2399999999999996E-5</v>
      </c>
      <c r="G27" s="16" t="s">
        <v>23</v>
      </c>
      <c r="H27" s="17" t="s">
        <v>51</v>
      </c>
    </row>
    <row r="28" spans="2:8" ht="24.95">
      <c r="B28" s="49" t="s">
        <v>27</v>
      </c>
      <c r="C28" s="50"/>
      <c r="D28" s="50"/>
      <c r="E28" s="50"/>
      <c r="F28" s="19">
        <v>4.7400000000000003E-3</v>
      </c>
      <c r="G28" s="16"/>
      <c r="H28" s="17" t="s">
        <v>28</v>
      </c>
    </row>
    <row r="29" spans="2:8" ht="42" customHeight="1">
      <c r="B29" s="49" t="s">
        <v>29</v>
      </c>
      <c r="C29" s="50"/>
      <c r="D29" s="50"/>
      <c r="E29" s="50"/>
      <c r="F29" s="19">
        <f>F28*2</f>
        <v>9.4800000000000006E-3</v>
      </c>
      <c r="G29" s="16"/>
      <c r="H29" s="17" t="s">
        <v>30</v>
      </c>
    </row>
    <row r="30" spans="2:8" ht="24.95">
      <c r="B30" s="49" t="s">
        <v>31</v>
      </c>
      <c r="C30" s="50"/>
      <c r="D30" s="50"/>
      <c r="E30" s="50"/>
      <c r="F30" s="19">
        <v>390</v>
      </c>
      <c r="G30" s="16" t="s">
        <v>32</v>
      </c>
      <c r="H30" s="17" t="s">
        <v>33</v>
      </c>
    </row>
    <row r="31" spans="2:8" ht="45" customHeight="1">
      <c r="B31" s="49" t="s">
        <v>34</v>
      </c>
      <c r="C31" s="50"/>
      <c r="D31" s="50"/>
      <c r="E31" s="50"/>
      <c r="F31" s="19">
        <v>3</v>
      </c>
      <c r="G31" s="16" t="s">
        <v>32</v>
      </c>
      <c r="H31" s="17" t="s">
        <v>35</v>
      </c>
    </row>
    <row r="32" spans="2:8">
      <c r="B32" s="1" t="s">
        <v>36</v>
      </c>
    </row>
    <row r="33" spans="2:7">
      <c r="B33" s="1" t="s">
        <v>37</v>
      </c>
    </row>
    <row r="35" spans="2:7" ht="12.95">
      <c r="B35" s="29"/>
      <c r="C35" s="29"/>
      <c r="D35" s="29"/>
      <c r="E35" s="2"/>
    </row>
    <row r="36" spans="2:7" ht="12.95">
      <c r="B36" s="29"/>
      <c r="C36" s="29"/>
      <c r="D36" s="29"/>
      <c r="G36" s="31"/>
    </row>
    <row r="37" spans="2:7" ht="12.95">
      <c r="B37" s="29"/>
      <c r="C37" s="29"/>
      <c r="D37" s="29"/>
      <c r="G37" s="31"/>
    </row>
    <row r="38" spans="2:7" ht="12.95">
      <c r="B38" s="29"/>
      <c r="C38" s="29"/>
      <c r="D38" s="30"/>
      <c r="F38" s="33"/>
      <c r="G38" s="31"/>
    </row>
    <row r="39" spans="2:7" ht="12.95">
      <c r="B39" s="29"/>
      <c r="C39" s="29"/>
      <c r="D39" s="30"/>
      <c r="F39" s="33"/>
      <c r="G39" s="31"/>
    </row>
    <row r="40" spans="2:7" ht="12.95">
      <c r="B40" s="29"/>
      <c r="C40" s="29"/>
      <c r="D40" s="30"/>
      <c r="F40" s="33"/>
      <c r="G40" s="31"/>
    </row>
    <row r="41" spans="2:7">
      <c r="B41" s="8"/>
      <c r="C41" s="8"/>
      <c r="D41" s="8"/>
      <c r="F41" s="34"/>
      <c r="G41" s="31"/>
    </row>
    <row r="42" spans="2:7">
      <c r="D42" s="8"/>
      <c r="F42" s="33"/>
      <c r="G42" s="31"/>
    </row>
    <row r="43" spans="2:7">
      <c r="G43" s="31"/>
    </row>
  </sheetData>
  <mergeCells count="7">
    <mergeCell ref="B31:E31"/>
    <mergeCell ref="B1:H1"/>
    <mergeCell ref="B26:E26"/>
    <mergeCell ref="B27:E27"/>
    <mergeCell ref="B28:E28"/>
    <mergeCell ref="B29:E29"/>
    <mergeCell ref="B30:E30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&amp;L&amp;"Arial,Bold"TARMAC&amp;C&amp;"Arial,Bold"
&amp;G&amp;R&amp;"Arial,Bold"BROOKSBY QUARRY</oddHeader>
    <oddFooter xml:space="preserve">&amp;L&amp;"Arial,Regular"TAR/BRO/JRC/20021/HRA
August 2023
&amp;"Arial,Italic"&amp;8&amp;F&amp;C&amp;G
</oddFooter>
  </headerFooter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B3D9-5CD1-4DF3-8DB1-8A889C81EDFF}">
  <sheetPr>
    <pageSetUpPr fitToPage="1"/>
  </sheetPr>
  <dimension ref="B1:H43"/>
  <sheetViews>
    <sheetView tabSelected="1" workbookViewId="0">
      <selection activeCell="E21" sqref="E21"/>
    </sheetView>
  </sheetViews>
  <sheetFormatPr defaultColWidth="9.140625" defaultRowHeight="12.6"/>
  <cols>
    <col min="1" max="1" width="2.42578125" style="1" customWidth="1"/>
    <col min="2" max="2" width="17.85546875" style="1" customWidth="1"/>
    <col min="3" max="3" width="28.42578125" style="1" customWidth="1"/>
    <col min="4" max="4" width="15" style="1" bestFit="1" customWidth="1"/>
    <col min="5" max="5" width="20.5703125" style="1" customWidth="1"/>
    <col min="6" max="6" width="18.85546875" style="1" customWidth="1"/>
    <col min="7" max="7" width="22.5703125" style="1" customWidth="1"/>
    <col min="8" max="8" width="81.85546875" style="1" customWidth="1"/>
    <col min="9" max="16384" width="9.140625" style="1"/>
  </cols>
  <sheetData>
    <row r="1" spans="2:8" ht="14.45" customHeight="1">
      <c r="B1" s="48" t="s">
        <v>52</v>
      </c>
      <c r="C1" s="48"/>
      <c r="D1" s="48"/>
      <c r="E1" s="48"/>
      <c r="F1" s="48"/>
      <c r="G1" s="48"/>
      <c r="H1" s="48"/>
    </row>
    <row r="2" spans="2:8" ht="12.95" thickBot="1"/>
    <row r="3" spans="2:8" ht="122.1" customHeight="1" thickTop="1" thickBot="1">
      <c r="B3" s="3" t="s">
        <v>1</v>
      </c>
      <c r="C3" s="4" t="s">
        <v>2</v>
      </c>
      <c r="D3" s="4" t="s">
        <v>3</v>
      </c>
      <c r="E3" s="4" t="s">
        <v>4</v>
      </c>
      <c r="F3" s="9" t="s">
        <v>5</v>
      </c>
      <c r="G3" s="5" t="s">
        <v>6</v>
      </c>
      <c r="H3" s="22"/>
    </row>
    <row r="4" spans="2:8" ht="12.95" thickTop="1">
      <c r="B4" s="35" t="s">
        <v>7</v>
      </c>
      <c r="C4" s="13">
        <v>6.0000000000000001E-3</v>
      </c>
      <c r="D4" s="37">
        <v>1.6000000000000001E-3</v>
      </c>
      <c r="E4" s="14">
        <f>0.05*2</f>
        <v>0.1</v>
      </c>
      <c r="F4" s="15">
        <f t="shared" ref="F4:F12" si="0">((E4*$F$26*$F$29*$F$30*$F$31)+($D4*$F$27*$F$28*$F$30*$F$31))/((($F$26*$F$29*$F$30*$F$31)+($F$27*$F$28*$F$30*$F$31)))</f>
        <v>1.6851211072664363E-3</v>
      </c>
      <c r="G4" s="25">
        <f>F4/C4</f>
        <v>0.28085351787773938</v>
      </c>
      <c r="H4" s="22"/>
    </row>
    <row r="5" spans="2:8">
      <c r="B5" s="24" t="s">
        <v>8</v>
      </c>
      <c r="C5" s="36">
        <v>1.9300000000000001E-3</v>
      </c>
      <c r="D5" s="36">
        <v>6.4999999999999997E-4</v>
      </c>
      <c r="E5" s="6">
        <f>0.05*2</f>
        <v>0.1</v>
      </c>
      <c r="F5" s="10">
        <f>((E5*$F$26*$F$29*$F$30*$F$31)+($D5*$F$27*$F$28*$F$30*$F$31))/((($F$26*$F$29*$F$30*$F$31)+($F$27*$F$28*$F$30*$F$31)))</f>
        <v>7.3594290657439439E-4</v>
      </c>
      <c r="G5" s="25">
        <f>F5/C5</f>
        <v>0.38131756817326135</v>
      </c>
      <c r="H5" s="22"/>
    </row>
    <row r="6" spans="2:8" s="22" customFormat="1">
      <c r="B6" s="26" t="s">
        <v>9</v>
      </c>
      <c r="C6" s="38">
        <v>1E-4</v>
      </c>
      <c r="D6" s="38">
        <v>4.0000000000000003E-5</v>
      </c>
      <c r="E6" s="6">
        <f>0.001*2</f>
        <v>2E-3</v>
      </c>
      <c r="F6" s="10">
        <f>((E6*$F$26*$F$29*$F$30*$F$31)+($D6*$F$27*$F$28*$F$30*$F$31))/((($F$26*$F$29*$F$30*$F$31)+($F$27*$F$28*$F$30*$F$31)))</f>
        <v>4.1695501730103807E-5</v>
      </c>
      <c r="G6" s="43">
        <f>F6/C6</f>
        <v>0.41695501730103807</v>
      </c>
    </row>
    <row r="7" spans="2:8" s="22" customFormat="1">
      <c r="B7" s="39" t="s">
        <v>10</v>
      </c>
      <c r="C7" s="6">
        <v>4.0000000000000001E-3</v>
      </c>
      <c r="D7" s="6">
        <f>C7/2</f>
        <v>2E-3</v>
      </c>
      <c r="E7" s="6">
        <f>0.8695*2</f>
        <v>1.7390000000000001</v>
      </c>
      <c r="F7" s="10">
        <f t="shared" si="0"/>
        <v>3.5025951557093428E-3</v>
      </c>
      <c r="G7" s="25">
        <f>F7/C7</f>
        <v>0.87564878892733566</v>
      </c>
    </row>
    <row r="8" spans="2:8" s="22" customFormat="1">
      <c r="B8" s="26" t="s">
        <v>11</v>
      </c>
      <c r="C8" s="38">
        <v>2.5999999999999998E-4</v>
      </c>
      <c r="D8" s="38">
        <v>5.0000000000000002E-5</v>
      </c>
      <c r="E8" s="6">
        <f>0.004*2</f>
        <v>8.0000000000000002E-3</v>
      </c>
      <c r="F8" s="10">
        <f t="shared" si="0"/>
        <v>5.6877162629757789E-5</v>
      </c>
      <c r="G8" s="25">
        <f t="shared" ref="G8:G12" si="1">F8/C8</f>
        <v>0.21875831780676075</v>
      </c>
    </row>
    <row r="9" spans="2:8" s="22" customFormat="1">
      <c r="B9" s="26" t="s">
        <v>12</v>
      </c>
      <c r="C9" s="41">
        <v>93.7</v>
      </c>
      <c r="D9" s="41">
        <v>39.4</v>
      </c>
      <c r="E9" s="6">
        <f>80*2</f>
        <v>160</v>
      </c>
      <c r="F9" s="11">
        <f t="shared" si="0"/>
        <v>39.504325259515568</v>
      </c>
      <c r="G9" s="25">
        <f t="shared" si="1"/>
        <v>0.42160432507487267</v>
      </c>
    </row>
    <row r="10" spans="2:8" s="22" customFormat="1">
      <c r="B10" s="32" t="s">
        <v>13</v>
      </c>
      <c r="C10" s="40">
        <v>3.1600000000000003E-2</v>
      </c>
      <c r="D10" s="40">
        <v>2.7000000000000001E-3</v>
      </c>
      <c r="E10" s="6">
        <f>0.2*2</f>
        <v>0.4</v>
      </c>
      <c r="F10" s="10">
        <f t="shared" si="0"/>
        <v>3.0436851211072661E-3</v>
      </c>
      <c r="G10" s="25">
        <f t="shared" si="1"/>
        <v>9.631914940212867E-2</v>
      </c>
    </row>
    <row r="11" spans="2:8" s="22" customFormat="1">
      <c r="B11" s="32" t="s">
        <v>14</v>
      </c>
      <c r="C11" s="40">
        <v>4.4000000000000003E-3</v>
      </c>
      <c r="D11" s="40">
        <v>1.6515151515151499E-3</v>
      </c>
      <c r="E11" s="6">
        <f>0.04*2</f>
        <v>0.08</v>
      </c>
      <c r="F11" s="10">
        <f t="shared" si="0"/>
        <v>1.719290657439445E-3</v>
      </c>
      <c r="G11" s="25">
        <f t="shared" si="1"/>
        <v>0.39074787669078292</v>
      </c>
    </row>
    <row r="12" spans="2:8" s="22" customFormat="1" ht="12.95" thickBot="1">
      <c r="B12" s="27" t="s">
        <v>15</v>
      </c>
      <c r="C12" s="42">
        <v>6.5600000000000006E-2</v>
      </c>
      <c r="D12" s="42">
        <v>8.8000000000000005E-3</v>
      </c>
      <c r="E12" s="7">
        <f>0.4*2</f>
        <v>0.8</v>
      </c>
      <c r="F12" s="12">
        <f t="shared" si="0"/>
        <v>9.4844290657439458E-3</v>
      </c>
      <c r="G12" s="28">
        <f t="shared" si="1"/>
        <v>0.14457971136804795</v>
      </c>
    </row>
    <row r="13" spans="2:8" ht="12.95" thickTop="1"/>
    <row r="14" spans="2:8">
      <c r="B14" s="1" t="s">
        <v>16</v>
      </c>
    </row>
    <row r="15" spans="2:8">
      <c r="B15" s="1" t="s">
        <v>17</v>
      </c>
      <c r="E15" s="2"/>
    </row>
    <row r="16" spans="2:8">
      <c r="B16" s="20" t="s">
        <v>18</v>
      </c>
      <c r="C16" s="20"/>
      <c r="D16" s="20"/>
      <c r="E16" s="21"/>
      <c r="F16" s="20"/>
      <c r="G16" s="20"/>
    </row>
    <row r="22" spans="2:8">
      <c r="B22" s="1" t="s">
        <v>19</v>
      </c>
    </row>
    <row r="23" spans="2:8" ht="15.6">
      <c r="B23" s="1" t="s">
        <v>20</v>
      </c>
      <c r="D23" s="23">
        <f>F26*F29*(F30*F31)</f>
        <v>1.1091600000000001E-6</v>
      </c>
      <c r="E23" s="22"/>
      <c r="F23" s="22"/>
      <c r="G23" s="22"/>
    </row>
    <row r="24" spans="2:8">
      <c r="B24" s="1" t="s">
        <v>21</v>
      </c>
      <c r="D24" s="23">
        <f>F27*F28*(F30*F31)</f>
        <v>1.2810798000000001E-3</v>
      </c>
      <c r="E24" s="22"/>
      <c r="F24" s="22"/>
      <c r="G24" s="23"/>
    </row>
    <row r="26" spans="2:8" ht="50.1">
      <c r="B26" s="49" t="s">
        <v>22</v>
      </c>
      <c r="C26" s="50"/>
      <c r="D26" s="50"/>
      <c r="E26" s="50"/>
      <c r="F26" s="18">
        <v>9.9999999999999995E-8</v>
      </c>
      <c r="G26" s="16" t="s">
        <v>23</v>
      </c>
      <c r="H26" s="47" t="s">
        <v>24</v>
      </c>
    </row>
    <row r="27" spans="2:8" ht="14.45">
      <c r="B27" s="49" t="s">
        <v>25</v>
      </c>
      <c r="C27" s="50"/>
      <c r="D27" s="50"/>
      <c r="E27" s="50"/>
      <c r="F27" s="18">
        <v>2.31E-4</v>
      </c>
      <c r="G27" s="16" t="s">
        <v>23</v>
      </c>
      <c r="H27" s="17" t="s">
        <v>26</v>
      </c>
    </row>
    <row r="28" spans="2:8" ht="24.95">
      <c r="B28" s="49" t="s">
        <v>27</v>
      </c>
      <c r="C28" s="50"/>
      <c r="D28" s="50"/>
      <c r="E28" s="50"/>
      <c r="F28" s="19">
        <v>4.7400000000000003E-3</v>
      </c>
      <c r="G28" s="16"/>
      <c r="H28" s="17" t="s">
        <v>28</v>
      </c>
    </row>
    <row r="29" spans="2:8" ht="42" customHeight="1">
      <c r="B29" s="49" t="s">
        <v>29</v>
      </c>
      <c r="C29" s="50"/>
      <c r="D29" s="50"/>
      <c r="E29" s="50"/>
      <c r="F29" s="19">
        <f>F28*2</f>
        <v>9.4800000000000006E-3</v>
      </c>
      <c r="G29" s="16"/>
      <c r="H29" s="17" t="s">
        <v>30</v>
      </c>
    </row>
    <row r="30" spans="2:8" ht="24.95">
      <c r="B30" s="49" t="s">
        <v>31</v>
      </c>
      <c r="C30" s="50"/>
      <c r="D30" s="50"/>
      <c r="E30" s="50"/>
      <c r="F30" s="19">
        <v>390</v>
      </c>
      <c r="G30" s="16" t="s">
        <v>32</v>
      </c>
      <c r="H30" s="17" t="s">
        <v>33</v>
      </c>
    </row>
    <row r="31" spans="2:8" ht="45" customHeight="1">
      <c r="B31" s="49" t="s">
        <v>34</v>
      </c>
      <c r="C31" s="50"/>
      <c r="D31" s="50"/>
      <c r="E31" s="50"/>
      <c r="F31" s="19">
        <v>3</v>
      </c>
      <c r="G31" s="16" t="s">
        <v>32</v>
      </c>
      <c r="H31" s="17" t="s">
        <v>35</v>
      </c>
    </row>
    <row r="32" spans="2:8">
      <c r="B32" s="1" t="s">
        <v>36</v>
      </c>
    </row>
    <row r="33" spans="2:7">
      <c r="B33" s="1" t="s">
        <v>37</v>
      </c>
    </row>
    <row r="35" spans="2:7" ht="12.95">
      <c r="B35" s="29"/>
      <c r="C35" s="29"/>
      <c r="D35" s="29"/>
      <c r="E35" s="2"/>
    </row>
    <row r="36" spans="2:7" ht="12.95">
      <c r="B36" s="29"/>
      <c r="C36" s="29"/>
      <c r="D36" s="29"/>
      <c r="G36" s="31"/>
    </row>
    <row r="37" spans="2:7" ht="12.95">
      <c r="B37" s="29"/>
      <c r="C37" s="29"/>
      <c r="D37" s="29"/>
      <c r="G37" s="31"/>
    </row>
    <row r="38" spans="2:7" ht="12.95">
      <c r="B38" s="29"/>
      <c r="C38" s="29"/>
      <c r="D38" s="30"/>
      <c r="F38" s="33"/>
      <c r="G38" s="31"/>
    </row>
    <row r="39" spans="2:7" ht="12.95">
      <c r="B39" s="29"/>
      <c r="C39" s="29"/>
      <c r="D39" s="30"/>
      <c r="F39" s="33"/>
      <c r="G39" s="31"/>
    </row>
    <row r="40" spans="2:7" ht="12.95">
      <c r="B40" s="29"/>
      <c r="C40" s="29"/>
      <c r="D40" s="30"/>
      <c r="F40" s="33"/>
      <c r="G40" s="31"/>
    </row>
    <row r="41" spans="2:7">
      <c r="B41" s="8"/>
      <c r="C41" s="8"/>
      <c r="D41" s="8"/>
      <c r="F41" s="34"/>
      <c r="G41" s="31"/>
    </row>
    <row r="42" spans="2:7">
      <c r="D42" s="8"/>
      <c r="F42" s="33"/>
      <c r="G42" s="31"/>
    </row>
    <row r="43" spans="2:7">
      <c r="G43" s="31"/>
    </row>
  </sheetData>
  <mergeCells count="7">
    <mergeCell ref="B31:E31"/>
    <mergeCell ref="B1:H1"/>
    <mergeCell ref="B26:E26"/>
    <mergeCell ref="B27:E27"/>
    <mergeCell ref="B28:E28"/>
    <mergeCell ref="B29:E29"/>
    <mergeCell ref="B30:E30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&amp;L&amp;"Arial,Bold"TARMAC&amp;C&amp;"Arial,Bold"
&amp;G&amp;R&amp;"Arial,Bold"BROOKSBY QUARRY</oddHeader>
    <oddFooter xml:space="preserve">&amp;L&amp;"Arial,Regular"TAR/BRO/JRC/20021/HRA
August 2023
&amp;"Arial,Italic"&amp;8&amp;F&amp;C&amp;G
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56E373D105EEC340838F4C20D6107928" ma:contentTypeVersion="47" ma:contentTypeDescription="Create a new document." ma:contentTypeScope="" ma:versionID="9a44f102b86b6aaefe3c3bd18a781b72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da21e935-9c4e-465c-9eca-732bd850eeb1" targetNamespace="http://schemas.microsoft.com/office/2006/metadata/properties" ma:root="true" ma:fieldsID="dd31eee7bb6ea247f77f15e875e4ef28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da21e935-9c4e-465c-9eca-732bd850eeb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AutoKeyPoints" minOccurs="0"/>
                <xsd:element ref="ns6:MediaServiceKeyPoints" minOccurs="0"/>
                <xsd:element ref="ns6:MediaServiceOCR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e935-9c4e-465c-9eca-732bd850e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51" nillable="true" ma:displayName="Tags" ma:internalName="MediaServiceAutoTags" ma:readOnly="true">
      <xsd:simpleType>
        <xsd:restriction base="dms:Text"/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5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5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2023-08-09T23:00:00+00:00</EAReceivedDate>
    <ga477587807b4e8dbd9d142e03c014fa xmlns="dbe221e7-66db-4bdb-a92c-aa517c005f15">
      <Terms xmlns="http://schemas.microsoft.com/office/infopath/2007/PartnerControls"/>
    </ga477587807b4e8dbd9d142e03c014fa>
    <lcf76f155ced4ddcb4097134ff3c332f xmlns="da21e935-9c4e-465c-9eca-732bd850eeb1">
      <Terms xmlns="http://schemas.microsoft.com/office/infopath/2007/PartnerControls"/>
    </lcf76f155ced4ddcb4097134ff3c332f>
    <PermitNumber xmlns="eebef177-55b5-4448-a5fb-28ea454417ee">EPR-KB3708TC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407975</OtherReference>
    <EventLink xmlns="5ffd8e36-f429-4edc-ab50-c5be84842779" xsi:nil="true"/>
    <Customer_x002f_OperatorName xmlns="eebef177-55b5-4448-a5fb-28ea454417ee">Tarmac Trading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2023-08-09T23:00:00+00:00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EPR/KB3708TC/A001</EPRNumber>
    <FacilityAddressPostcode xmlns="eebef177-55b5-4448-a5fb-28ea454417ee">LE14 2LJ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Tarmac Trading Limited</ExternalAuthor>
    <SiteName xmlns="eebef177-55b5-4448-a5fb-28ea454417ee">Brooksby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Brooksby Quarry Melton Road Brooksby Leicestershire, LE14 2LJ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13C1C-4EDC-4367-90C8-AA6D5C969AAC}"/>
</file>

<file path=customXml/itemProps2.xml><?xml version="1.0" encoding="utf-8"?>
<ds:datastoreItem xmlns:ds="http://schemas.openxmlformats.org/officeDocument/2006/customXml" ds:itemID="{439EB0E3-6AFB-465E-87F0-624CCCA3369B}"/>
</file>

<file path=customXml/itemProps3.xml><?xml version="1.0" encoding="utf-8"?>
<ds:datastoreItem xmlns:ds="http://schemas.openxmlformats.org/officeDocument/2006/customXml" ds:itemID="{48F43300-538E-4277-B06F-2F1259941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Greenwood</dc:creator>
  <cp:keywords/>
  <dc:description/>
  <cp:lastModifiedBy/>
  <cp:revision/>
  <dcterms:created xsi:type="dcterms:W3CDTF">2015-09-25T15:51:42Z</dcterms:created>
  <dcterms:modified xsi:type="dcterms:W3CDTF">2025-02-25T09:13:39Z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0x0101000E9AD557692E154F9D2697C8C6432F760056E373D105EEC340838F4C20D6107928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</Properties>
</file>