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tonsplc.sharepoint.com/sites/QSHE-OnSite/EMS/EMS PPC/Permit FP3132PH/V008 - Permit Variation/RQP Tool &amp; Documents/Submission Documents/"/>
    </mc:Choice>
  </mc:AlternateContent>
  <xr:revisionPtr revIDLastSave="10" documentId="8_{D1AB5A6D-0CF1-4DFB-AD11-BC485CF5C7F7}" xr6:coauthVersionLast="47" xr6:coauthVersionMax="47" xr10:uidLastSave="{F0C5D862-74D3-490D-90E3-532641C50C86}"/>
  <bookViews>
    <workbookView xWindow="22932" yWindow="-108" windowWidth="23256" windowHeight="12576" xr2:uid="{75153F4D-2EC0-499A-9EB6-0A61D79AE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8" i="1" l="1"/>
  <c r="M128" i="1"/>
  <c r="K128" i="1"/>
  <c r="J128" i="1"/>
  <c r="F128" i="1"/>
  <c r="E128" i="1"/>
  <c r="C128" i="1"/>
  <c r="B128" i="1"/>
  <c r="N127" i="1"/>
  <c r="M127" i="1"/>
  <c r="K127" i="1"/>
  <c r="J127" i="1"/>
  <c r="F127" i="1"/>
  <c r="E127" i="1"/>
  <c r="C127" i="1"/>
  <c r="B127" i="1"/>
  <c r="N126" i="1"/>
  <c r="M126" i="1"/>
  <c r="K126" i="1"/>
  <c r="J126" i="1"/>
  <c r="F126" i="1"/>
  <c r="E126" i="1"/>
  <c r="C126" i="1"/>
  <c r="B126" i="1"/>
  <c r="N125" i="1"/>
  <c r="M125" i="1"/>
  <c r="K125" i="1"/>
  <c r="J125" i="1"/>
  <c r="F125" i="1"/>
  <c r="E125" i="1"/>
  <c r="C125" i="1"/>
  <c r="B125" i="1"/>
  <c r="N124" i="1"/>
  <c r="P124" i="1" s="1"/>
  <c r="M124" i="1"/>
  <c r="K124" i="1"/>
  <c r="J124" i="1"/>
  <c r="F124" i="1"/>
  <c r="E124" i="1"/>
  <c r="C124" i="1"/>
  <c r="B124" i="1"/>
  <c r="M123" i="1"/>
  <c r="J123" i="1"/>
  <c r="E123" i="1"/>
  <c r="B123" i="1"/>
  <c r="N121" i="1"/>
  <c r="M121" i="1"/>
  <c r="K121" i="1"/>
  <c r="J121" i="1"/>
  <c r="F121" i="1"/>
  <c r="E121" i="1"/>
  <c r="C121" i="1"/>
  <c r="B121" i="1"/>
  <c r="N120" i="1"/>
  <c r="M120" i="1"/>
  <c r="K120" i="1"/>
  <c r="J120" i="1"/>
  <c r="F120" i="1"/>
  <c r="E120" i="1"/>
  <c r="C120" i="1"/>
  <c r="B120" i="1"/>
  <c r="N119" i="1"/>
  <c r="M119" i="1"/>
  <c r="K119" i="1"/>
  <c r="J119" i="1"/>
  <c r="F119" i="1"/>
  <c r="E119" i="1"/>
  <c r="C119" i="1"/>
  <c r="B119" i="1"/>
  <c r="N118" i="1"/>
  <c r="M118" i="1"/>
  <c r="K118" i="1"/>
  <c r="J118" i="1"/>
  <c r="F118" i="1"/>
  <c r="E118" i="1"/>
  <c r="C118" i="1"/>
  <c r="B118" i="1"/>
  <c r="P117" i="1"/>
  <c r="N117" i="1"/>
  <c r="M117" i="1"/>
  <c r="K117" i="1"/>
  <c r="J117" i="1"/>
  <c r="F117" i="1"/>
  <c r="E117" i="1"/>
  <c r="C117" i="1"/>
  <c r="B117" i="1"/>
  <c r="M116" i="1"/>
  <c r="J116" i="1"/>
  <c r="E116" i="1"/>
  <c r="B116" i="1"/>
  <c r="M114" i="1"/>
  <c r="J114" i="1"/>
  <c r="E114" i="1"/>
  <c r="B114" i="1"/>
  <c r="K112" i="1"/>
  <c r="J112" i="1"/>
  <c r="C112" i="1"/>
  <c r="B112" i="1"/>
  <c r="K111" i="1"/>
  <c r="J111" i="1"/>
  <c r="C111" i="1"/>
  <c r="B111" i="1"/>
  <c r="K110" i="1"/>
  <c r="J110" i="1"/>
  <c r="C110" i="1"/>
  <c r="B110" i="1"/>
  <c r="J108" i="1"/>
  <c r="B108" i="1"/>
  <c r="J107" i="1"/>
  <c r="B107" i="1"/>
  <c r="J106" i="1"/>
  <c r="B106" i="1"/>
  <c r="N102" i="1"/>
  <c r="M102" i="1"/>
  <c r="K102" i="1"/>
  <c r="J102" i="1"/>
  <c r="F102" i="1"/>
  <c r="E102" i="1"/>
  <c r="C102" i="1"/>
  <c r="B102" i="1"/>
  <c r="N101" i="1"/>
  <c r="M101" i="1"/>
  <c r="K101" i="1"/>
  <c r="J101" i="1"/>
  <c r="F101" i="1"/>
  <c r="E101" i="1"/>
  <c r="C101" i="1"/>
  <c r="B101" i="1"/>
  <c r="N100" i="1"/>
  <c r="M100" i="1"/>
  <c r="K100" i="1"/>
  <c r="J100" i="1"/>
  <c r="F100" i="1"/>
  <c r="E100" i="1"/>
  <c r="C100" i="1"/>
  <c r="B100" i="1"/>
  <c r="N99" i="1"/>
  <c r="M99" i="1"/>
  <c r="K99" i="1"/>
  <c r="J99" i="1"/>
  <c r="F99" i="1"/>
  <c r="E99" i="1"/>
  <c r="C99" i="1"/>
  <c r="B99" i="1"/>
  <c r="P98" i="1"/>
  <c r="N98" i="1"/>
  <c r="M98" i="1"/>
  <c r="K98" i="1"/>
  <c r="J98" i="1"/>
  <c r="F98" i="1"/>
  <c r="E98" i="1"/>
  <c r="C98" i="1"/>
  <c r="B98" i="1"/>
  <c r="M97" i="1"/>
  <c r="J97" i="1"/>
  <c r="E97" i="1"/>
  <c r="B97" i="1"/>
  <c r="N95" i="1"/>
  <c r="M95" i="1"/>
  <c r="K95" i="1"/>
  <c r="J95" i="1"/>
  <c r="F95" i="1"/>
  <c r="E95" i="1"/>
  <c r="C95" i="1"/>
  <c r="B95" i="1"/>
  <c r="N94" i="1"/>
  <c r="M94" i="1"/>
  <c r="K94" i="1"/>
  <c r="J94" i="1"/>
  <c r="F94" i="1"/>
  <c r="E94" i="1"/>
  <c r="C94" i="1"/>
  <c r="B94" i="1"/>
  <c r="N93" i="1"/>
  <c r="M93" i="1"/>
  <c r="K93" i="1"/>
  <c r="J93" i="1"/>
  <c r="F93" i="1"/>
  <c r="E93" i="1"/>
  <c r="C93" i="1"/>
  <c r="U37" i="1" s="1"/>
  <c r="B93" i="1"/>
  <c r="N92" i="1"/>
  <c r="M92" i="1"/>
  <c r="K92" i="1"/>
  <c r="J92" i="1"/>
  <c r="F92" i="1"/>
  <c r="E92" i="1"/>
  <c r="C92" i="1"/>
  <c r="B92" i="1"/>
  <c r="P91" i="1"/>
  <c r="N91" i="1"/>
  <c r="M91" i="1"/>
  <c r="K91" i="1"/>
  <c r="J91" i="1"/>
  <c r="F91" i="1"/>
  <c r="E91" i="1"/>
  <c r="C91" i="1"/>
  <c r="B91" i="1"/>
  <c r="M90" i="1"/>
  <c r="J90" i="1"/>
  <c r="E90" i="1"/>
  <c r="B90" i="1"/>
  <c r="M88" i="1"/>
  <c r="J88" i="1"/>
  <c r="E88" i="1"/>
  <c r="B88" i="1"/>
  <c r="K86" i="1"/>
  <c r="J86" i="1"/>
  <c r="C86" i="1"/>
  <c r="B86" i="1"/>
  <c r="K85" i="1"/>
  <c r="J85" i="1"/>
  <c r="C85" i="1"/>
  <c r="B85" i="1"/>
  <c r="K84" i="1"/>
  <c r="J84" i="1"/>
  <c r="C84" i="1"/>
  <c r="B84" i="1"/>
  <c r="J82" i="1"/>
  <c r="B82" i="1"/>
  <c r="J81" i="1"/>
  <c r="B81" i="1"/>
  <c r="J80" i="1"/>
  <c r="B80" i="1"/>
  <c r="N76" i="1"/>
  <c r="M76" i="1"/>
  <c r="K76" i="1"/>
  <c r="J76" i="1"/>
  <c r="F76" i="1"/>
  <c r="E76" i="1"/>
  <c r="C76" i="1"/>
  <c r="B76" i="1"/>
  <c r="N75" i="1"/>
  <c r="M75" i="1"/>
  <c r="K75" i="1"/>
  <c r="J75" i="1"/>
  <c r="F75" i="1"/>
  <c r="E75" i="1"/>
  <c r="C75" i="1"/>
  <c r="B75" i="1"/>
  <c r="N74" i="1"/>
  <c r="M74" i="1"/>
  <c r="K74" i="1"/>
  <c r="J74" i="1"/>
  <c r="F74" i="1"/>
  <c r="E74" i="1"/>
  <c r="C74" i="1"/>
  <c r="B74" i="1"/>
  <c r="N73" i="1"/>
  <c r="M73" i="1"/>
  <c r="K73" i="1"/>
  <c r="J73" i="1"/>
  <c r="F73" i="1"/>
  <c r="E73" i="1"/>
  <c r="C73" i="1"/>
  <c r="B73" i="1"/>
  <c r="N72" i="1"/>
  <c r="P72" i="1" s="1"/>
  <c r="M72" i="1"/>
  <c r="K72" i="1"/>
  <c r="J72" i="1"/>
  <c r="F72" i="1"/>
  <c r="E72" i="1"/>
  <c r="C72" i="1"/>
  <c r="B72" i="1"/>
  <c r="M71" i="1"/>
  <c r="J71" i="1"/>
  <c r="E71" i="1"/>
  <c r="B71" i="1"/>
  <c r="N69" i="1"/>
  <c r="M69" i="1"/>
  <c r="K69" i="1"/>
  <c r="J69" i="1"/>
  <c r="F69" i="1"/>
  <c r="E69" i="1"/>
  <c r="C69" i="1"/>
  <c r="B69" i="1"/>
  <c r="N68" i="1"/>
  <c r="M68" i="1"/>
  <c r="K68" i="1"/>
  <c r="J68" i="1"/>
  <c r="F68" i="1"/>
  <c r="E68" i="1"/>
  <c r="C68" i="1"/>
  <c r="B68" i="1"/>
  <c r="N67" i="1"/>
  <c r="M67" i="1"/>
  <c r="K67" i="1"/>
  <c r="J67" i="1"/>
  <c r="F67" i="1"/>
  <c r="E67" i="1"/>
  <c r="C67" i="1"/>
  <c r="B67" i="1"/>
  <c r="N66" i="1"/>
  <c r="M66" i="1"/>
  <c r="K66" i="1"/>
  <c r="J66" i="1"/>
  <c r="F66" i="1"/>
  <c r="E66" i="1"/>
  <c r="C66" i="1"/>
  <c r="B66" i="1"/>
  <c r="N65" i="1"/>
  <c r="P65" i="1" s="1"/>
  <c r="M65" i="1"/>
  <c r="K65" i="1"/>
  <c r="J65" i="1"/>
  <c r="F65" i="1"/>
  <c r="E65" i="1"/>
  <c r="C65" i="1"/>
  <c r="B65" i="1"/>
  <c r="M64" i="1"/>
  <c r="J64" i="1"/>
  <c r="E64" i="1"/>
  <c r="B64" i="1"/>
  <c r="M62" i="1"/>
  <c r="J62" i="1"/>
  <c r="E62" i="1"/>
  <c r="B62" i="1"/>
  <c r="K60" i="1"/>
  <c r="J60" i="1"/>
  <c r="C60" i="1"/>
  <c r="B60" i="1"/>
  <c r="K59" i="1"/>
  <c r="J59" i="1"/>
  <c r="C59" i="1"/>
  <c r="B59" i="1"/>
  <c r="K58" i="1"/>
  <c r="J58" i="1"/>
  <c r="C58" i="1"/>
  <c r="B58" i="1"/>
  <c r="J56" i="1"/>
  <c r="B56" i="1"/>
  <c r="J55" i="1"/>
  <c r="B55" i="1"/>
  <c r="J54" i="1"/>
  <c r="B54" i="1"/>
  <c r="AH48" i="1"/>
  <c r="AJ48" i="1" s="1"/>
  <c r="AL48" i="1" s="1"/>
  <c r="AG48" i="1"/>
  <c r="AE48" i="1"/>
  <c r="AD48" i="1"/>
  <c r="X48" i="1"/>
  <c r="Z48" i="1" s="1"/>
  <c r="W48" i="1"/>
  <c r="U48" i="1"/>
  <c r="T48" i="1"/>
  <c r="AG47" i="1"/>
  <c r="AD47" i="1"/>
  <c r="W47" i="1"/>
  <c r="T47" i="1"/>
  <c r="AH46" i="1"/>
  <c r="AJ46" i="1" s="1"/>
  <c r="AG46" i="1"/>
  <c r="AE46" i="1"/>
  <c r="AD46" i="1"/>
  <c r="X46" i="1"/>
  <c r="W46" i="1"/>
  <c r="U46" i="1"/>
  <c r="Z46" i="1" s="1"/>
  <c r="T46" i="1"/>
  <c r="P46" i="1"/>
  <c r="AG45" i="1"/>
  <c r="AD45" i="1"/>
  <c r="W45" i="1"/>
  <c r="T45" i="1"/>
  <c r="AG43" i="1"/>
  <c r="AD43" i="1"/>
  <c r="W43" i="1"/>
  <c r="T43" i="1"/>
  <c r="AE41" i="1"/>
  <c r="AD41" i="1"/>
  <c r="U41" i="1"/>
  <c r="T41" i="1"/>
  <c r="AH39" i="1"/>
  <c r="AJ39" i="1" s="1"/>
  <c r="AL39" i="1" s="1"/>
  <c r="AG39" i="1"/>
  <c r="AE39" i="1"/>
  <c r="AD39" i="1"/>
  <c r="X39" i="1"/>
  <c r="W39" i="1"/>
  <c r="U39" i="1"/>
  <c r="Z39" i="1" s="1"/>
  <c r="T39" i="1"/>
  <c r="P39" i="1"/>
  <c r="AG38" i="1"/>
  <c r="AD38" i="1"/>
  <c r="W38" i="1"/>
  <c r="T38" i="1"/>
  <c r="AH37" i="1"/>
  <c r="AJ37" i="1" s="1"/>
  <c r="AG37" i="1"/>
  <c r="AE37" i="1"/>
  <c r="AD37" i="1"/>
  <c r="X37" i="1"/>
  <c r="Z37" i="1" s="1"/>
  <c r="W37" i="1"/>
  <c r="T37" i="1"/>
  <c r="AG36" i="1"/>
  <c r="AD36" i="1"/>
  <c r="W36" i="1"/>
  <c r="T36" i="1"/>
  <c r="AG34" i="1"/>
  <c r="AD34" i="1"/>
  <c r="W34" i="1"/>
  <c r="T34" i="1"/>
  <c r="AE32" i="1"/>
  <c r="AD32" i="1"/>
  <c r="U32" i="1"/>
  <c r="T32" i="1"/>
  <c r="AJ30" i="1"/>
  <c r="X30" i="1"/>
  <c r="Z30" i="1" s="1"/>
  <c r="AL30" i="1" s="1"/>
  <c r="U30" i="1"/>
  <c r="AJ28" i="1"/>
  <c r="AH28" i="1"/>
  <c r="AG28" i="1"/>
  <c r="AE28" i="1"/>
  <c r="AD28" i="1"/>
  <c r="X28" i="1"/>
  <c r="Z28" i="1" s="1"/>
  <c r="W28" i="1"/>
  <c r="U28" i="1"/>
  <c r="T28" i="1"/>
  <c r="AG27" i="1"/>
  <c r="AD27" i="1"/>
  <c r="W27" i="1"/>
  <c r="T27" i="1"/>
  <c r="AG25" i="1"/>
  <c r="AD25" i="1"/>
  <c r="W25" i="1"/>
  <c r="T25" i="1"/>
  <c r="N24" i="1"/>
  <c r="M24" i="1"/>
  <c r="K24" i="1"/>
  <c r="J24" i="1"/>
  <c r="F24" i="1"/>
  <c r="E24" i="1"/>
  <c r="C24" i="1"/>
  <c r="B24" i="1"/>
  <c r="AE23" i="1"/>
  <c r="AD23" i="1"/>
  <c r="U23" i="1"/>
  <c r="T23" i="1"/>
  <c r="N23" i="1"/>
  <c r="M23" i="1"/>
  <c r="K23" i="1"/>
  <c r="J23" i="1"/>
  <c r="F23" i="1"/>
  <c r="E23" i="1"/>
  <c r="C23" i="1"/>
  <c r="B23" i="1"/>
  <c r="N22" i="1"/>
  <c r="M22" i="1"/>
  <c r="K22" i="1"/>
  <c r="J22" i="1"/>
  <c r="F22" i="1"/>
  <c r="E22" i="1"/>
  <c r="C22" i="1"/>
  <c r="B22" i="1"/>
  <c r="AJ21" i="1"/>
  <c r="AL21" i="1" s="1"/>
  <c r="Z21" i="1"/>
  <c r="X21" i="1"/>
  <c r="U21" i="1"/>
  <c r="N21" i="1"/>
  <c r="M21" i="1"/>
  <c r="K21" i="1"/>
  <c r="J21" i="1"/>
  <c r="F21" i="1"/>
  <c r="E21" i="1"/>
  <c r="C21" i="1"/>
  <c r="B21" i="1"/>
  <c r="N20" i="1"/>
  <c r="P20" i="1" s="1"/>
  <c r="M20" i="1"/>
  <c r="K20" i="1"/>
  <c r="J20" i="1"/>
  <c r="F20" i="1"/>
  <c r="E20" i="1"/>
  <c r="C20" i="1"/>
  <c r="B20" i="1"/>
  <c r="AJ19" i="1"/>
  <c r="AU9" i="1" s="1"/>
  <c r="X19" i="1"/>
  <c r="Z19" i="1" s="1"/>
  <c r="U19" i="1"/>
  <c r="M19" i="1"/>
  <c r="J19" i="1"/>
  <c r="E19" i="1"/>
  <c r="B19" i="1"/>
  <c r="N17" i="1"/>
  <c r="M17" i="1"/>
  <c r="K17" i="1"/>
  <c r="J17" i="1"/>
  <c r="F17" i="1"/>
  <c r="E17" i="1"/>
  <c r="C17" i="1"/>
  <c r="B17" i="1"/>
  <c r="N16" i="1"/>
  <c r="M16" i="1"/>
  <c r="K16" i="1"/>
  <c r="J16" i="1"/>
  <c r="F16" i="1"/>
  <c r="E16" i="1"/>
  <c r="C16" i="1"/>
  <c r="B16" i="1"/>
  <c r="N15" i="1"/>
  <c r="M15" i="1"/>
  <c r="K15" i="1"/>
  <c r="P13" i="1" s="1"/>
  <c r="J15" i="1"/>
  <c r="F15" i="1"/>
  <c r="E15" i="1"/>
  <c r="C15" i="1"/>
  <c r="B15" i="1"/>
  <c r="N14" i="1"/>
  <c r="M14" i="1"/>
  <c r="K14" i="1"/>
  <c r="J14" i="1"/>
  <c r="F14" i="1"/>
  <c r="E14" i="1"/>
  <c r="C14" i="1"/>
  <c r="B14" i="1"/>
  <c r="N13" i="1"/>
  <c r="M13" i="1"/>
  <c r="K13" i="1"/>
  <c r="J13" i="1"/>
  <c r="F13" i="1"/>
  <c r="E13" i="1"/>
  <c r="C13" i="1"/>
  <c r="B13" i="1"/>
  <c r="AH12" i="1"/>
  <c r="AJ12" i="1" s="1"/>
  <c r="AL12" i="1" s="1"/>
  <c r="AG12" i="1"/>
  <c r="AE12" i="1"/>
  <c r="AD12" i="1"/>
  <c r="X12" i="1"/>
  <c r="Z12" i="1" s="1"/>
  <c r="W12" i="1"/>
  <c r="U12" i="1"/>
  <c r="T12" i="1"/>
  <c r="M12" i="1"/>
  <c r="J12" i="1"/>
  <c r="E12" i="1"/>
  <c r="B12" i="1"/>
  <c r="AG11" i="1"/>
  <c r="AD11" i="1"/>
  <c r="W11" i="1"/>
  <c r="T11" i="1"/>
  <c r="AU10" i="1"/>
  <c r="AH10" i="1"/>
  <c r="AG10" i="1"/>
  <c r="AE10" i="1"/>
  <c r="AJ10" i="1" s="1"/>
  <c r="AD10" i="1"/>
  <c r="X10" i="1"/>
  <c r="Z10" i="1" s="1"/>
  <c r="W10" i="1"/>
  <c r="U10" i="1"/>
  <c r="T10" i="1"/>
  <c r="M10" i="1"/>
  <c r="J10" i="1"/>
  <c r="E10" i="1"/>
  <c r="B10" i="1"/>
  <c r="AG9" i="1"/>
  <c r="AD9" i="1"/>
  <c r="W9" i="1"/>
  <c r="T9" i="1"/>
  <c r="K8" i="1"/>
  <c r="J8" i="1"/>
  <c r="C8" i="1"/>
  <c r="B8" i="1"/>
  <c r="AE7" i="1"/>
  <c r="AD7" i="1"/>
  <c r="U7" i="1"/>
  <c r="T7" i="1"/>
  <c r="K7" i="1"/>
  <c r="J7" i="1"/>
  <c r="C7" i="1"/>
  <c r="B7" i="1"/>
  <c r="K6" i="1"/>
  <c r="J6" i="1"/>
  <c r="C6" i="1"/>
  <c r="B6" i="1"/>
  <c r="J4" i="1"/>
  <c r="B4" i="1"/>
  <c r="J3" i="1"/>
  <c r="B3" i="1"/>
  <c r="J2" i="1"/>
  <c r="B2" i="1"/>
  <c r="AL28" i="1" l="1"/>
  <c r="AW10" i="1" s="1"/>
  <c r="AL10" i="1"/>
  <c r="AW8" i="1" s="1"/>
  <c r="AU8" i="1"/>
  <c r="AU14" i="1" s="1"/>
  <c r="AU12" i="1"/>
  <c r="AL46" i="1"/>
  <c r="AW12" i="1" s="1"/>
  <c r="AU11" i="1"/>
  <c r="AL37" i="1"/>
  <c r="AW11" i="1" s="1"/>
  <c r="AL19" i="1"/>
  <c r="AW9" i="1" s="1"/>
  <c r="AW14" i="1" l="1"/>
</calcChain>
</file>

<file path=xl/sharedStrings.xml><?xml version="1.0" encoding="utf-8"?>
<sst xmlns="http://schemas.openxmlformats.org/spreadsheetml/2006/main" count="172" uniqueCount="67">
  <si>
    <t>Current Discharge</t>
  </si>
  <si>
    <t>Proposed Discharge at Max 2500m3</t>
  </si>
  <si>
    <t>Upstream</t>
  </si>
  <si>
    <t>Downstream</t>
  </si>
  <si>
    <t>Mean Quality</t>
  </si>
  <si>
    <t>Change</t>
  </si>
  <si>
    <t>Change v Original</t>
  </si>
  <si>
    <t>Ammoniacal Nitrogen</t>
  </si>
  <si>
    <t>BOD</t>
  </si>
  <si>
    <t>pH</t>
  </si>
  <si>
    <t>Temperature</t>
  </si>
  <si>
    <t>Total Nitrogen</t>
  </si>
  <si>
    <t>Name of determinand</t>
  </si>
  <si>
    <t>%age Change overall</t>
  </si>
  <si>
    <t>INPUT DATA</t>
  </si>
  <si>
    <t>RESULTS</t>
  </si>
  <si>
    <t>UPSTREAM RIVER DATA</t>
  </si>
  <si>
    <t>RIVER DOWNSTREAM OF DISCHARGE</t>
  </si>
  <si>
    <t>Mean quality</t>
  </si>
  <si>
    <t xml:space="preserve"> 3.14 </t>
  </si>
  <si>
    <t xml:space="preserve"> 3.15 </t>
  </si>
  <si>
    <t>DISCHARGE DATA</t>
  </si>
  <si>
    <t>DISCHARGE QUALITY</t>
  </si>
  <si>
    <t xml:space="preserve">Mean quality </t>
  </si>
  <si>
    <t xml:space="preserve"> 3.00 </t>
  </si>
  <si>
    <t xml:space="preserve"> 3.03 </t>
  </si>
  <si>
    <t>MASS BALANCE CALCULATION: MONTE CARLO METHOD</t>
  </si>
  <si>
    <t>Version 2.5</t>
  </si>
  <si>
    <t>Calculations done on 28/11/2024 at 14.45</t>
  </si>
  <si>
    <t>Calculations done on 28/11/2024 at 14.52</t>
  </si>
  <si>
    <t>Name of discharge</t>
  </si>
  <si>
    <t>Muntons Trade Effluent - Current Data</t>
  </si>
  <si>
    <t>Muntons Trade Effluent - Current Maximum Discharge (2500m3/24hr)</t>
  </si>
  <si>
    <t>Name of river</t>
  </si>
  <si>
    <t>River Gipping</t>
  </si>
  <si>
    <t>Mean flow</t>
  </si>
  <si>
    <t xml:space="preserve"> 0.63 </t>
  </si>
  <si>
    <t xml:space="preserve"> 3.16 </t>
  </si>
  <si>
    <t>95% exceedence flow</t>
  </si>
  <si>
    <t xml:space="preserve"> 0.09 </t>
  </si>
  <si>
    <t>Standard deviation of quality</t>
  </si>
  <si>
    <t xml:space="preserve"> 2.10 </t>
  </si>
  <si>
    <t xml:space="preserve"> 2.00 </t>
  </si>
  <si>
    <t>90-percentile quality</t>
  </si>
  <si>
    <t xml:space="preserve"> 5.53 </t>
  </si>
  <si>
    <t xml:space="preserve"> 5.39 </t>
  </si>
  <si>
    <t xml:space="preserve"> 2.17 </t>
  </si>
  <si>
    <t>95-percentile quality</t>
  </si>
  <si>
    <t xml:space="preserve"> 7.05 </t>
  </si>
  <si>
    <t xml:space="preserve"> 6.94 </t>
  </si>
  <si>
    <t xml:space="preserve">             90-percentile</t>
  </si>
  <si>
    <t xml:space="preserve"> 5.75 </t>
  </si>
  <si>
    <t>99-percentile quality</t>
  </si>
  <si>
    <t xml:space="preserve"> 10.13 </t>
  </si>
  <si>
    <t xml:space="preserve"> 9.82 </t>
  </si>
  <si>
    <t xml:space="preserve">Mean flow </t>
  </si>
  <si>
    <t xml:space="preserve"> 0.02 </t>
  </si>
  <si>
    <t xml:space="preserve"> 0.03 </t>
  </si>
  <si>
    <t>Standard deviation of flow</t>
  </si>
  <si>
    <t xml:space="preserve"> 0.00 </t>
  </si>
  <si>
    <t xml:space="preserve"> 0.82 </t>
  </si>
  <si>
    <t xml:space="preserve"> 4.52 </t>
  </si>
  <si>
    <t xml:space="preserve"> 5.35 </t>
  </si>
  <si>
    <t xml:space="preserve">   ... or 95-percentile</t>
  </si>
  <si>
    <t xml:space="preserve"> 4.50 </t>
  </si>
  <si>
    <t>99.5-percentile quality</t>
  </si>
  <si>
    <t xml:space="preserve"> 5.60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</si>
</sst>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2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/>
    <xf numFmtId="10" fontId="3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5" fillId="0" borderId="5" xfId="0" applyFont="1" applyBorder="1"/>
    <xf numFmtId="0" fontId="5" fillId="2" borderId="0" xfId="0" applyFont="1" applyFill="1"/>
    <xf numFmtId="0" fontId="4" fillId="2" borderId="6" xfId="0" applyFont="1" applyFill="1" applyBorder="1"/>
    <xf numFmtId="0" fontId="6" fillId="0" borderId="0" xfId="0" applyFont="1"/>
    <xf numFmtId="0" fontId="6" fillId="2" borderId="0" xfId="0" applyFont="1" applyFill="1"/>
    <xf numFmtId="0" fontId="4" fillId="0" borderId="5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10" fontId="3" fillId="0" borderId="0" xfId="0" applyNumberFormat="1" applyFont="1" applyAlignment="1">
      <alignment horizontal="right"/>
    </xf>
    <xf numFmtId="10" fontId="0" fillId="0" borderId="0" xfId="0" applyNumberFormat="1"/>
    <xf numFmtId="0" fontId="3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0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9973-74CC-429A-BEA9-5FC7A63A7582}">
  <dimension ref="A1:AX130"/>
  <sheetViews>
    <sheetView tabSelected="1" topLeftCell="A12" workbookViewId="0">
      <selection activeCell="K110" sqref="K110"/>
    </sheetView>
  </sheetViews>
  <sheetFormatPr defaultRowHeight="15" x14ac:dyDescent="0.25"/>
  <cols>
    <col min="1" max="1" width="2.7109375" customWidth="1"/>
    <col min="2" max="2" width="28.7109375" customWidth="1"/>
    <col min="3" max="3" width="6.5703125" customWidth="1"/>
    <col min="4" max="4" width="2.7109375" customWidth="1"/>
    <col min="5" max="5" width="28.140625" customWidth="1"/>
    <col min="6" max="6" width="6.5703125" customWidth="1"/>
    <col min="7" max="9" width="2.7109375" customWidth="1"/>
    <col min="10" max="10" width="28.7109375" customWidth="1"/>
    <col min="12" max="12" width="2.7109375" customWidth="1"/>
    <col min="13" max="13" width="29" bestFit="1" customWidth="1"/>
    <col min="15" max="15" width="2.7109375" customWidth="1"/>
    <col min="16" max="16" width="9.140625" style="27"/>
    <col min="17" max="19" width="2.7109375" customWidth="1"/>
    <col min="20" max="20" width="19.28515625" bestFit="1" customWidth="1"/>
    <col min="22" max="22" width="2.7109375" customWidth="1"/>
    <col min="23" max="23" width="29" bestFit="1" customWidth="1"/>
    <col min="25" max="25" width="2.7109375" customWidth="1"/>
    <col min="27" max="29" width="2.7109375" customWidth="1"/>
    <col min="30" max="30" width="19.28515625" bestFit="1" customWidth="1"/>
    <col min="32" max="32" width="2.7109375" customWidth="1"/>
    <col min="33" max="33" width="29" bestFit="1" customWidth="1"/>
    <col min="35" max="35" width="2.7109375" customWidth="1"/>
    <col min="37" max="37" width="2.7109375" customWidth="1"/>
    <col min="38" max="38" width="11.85546875" bestFit="1" customWidth="1"/>
    <col min="39" max="39" width="2.7109375" customWidth="1"/>
    <col min="41" max="41" width="2.7109375" customWidth="1"/>
    <col min="42" max="42" width="20.5703125" bestFit="1" customWidth="1"/>
    <col min="43" max="43" width="2.7109375" customWidth="1"/>
    <col min="44" max="45" width="12.5703125" bestFit="1" customWidth="1"/>
    <col min="46" max="46" width="2.7109375" customWidth="1"/>
    <col min="47" max="47" width="11.42578125" customWidth="1"/>
    <col min="48" max="48" width="2.7109375" customWidth="1"/>
    <col min="49" max="49" width="14.42578125" bestFit="1" customWidth="1"/>
    <col min="50" max="50" width="2.7109375" customWidth="1"/>
  </cols>
  <sheetData>
    <row r="1" spans="1:50" x14ac:dyDescent="0.25">
      <c r="A1" s="1"/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2"/>
      <c r="Q1" s="1"/>
    </row>
    <row r="2" spans="1:50" x14ac:dyDescent="0.25">
      <c r="A2" s="1"/>
      <c r="B2" s="3" t="str">
        <f>"MASS BALANCE CALCULATION: MONTE CARLO METHOD"</f>
        <v>MASS BALANCE CALCULATION: MONTE CARLO METHOD</v>
      </c>
      <c r="C2" s="4"/>
      <c r="D2" s="4"/>
      <c r="E2" s="4"/>
      <c r="F2" s="4"/>
      <c r="G2" s="1"/>
      <c r="I2" s="1"/>
      <c r="J2" s="3" t="str">
        <f>"MASS BALANCE CALCULATION: MONTE CARLO METHOD"</f>
        <v>MASS BALANCE CALCULATION: MONTE CARLO METHOD</v>
      </c>
      <c r="K2" s="4"/>
      <c r="L2" s="4"/>
      <c r="M2" s="4"/>
      <c r="N2" s="4"/>
      <c r="O2" s="5"/>
      <c r="P2" s="6"/>
      <c r="Q2" s="1"/>
    </row>
    <row r="3" spans="1:50" x14ac:dyDescent="0.25">
      <c r="A3" s="1"/>
      <c r="B3" s="7" t="str">
        <f>"Version 2.5"</f>
        <v>Version 2.5</v>
      </c>
      <c r="C3" s="4"/>
      <c r="D3" s="4"/>
      <c r="E3" s="4"/>
      <c r="F3" s="4"/>
      <c r="G3" s="1"/>
      <c r="I3" s="1"/>
      <c r="J3" s="7" t="str">
        <f>"Version 2.5"</f>
        <v>Version 2.5</v>
      </c>
      <c r="K3" s="4"/>
      <c r="L3" s="4"/>
      <c r="M3" s="4"/>
      <c r="N3" s="4"/>
      <c r="O3" s="5"/>
      <c r="P3" s="6"/>
      <c r="Q3" s="1"/>
    </row>
    <row r="4" spans="1:50" ht="15.75" thickBot="1" x14ac:dyDescent="0.3">
      <c r="A4" s="1"/>
      <c r="B4" s="7" t="str">
        <f>"Calculations done on 28/11/2024 at 10.45"</f>
        <v>Calculations done on 28/11/2024 at 10.45</v>
      </c>
      <c r="C4" s="4"/>
      <c r="D4" s="4"/>
      <c r="E4" s="4"/>
      <c r="F4" s="4"/>
      <c r="G4" s="1"/>
      <c r="I4" s="1"/>
      <c r="J4" s="7" t="str">
        <f>"Calculations done on 28/11/2024 at 11.50"</f>
        <v>Calculations done on 28/11/2024 at 11.50</v>
      </c>
      <c r="K4" s="4"/>
      <c r="L4" s="4"/>
      <c r="M4" s="4"/>
      <c r="N4" s="4"/>
      <c r="O4" s="5"/>
      <c r="P4" s="6"/>
      <c r="Q4" s="1"/>
    </row>
    <row r="5" spans="1:50" x14ac:dyDescent="0.25">
      <c r="A5" s="1"/>
      <c r="B5" s="4"/>
      <c r="C5" s="4"/>
      <c r="D5" s="4"/>
      <c r="E5" s="4"/>
      <c r="F5" s="4"/>
      <c r="G5" s="1"/>
      <c r="I5" s="1"/>
      <c r="J5" s="4"/>
      <c r="K5" s="4"/>
      <c r="L5" s="4"/>
      <c r="M5" s="4"/>
      <c r="N5" s="4"/>
      <c r="O5" s="5"/>
      <c r="P5" s="6"/>
      <c r="Q5" s="1"/>
      <c r="T5" s="8" t="s">
        <v>0</v>
      </c>
      <c r="AD5" s="8" t="s">
        <v>1</v>
      </c>
      <c r="AO5" s="9"/>
      <c r="AP5" s="10"/>
      <c r="AQ5" s="10"/>
      <c r="AR5" s="11" t="s">
        <v>2</v>
      </c>
      <c r="AS5" s="11" t="s">
        <v>3</v>
      </c>
      <c r="AT5" s="10"/>
      <c r="AU5" s="10"/>
      <c r="AV5" s="10"/>
      <c r="AW5" s="10"/>
      <c r="AX5" s="12"/>
    </row>
    <row r="6" spans="1:50" x14ac:dyDescent="0.25">
      <c r="A6" s="1"/>
      <c r="B6" s="7" t="str">
        <f>"Name of discharge"</f>
        <v>Name of discharge</v>
      </c>
      <c r="C6" s="3" t="str">
        <f>"Muntons Trade Effluent - Current discharge"</f>
        <v>Muntons Trade Effluent - Current discharge</v>
      </c>
      <c r="D6" s="4"/>
      <c r="E6" s="4"/>
      <c r="F6" s="4"/>
      <c r="G6" s="1"/>
      <c r="I6" s="1"/>
      <c r="J6" s="7" t="str">
        <f>"Name of discharge"</f>
        <v>Name of discharge</v>
      </c>
      <c r="K6" s="3" t="str">
        <f>"Muntons Trade Effluent - Maximum Proposed Discharge (2500m3/24hr)"</f>
        <v>Muntons Trade Effluent - Maximum Proposed Discharge (2500m3/24hr)</v>
      </c>
      <c r="L6" s="4"/>
      <c r="M6" s="4"/>
      <c r="N6" s="4"/>
      <c r="O6" s="5"/>
      <c r="P6" s="6"/>
      <c r="Q6" s="1"/>
      <c r="S6" s="1"/>
      <c r="T6" s="1"/>
      <c r="U6" s="1"/>
      <c r="V6" s="1"/>
      <c r="W6" s="1"/>
      <c r="X6" s="1"/>
      <c r="Y6" s="1"/>
      <c r="Z6" s="1"/>
      <c r="AA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O6" s="13"/>
      <c r="AP6" s="14"/>
      <c r="AQ6" s="14"/>
      <c r="AR6" s="15" t="s">
        <v>4</v>
      </c>
      <c r="AS6" s="15" t="s">
        <v>4</v>
      </c>
      <c r="AT6" s="14"/>
      <c r="AU6" s="15" t="s">
        <v>5</v>
      </c>
      <c r="AV6" s="16"/>
      <c r="AW6" s="15" t="s">
        <v>6</v>
      </c>
      <c r="AX6" s="17"/>
    </row>
    <row r="7" spans="1:50" x14ac:dyDescent="0.25">
      <c r="A7" s="1"/>
      <c r="B7" s="7" t="str">
        <f>"Name of river"</f>
        <v>Name of river</v>
      </c>
      <c r="C7" s="7" t="str">
        <f>"River Gipping"</f>
        <v>River Gipping</v>
      </c>
      <c r="D7" s="4"/>
      <c r="E7" s="4"/>
      <c r="F7" s="4"/>
      <c r="G7" s="1"/>
      <c r="I7" s="1"/>
      <c r="J7" s="7" t="str">
        <f>"Name of river"</f>
        <v>Name of river</v>
      </c>
      <c r="K7" s="7" t="str">
        <f>"River Gipping"</f>
        <v>River Gipping</v>
      </c>
      <c r="L7" s="4"/>
      <c r="M7" s="4"/>
      <c r="N7" s="4"/>
      <c r="O7" s="5"/>
      <c r="P7" s="6"/>
      <c r="Q7" s="1"/>
      <c r="S7" s="1"/>
      <c r="T7" s="7" t="str">
        <f>"Name of determinand"</f>
        <v>Name of determinand</v>
      </c>
      <c r="U7" s="3" t="str">
        <f>"Ammoniacal Nitrogen"</f>
        <v>Ammoniacal Nitrogen</v>
      </c>
      <c r="Y7" s="1"/>
      <c r="AA7" s="1"/>
      <c r="AC7" s="1"/>
      <c r="AD7" s="7" t="str">
        <f>"Name of determinand"</f>
        <v>Name of determinand</v>
      </c>
      <c r="AE7" s="3" t="str">
        <f>"Ammoniacal Nitrogen"</f>
        <v>Ammoniacal Nitrogen</v>
      </c>
      <c r="AI7" s="1"/>
      <c r="AJ7" s="18" t="s">
        <v>5</v>
      </c>
      <c r="AK7" s="19"/>
      <c r="AL7" s="18" t="s">
        <v>6</v>
      </c>
      <c r="AM7" s="1"/>
      <c r="AO7" s="13"/>
      <c r="AP7" s="14"/>
      <c r="AQ7" s="14"/>
      <c r="AR7" s="14"/>
      <c r="AS7" s="14"/>
      <c r="AT7" s="14"/>
      <c r="AU7" s="14"/>
      <c r="AV7" s="14"/>
      <c r="AW7" s="14"/>
      <c r="AX7" s="17"/>
    </row>
    <row r="8" spans="1:50" x14ac:dyDescent="0.25">
      <c r="A8" s="1"/>
      <c r="B8" s="7" t="str">
        <f>"Name of determinand"</f>
        <v>Name of determinand</v>
      </c>
      <c r="C8" s="3" t="str">
        <f>"Ammoniacal Nitrogen"</f>
        <v>Ammoniacal Nitrogen</v>
      </c>
      <c r="D8" s="4"/>
      <c r="E8" s="4"/>
      <c r="F8" s="4"/>
      <c r="G8" s="1"/>
      <c r="I8" s="1"/>
      <c r="J8" s="7" t="str">
        <f>"Name of determinand"</f>
        <v>Name of determinand</v>
      </c>
      <c r="K8" s="3" t="str">
        <f>"Ammoniacal Nitrogen"</f>
        <v>Ammoniacal Nitrogen</v>
      </c>
      <c r="L8" s="4"/>
      <c r="M8" s="4"/>
      <c r="N8" s="4"/>
      <c r="O8" s="5"/>
      <c r="P8" s="6"/>
      <c r="Q8" s="1"/>
      <c r="S8" s="1"/>
      <c r="Y8" s="1"/>
      <c r="AA8" s="1"/>
      <c r="AC8" s="1"/>
      <c r="AI8" s="1"/>
      <c r="AK8" s="1"/>
      <c r="AM8" s="1"/>
      <c r="AO8" s="13"/>
      <c r="AP8" s="15" t="s">
        <v>7</v>
      </c>
      <c r="AQ8" s="14"/>
      <c r="AR8" s="20">
        <v>0.12</v>
      </c>
      <c r="AS8" s="20">
        <v>0.14000000000000001</v>
      </c>
      <c r="AT8" s="21"/>
      <c r="AU8" s="22">
        <f>AJ10</f>
        <v>0.14285714285714296</v>
      </c>
      <c r="AV8" s="21"/>
      <c r="AW8" s="23">
        <f>AL10</f>
        <v>6.5934065934065977E-2</v>
      </c>
      <c r="AX8" s="17"/>
    </row>
    <row r="9" spans="1:50" x14ac:dyDescent="0.25">
      <c r="A9" s="1"/>
      <c r="B9" s="4"/>
      <c r="C9" s="4"/>
      <c r="D9" s="4"/>
      <c r="E9" s="4"/>
      <c r="F9" s="4"/>
      <c r="G9" s="1"/>
      <c r="I9" s="1"/>
      <c r="J9" s="4"/>
      <c r="K9" s="4"/>
      <c r="L9" s="4"/>
      <c r="M9" s="4"/>
      <c r="N9" s="4"/>
      <c r="O9" s="5"/>
      <c r="P9" s="6"/>
      <c r="Q9" s="1"/>
      <c r="S9" s="1"/>
      <c r="T9" s="3" t="str">
        <f>"UPSTREAM RIVER DATA"</f>
        <v>UPSTREAM RIVER DATA</v>
      </c>
      <c r="U9" s="4"/>
      <c r="V9" s="4"/>
      <c r="W9" s="3" t="str">
        <f>"RIVER DOWNSTREAM OF DISCHARGE"</f>
        <v>RIVER DOWNSTREAM OF DISCHARGE</v>
      </c>
      <c r="X9" s="4"/>
      <c r="Y9" s="5"/>
      <c r="Z9" s="6"/>
      <c r="AA9" s="1"/>
      <c r="AC9" s="1"/>
      <c r="AD9" s="3" t="str">
        <f>"UPSTREAM RIVER DATA"</f>
        <v>UPSTREAM RIVER DATA</v>
      </c>
      <c r="AE9" s="4"/>
      <c r="AF9" s="4"/>
      <c r="AG9" s="3" t="str">
        <f>"RIVER DOWNSTREAM OF DISCHARGE"</f>
        <v>RIVER DOWNSTREAM OF DISCHARGE</v>
      </c>
      <c r="AH9" s="4"/>
      <c r="AI9" s="5"/>
      <c r="AJ9" s="6"/>
      <c r="AK9" s="1"/>
      <c r="AM9" s="1"/>
      <c r="AO9" s="13"/>
      <c r="AP9" s="15" t="s">
        <v>8</v>
      </c>
      <c r="AQ9" s="14"/>
      <c r="AR9" s="20">
        <v>3.14</v>
      </c>
      <c r="AS9" s="20">
        <v>3.15</v>
      </c>
      <c r="AT9" s="21"/>
      <c r="AU9" s="23">
        <f>AJ19</f>
        <v>3.1746031746031069E-3</v>
      </c>
      <c r="AV9" s="21"/>
      <c r="AW9" s="23">
        <f>AL19</f>
        <v>-3.1545107494475311E-3</v>
      </c>
      <c r="AX9" s="17"/>
    </row>
    <row r="10" spans="1:50" x14ac:dyDescent="0.25">
      <c r="A10" s="1"/>
      <c r="B10" s="3" t="str">
        <f>"INPUT DATA"</f>
        <v>INPUT DATA</v>
      </c>
      <c r="C10" s="4"/>
      <c r="D10" s="4"/>
      <c r="E10" s="3" t="str">
        <f>"RESULTS"</f>
        <v>RESULTS</v>
      </c>
      <c r="F10" s="4"/>
      <c r="G10" s="1"/>
      <c r="I10" s="1"/>
      <c r="J10" s="3" t="str">
        <f>"INPUT DATA"</f>
        <v>INPUT DATA</v>
      </c>
      <c r="K10" s="4"/>
      <c r="L10" s="4"/>
      <c r="M10" s="3" t="str">
        <f>"RESULTS"</f>
        <v>RESULTS</v>
      </c>
      <c r="N10" s="4"/>
      <c r="O10" s="5"/>
      <c r="P10" s="6"/>
      <c r="Q10" s="1"/>
      <c r="S10" s="1"/>
      <c r="T10" s="7" t="str">
        <f>"Mean quality"</f>
        <v>Mean quality</v>
      </c>
      <c r="U10" s="24" t="str">
        <f>C15</f>
        <v xml:space="preserve"> 0.12 </v>
      </c>
      <c r="V10" s="4"/>
      <c r="W10" s="7" t="str">
        <f>"Mean quality"</f>
        <v>Mean quality</v>
      </c>
      <c r="X10" s="24" t="str">
        <f>F13</f>
        <v xml:space="preserve"> 0.13 </v>
      </c>
      <c r="Y10" s="25"/>
      <c r="Z10" s="26">
        <f>(X10-U10)/X10</f>
        <v>7.6923076923076983E-2</v>
      </c>
      <c r="AA10" s="1"/>
      <c r="AC10" s="1"/>
      <c r="AD10" s="7" t="str">
        <f>"Mean quality"</f>
        <v>Mean quality</v>
      </c>
      <c r="AE10" s="24" t="str">
        <f>" 0.12 "</f>
        <v xml:space="preserve"> 0.12 </v>
      </c>
      <c r="AF10" s="4"/>
      <c r="AG10" s="7" t="str">
        <f>"Mean quality"</f>
        <v>Mean quality</v>
      </c>
      <c r="AH10" s="24" t="str">
        <f>" 0.14 "</f>
        <v xml:space="preserve"> 0.14 </v>
      </c>
      <c r="AI10" s="25"/>
      <c r="AJ10" s="26">
        <f>(AH10-AE10)/AH10</f>
        <v>0.14285714285714296</v>
      </c>
      <c r="AK10" s="1"/>
      <c r="AL10" s="27">
        <f>AJ10-Z10</f>
        <v>6.5934065934065977E-2</v>
      </c>
      <c r="AM10" s="1"/>
      <c r="AO10" s="13"/>
      <c r="AP10" s="15" t="s">
        <v>9</v>
      </c>
      <c r="AQ10" s="14"/>
      <c r="AR10" s="20">
        <v>7.79</v>
      </c>
      <c r="AS10" s="20">
        <v>7.79</v>
      </c>
      <c r="AT10" s="21"/>
      <c r="AU10" s="23">
        <f>AJ28</f>
        <v>0</v>
      </c>
      <c r="AV10" s="21"/>
      <c r="AW10" s="23">
        <f>AL28</f>
        <v>0</v>
      </c>
      <c r="AX10" s="17"/>
    </row>
    <row r="11" spans="1:50" x14ac:dyDescent="0.25">
      <c r="A11" s="1"/>
      <c r="B11" s="4"/>
      <c r="C11" s="4"/>
      <c r="D11" s="4"/>
      <c r="E11" s="4"/>
      <c r="F11" s="4"/>
      <c r="G11" s="1"/>
      <c r="I11" s="1"/>
      <c r="J11" s="4"/>
      <c r="K11" s="4"/>
      <c r="L11" s="4"/>
      <c r="M11" s="4"/>
      <c r="N11" s="4"/>
      <c r="O11" s="5"/>
      <c r="P11" s="6"/>
      <c r="Q11" s="1"/>
      <c r="S11" s="1"/>
      <c r="T11" s="3" t="str">
        <f>"DISCHARGE DATA"</f>
        <v>DISCHARGE DATA</v>
      </c>
      <c r="U11" s="4"/>
      <c r="V11" s="4"/>
      <c r="W11" s="3" t="str">
        <f>"DISCHARGE QUALITY"</f>
        <v>DISCHARGE QUALITY</v>
      </c>
      <c r="X11" s="4"/>
      <c r="Y11" s="5"/>
      <c r="Z11" s="6"/>
      <c r="AA11" s="1"/>
      <c r="AC11" s="1"/>
      <c r="AD11" s="3" t="str">
        <f>"DISCHARGE DATA"</f>
        <v>DISCHARGE DATA</v>
      </c>
      <c r="AE11" s="4"/>
      <c r="AF11" s="4"/>
      <c r="AG11" s="3" t="str">
        <f>"DISCHARGE QUALITY"</f>
        <v>DISCHARGE QUALITY</v>
      </c>
      <c r="AH11" s="4"/>
      <c r="AI11" s="5"/>
      <c r="AJ11" s="6"/>
      <c r="AK11" s="1"/>
      <c r="AM11" s="1"/>
      <c r="AO11" s="13"/>
      <c r="AP11" s="15" t="s">
        <v>10</v>
      </c>
      <c r="AQ11" s="14"/>
      <c r="AR11" s="20">
        <v>17.3</v>
      </c>
      <c r="AS11" s="20">
        <v>17.559999999999999</v>
      </c>
      <c r="AT11" s="21"/>
      <c r="AU11" s="23">
        <f>AJ37</f>
        <v>1.4806378132118339E-2</v>
      </c>
      <c r="AV11" s="21"/>
      <c r="AW11" s="23">
        <f>AL37</f>
        <v>6.210389593436472E-3</v>
      </c>
      <c r="AX11" s="17"/>
    </row>
    <row r="12" spans="1:50" x14ac:dyDescent="0.25">
      <c r="A12" s="1"/>
      <c r="B12" s="3" t="str">
        <f>"UPSTREAM RIVER DATA"</f>
        <v>UPSTREAM RIVER DATA</v>
      </c>
      <c r="C12" s="4"/>
      <c r="D12" s="4"/>
      <c r="E12" s="3" t="str">
        <f>"RIVER DOWNSTREAM OF DISCHARGE"</f>
        <v>RIVER DOWNSTREAM OF DISCHARGE</v>
      </c>
      <c r="F12" s="4"/>
      <c r="G12" s="1"/>
      <c r="I12" s="1"/>
      <c r="J12" s="3" t="str">
        <f>"UPSTREAM RIVER DATA"</f>
        <v>UPSTREAM RIVER DATA</v>
      </c>
      <c r="K12" s="4"/>
      <c r="L12" s="4"/>
      <c r="M12" s="3" t="str">
        <f>"RIVER DOWNSTREAM OF DISCHARGE"</f>
        <v>RIVER DOWNSTREAM OF DISCHARGE</v>
      </c>
      <c r="N12" s="4"/>
      <c r="O12" s="5"/>
      <c r="P12" s="6"/>
      <c r="Q12" s="1"/>
      <c r="S12" s="1"/>
      <c r="T12" s="7" t="str">
        <f>"Mean quality "</f>
        <v xml:space="preserve">Mean quality </v>
      </c>
      <c r="U12" s="24" t="str">
        <f>C22</f>
        <v xml:space="preserve"> 0.33 </v>
      </c>
      <c r="V12" s="4"/>
      <c r="W12" s="7" t="str">
        <f>"Mean quality"</f>
        <v>Mean quality</v>
      </c>
      <c r="X12" s="24" t="str">
        <f>F20</f>
        <v xml:space="preserve"> 0.32 </v>
      </c>
      <c r="Y12" s="25"/>
      <c r="Z12" s="26">
        <f>(X12-U12)/X12</f>
        <v>-3.1250000000000028E-2</v>
      </c>
      <c r="AA12" s="1"/>
      <c r="AC12" s="1"/>
      <c r="AD12" s="7" t="str">
        <f>"Mean quality "</f>
        <v xml:space="preserve">Mean quality </v>
      </c>
      <c r="AE12" s="24" t="str">
        <f>" 0.33 "</f>
        <v xml:space="preserve"> 0.33 </v>
      </c>
      <c r="AF12" s="4"/>
      <c r="AG12" s="7" t="str">
        <f>"Mean quality"</f>
        <v>Mean quality</v>
      </c>
      <c r="AH12" s="24" t="str">
        <f>" 0.32 "</f>
        <v xml:space="preserve"> 0.32 </v>
      </c>
      <c r="AI12" s="25"/>
      <c r="AJ12" s="26">
        <f>(AH12-AE12)/AH12</f>
        <v>-3.1250000000000028E-2</v>
      </c>
      <c r="AK12" s="1"/>
      <c r="AL12" s="27">
        <f>AJ12-Z12</f>
        <v>0</v>
      </c>
      <c r="AM12" s="1"/>
      <c r="AO12" s="13"/>
      <c r="AP12" s="15" t="s">
        <v>11</v>
      </c>
      <c r="AQ12" s="14"/>
      <c r="AR12" s="20">
        <v>7.18</v>
      </c>
      <c r="AS12" s="20">
        <v>7.46</v>
      </c>
      <c r="AT12" s="21"/>
      <c r="AU12" s="23">
        <f>AJ46</f>
        <v>3.7533512064343195E-2</v>
      </c>
      <c r="AV12" s="21"/>
      <c r="AW12" s="23">
        <f>AL46</f>
        <v>1.7069664861068933E-2</v>
      </c>
      <c r="AX12" s="17"/>
    </row>
    <row r="13" spans="1:50" x14ac:dyDescent="0.25">
      <c r="A13" s="1"/>
      <c r="B13" s="7" t="str">
        <f>"Mean flow"</f>
        <v>Mean flow</v>
      </c>
      <c r="C13" s="24" t="str">
        <f>" 0.63 "</f>
        <v xml:space="preserve"> 0.63 </v>
      </c>
      <c r="D13" s="4"/>
      <c r="E13" s="7" t="str">
        <f>"Mean quality"</f>
        <v>Mean quality</v>
      </c>
      <c r="F13" s="24" t="str">
        <f>" 0.13 "</f>
        <v xml:space="preserve"> 0.13 </v>
      </c>
      <c r="G13" s="1"/>
      <c r="I13" s="1"/>
      <c r="J13" s="7" t="str">
        <f>"Mean flow"</f>
        <v>Mean flow</v>
      </c>
      <c r="K13" s="24" t="str">
        <f>" 0.63 "</f>
        <v xml:space="preserve"> 0.63 </v>
      </c>
      <c r="L13" s="4"/>
      <c r="M13" s="7" t="str">
        <f>"Mean quality"</f>
        <v>Mean quality</v>
      </c>
      <c r="N13" s="24" t="str">
        <f>" 0.14 "</f>
        <v xml:space="preserve"> 0.14 </v>
      </c>
      <c r="O13" s="25"/>
      <c r="P13" s="26">
        <f>(N13-K15)/N13</f>
        <v>0.14285714285714296</v>
      </c>
      <c r="Q13" s="1"/>
      <c r="S13" s="1"/>
      <c r="T13" s="1"/>
      <c r="U13" s="1"/>
      <c r="V13" s="5"/>
      <c r="W13" s="28"/>
      <c r="X13" s="25"/>
      <c r="Y13" s="25"/>
      <c r="Z13" s="29"/>
      <c r="AA13" s="1"/>
      <c r="AC13" s="1"/>
      <c r="AD13" s="1"/>
      <c r="AE13" s="1"/>
      <c r="AF13" s="5"/>
      <c r="AG13" s="28"/>
      <c r="AH13" s="25"/>
      <c r="AI13" s="25"/>
      <c r="AJ13" s="29"/>
      <c r="AK13" s="29"/>
      <c r="AL13" s="29"/>
      <c r="AM13" s="1"/>
      <c r="AO13" s="13"/>
      <c r="AP13" s="14"/>
      <c r="AQ13" s="14"/>
      <c r="AR13" s="14"/>
      <c r="AS13" s="14"/>
      <c r="AT13" s="14"/>
      <c r="AU13" s="14"/>
      <c r="AV13" s="14"/>
      <c r="AW13" s="14"/>
      <c r="AX13" s="17"/>
    </row>
    <row r="14" spans="1:50" x14ac:dyDescent="0.25">
      <c r="A14" s="1"/>
      <c r="B14" s="7" t="str">
        <f>"95% exceedence flow"</f>
        <v>95% exceedence flow</v>
      </c>
      <c r="C14" s="24" t="str">
        <f>" 0.09 "</f>
        <v xml:space="preserve"> 0.09 </v>
      </c>
      <c r="D14" s="4"/>
      <c r="E14" s="7" t="str">
        <f>"Standard deviation of quality"</f>
        <v>Standard deviation of quality</v>
      </c>
      <c r="F14" s="24" t="str">
        <f>" 0.09 "</f>
        <v xml:space="preserve"> 0.09 </v>
      </c>
      <c r="G14" s="1"/>
      <c r="I14" s="1"/>
      <c r="J14" s="7" t="str">
        <f>"95% exceedence flow"</f>
        <v>95% exceedence flow</v>
      </c>
      <c r="K14" s="24" t="str">
        <f>" 0.09 "</f>
        <v xml:space="preserve"> 0.09 </v>
      </c>
      <c r="L14" s="4"/>
      <c r="M14" s="7" t="str">
        <f>"Standard deviation of quality"</f>
        <v>Standard deviation of quality</v>
      </c>
      <c r="N14" s="24" t="str">
        <f>" 0.12 "</f>
        <v xml:space="preserve"> 0.12 </v>
      </c>
      <c r="O14" s="25"/>
      <c r="P14" s="26"/>
      <c r="Q14" s="1"/>
      <c r="S14" s="1"/>
      <c r="T14" s="7" t="s">
        <v>12</v>
      </c>
      <c r="U14" s="3" t="s">
        <v>8</v>
      </c>
      <c r="V14" s="4"/>
      <c r="W14" s="4"/>
      <c r="X14" s="4"/>
      <c r="Y14" s="5"/>
      <c r="Z14" s="6"/>
      <c r="AA14" s="1"/>
      <c r="AC14" s="1"/>
      <c r="AD14" s="7" t="s">
        <v>12</v>
      </c>
      <c r="AE14" s="3" t="s">
        <v>8</v>
      </c>
      <c r="AF14" s="4"/>
      <c r="AG14" s="4"/>
      <c r="AH14" s="4"/>
      <c r="AI14" s="5"/>
      <c r="AJ14" s="18" t="s">
        <v>5</v>
      </c>
      <c r="AK14" s="19"/>
      <c r="AL14" s="18" t="s">
        <v>6</v>
      </c>
      <c r="AM14" s="1"/>
      <c r="AO14" s="13"/>
      <c r="AP14" s="14"/>
      <c r="AQ14" s="14"/>
      <c r="AR14" s="14"/>
      <c r="AS14" s="30" t="s">
        <v>13</v>
      </c>
      <c r="AT14" s="14"/>
      <c r="AU14" s="31">
        <f>AVERAGE(AU8:AU12)</f>
        <v>3.9674327245641516E-2</v>
      </c>
      <c r="AV14" s="32"/>
      <c r="AW14" s="31">
        <f>AVERAGE(AW8:AW12)</f>
        <v>1.7211921927824773E-2</v>
      </c>
      <c r="AX14" s="17"/>
    </row>
    <row r="15" spans="1:50" ht="15.75" thickBot="1" x14ac:dyDescent="0.3">
      <c r="A15" s="1"/>
      <c r="B15" s="7" t="str">
        <f>"Mean quality"</f>
        <v>Mean quality</v>
      </c>
      <c r="C15" s="24" t="str">
        <f>" 0.12 "</f>
        <v xml:space="preserve"> 0.12 </v>
      </c>
      <c r="D15" s="4"/>
      <c r="E15" s="7" t="str">
        <f>"90-percentile quality"</f>
        <v>90-percentile quality</v>
      </c>
      <c r="F15" s="24" t="str">
        <f>" 0.23 "</f>
        <v xml:space="preserve"> 0.23 </v>
      </c>
      <c r="G15" s="1"/>
      <c r="I15" s="1"/>
      <c r="J15" s="7" t="str">
        <f>"Mean quality"</f>
        <v>Mean quality</v>
      </c>
      <c r="K15" s="24" t="str">
        <f>" 0.12 "</f>
        <v xml:space="preserve"> 0.12 </v>
      </c>
      <c r="L15" s="4"/>
      <c r="M15" s="7" t="str">
        <f>"90-percentile quality"</f>
        <v>90-percentile quality</v>
      </c>
      <c r="N15" s="24" t="str">
        <f>" 0.24 "</f>
        <v xml:space="preserve"> 0.24 </v>
      </c>
      <c r="O15" s="25"/>
      <c r="P15" s="26"/>
      <c r="Q15" s="1"/>
      <c r="S15" s="1"/>
      <c r="T15" s="4"/>
      <c r="V15" s="4"/>
      <c r="W15" s="4"/>
      <c r="X15" s="4"/>
      <c r="Y15" s="5"/>
      <c r="Z15" s="6"/>
      <c r="AA15" s="1"/>
      <c r="AC15" s="1"/>
      <c r="AD15" s="4"/>
      <c r="AF15" s="4"/>
      <c r="AG15" s="4"/>
      <c r="AH15" s="4"/>
      <c r="AI15" s="5"/>
      <c r="AJ15" s="6"/>
      <c r="AK15" s="1"/>
      <c r="AM15" s="1"/>
      <c r="AO15" s="33"/>
      <c r="AP15" s="34"/>
      <c r="AQ15" s="34"/>
      <c r="AR15" s="34"/>
      <c r="AS15" s="34"/>
      <c r="AT15" s="34"/>
      <c r="AU15" s="34"/>
      <c r="AV15" s="34"/>
      <c r="AW15" s="34"/>
      <c r="AX15" s="35"/>
    </row>
    <row r="16" spans="1:50" x14ac:dyDescent="0.25">
      <c r="A16" s="1"/>
      <c r="B16" s="7" t="str">
        <f>"Standard deviation of quality"</f>
        <v>Standard deviation of quality</v>
      </c>
      <c r="C16" s="24" t="str">
        <f>" 0.07 "</f>
        <v xml:space="preserve"> 0.07 </v>
      </c>
      <c r="D16" s="4"/>
      <c r="E16" s="7" t="str">
        <f>"95-percentile quality"</f>
        <v>95-percentile quality</v>
      </c>
      <c r="F16" s="24" t="str">
        <f>" 0.28 "</f>
        <v xml:space="preserve"> 0.28 </v>
      </c>
      <c r="G16" s="1"/>
      <c r="I16" s="1"/>
      <c r="J16" s="7" t="str">
        <f>"Standard deviation of quality"</f>
        <v>Standard deviation of quality</v>
      </c>
      <c r="K16" s="24" t="str">
        <f>" 0.07 "</f>
        <v xml:space="preserve"> 0.07 </v>
      </c>
      <c r="L16" s="4"/>
      <c r="M16" s="7" t="str">
        <f>"95-percentile quality"</f>
        <v>95-percentile quality</v>
      </c>
      <c r="N16" s="24" t="str">
        <f>" 0.30 "</f>
        <v xml:space="preserve"> 0.30 </v>
      </c>
      <c r="O16" s="25"/>
      <c r="P16" s="26"/>
      <c r="Q16" s="1"/>
      <c r="S16" s="1"/>
      <c r="T16" s="3" t="s">
        <v>14</v>
      </c>
      <c r="U16" s="4"/>
      <c r="V16" s="4"/>
      <c r="W16" s="3" t="s">
        <v>15</v>
      </c>
      <c r="X16" s="4"/>
      <c r="Y16" s="5"/>
      <c r="Z16" s="6"/>
      <c r="AA16" s="1"/>
      <c r="AC16" s="1"/>
      <c r="AD16" s="3" t="s">
        <v>14</v>
      </c>
      <c r="AE16" s="4"/>
      <c r="AF16" s="4"/>
      <c r="AG16" s="3" t="s">
        <v>15</v>
      </c>
      <c r="AH16" s="4"/>
      <c r="AI16" s="5"/>
      <c r="AJ16" s="6"/>
      <c r="AK16" s="1"/>
      <c r="AM16" s="1"/>
    </row>
    <row r="17" spans="1:39" x14ac:dyDescent="0.25">
      <c r="A17" s="1"/>
      <c r="B17" s="7" t="str">
        <f>"             90-percentile"</f>
        <v xml:space="preserve">             90-percentile</v>
      </c>
      <c r="C17" s="24" t="str">
        <f>" 0.21 "</f>
        <v xml:space="preserve"> 0.21 </v>
      </c>
      <c r="D17" s="4"/>
      <c r="E17" s="7" t="str">
        <f>"99-percentile quality"</f>
        <v>99-percentile quality</v>
      </c>
      <c r="F17" s="24" t="str">
        <f>" 0.45 "</f>
        <v xml:space="preserve"> 0.45 </v>
      </c>
      <c r="G17" s="1"/>
      <c r="I17" s="1"/>
      <c r="J17" s="7" t="str">
        <f>"             90-percentile"</f>
        <v xml:space="preserve">             90-percentile</v>
      </c>
      <c r="K17" s="24" t="str">
        <f>" 0.21 "</f>
        <v xml:space="preserve"> 0.21 </v>
      </c>
      <c r="L17" s="4"/>
      <c r="M17" s="7" t="str">
        <f>"99-percentile quality"</f>
        <v>99-percentile quality</v>
      </c>
      <c r="N17" s="24" t="str">
        <f>" 0.54 "</f>
        <v xml:space="preserve"> 0.54 </v>
      </c>
      <c r="O17" s="25"/>
      <c r="P17" s="26"/>
      <c r="Q17" s="1"/>
      <c r="S17" s="1"/>
      <c r="T17" s="4"/>
      <c r="U17" s="4"/>
      <c r="V17" s="4"/>
      <c r="W17" s="4"/>
      <c r="X17" s="4"/>
      <c r="Y17" s="5"/>
      <c r="Z17" s="6"/>
      <c r="AA17" s="1"/>
      <c r="AC17" s="1"/>
      <c r="AD17" s="4"/>
      <c r="AE17" s="4"/>
      <c r="AF17" s="4"/>
      <c r="AG17" s="4"/>
      <c r="AH17" s="4"/>
      <c r="AI17" s="5"/>
      <c r="AJ17" s="6"/>
      <c r="AK17" s="1"/>
      <c r="AM17" s="1"/>
    </row>
    <row r="18" spans="1:39" x14ac:dyDescent="0.25">
      <c r="A18" s="1"/>
      <c r="B18" s="4"/>
      <c r="C18" s="4"/>
      <c r="D18" s="4"/>
      <c r="E18" s="4"/>
      <c r="F18" s="4"/>
      <c r="G18" s="1"/>
      <c r="I18" s="1"/>
      <c r="J18" s="4"/>
      <c r="K18" s="4"/>
      <c r="L18" s="4"/>
      <c r="M18" s="4"/>
      <c r="N18" s="4"/>
      <c r="O18" s="5"/>
      <c r="P18" s="6"/>
      <c r="Q18" s="1"/>
      <c r="S18" s="1"/>
      <c r="T18" s="3" t="s">
        <v>16</v>
      </c>
      <c r="U18" s="4"/>
      <c r="V18" s="4"/>
      <c r="W18" s="3" t="s">
        <v>17</v>
      </c>
      <c r="X18" s="4"/>
      <c r="Y18" s="5"/>
      <c r="Z18" s="6"/>
      <c r="AA18" s="1"/>
      <c r="AC18" s="1"/>
      <c r="AD18" s="3" t="s">
        <v>16</v>
      </c>
      <c r="AE18" s="4"/>
      <c r="AF18" s="4"/>
      <c r="AG18" s="3" t="s">
        <v>17</v>
      </c>
      <c r="AH18" s="4"/>
      <c r="AI18" s="5"/>
      <c r="AJ18" s="6"/>
      <c r="AK18" s="1"/>
      <c r="AM18" s="1"/>
    </row>
    <row r="19" spans="1:39" x14ac:dyDescent="0.25">
      <c r="A19" s="1"/>
      <c r="B19" s="3" t="str">
        <f>"DISCHARGE DATA"</f>
        <v>DISCHARGE DATA</v>
      </c>
      <c r="C19" s="4"/>
      <c r="D19" s="4"/>
      <c r="E19" s="3" t="str">
        <f>"DISCHARGE QUALITY"</f>
        <v>DISCHARGE QUALITY</v>
      </c>
      <c r="F19" s="4"/>
      <c r="G19" s="1"/>
      <c r="I19" s="1"/>
      <c r="J19" s="3" t="str">
        <f>"DISCHARGE DATA"</f>
        <v>DISCHARGE DATA</v>
      </c>
      <c r="K19" s="4"/>
      <c r="L19" s="4"/>
      <c r="M19" s="3" t="str">
        <f>"DISCHARGE QUALITY"</f>
        <v>DISCHARGE QUALITY</v>
      </c>
      <c r="N19" s="4"/>
      <c r="O19" s="5"/>
      <c r="P19" s="6"/>
      <c r="Q19" s="1"/>
      <c r="S19" s="1"/>
      <c r="T19" s="7" t="s">
        <v>18</v>
      </c>
      <c r="U19" s="24" t="str">
        <f>C41</f>
        <v xml:space="preserve"> 3.14 </v>
      </c>
      <c r="V19" s="4"/>
      <c r="W19" s="7" t="s">
        <v>18</v>
      </c>
      <c r="X19" s="24" t="str">
        <f>F39</f>
        <v xml:space="preserve"> 3.16 </v>
      </c>
      <c r="Y19" s="25"/>
      <c r="Z19" s="26">
        <f>(X19-U19)/X19</f>
        <v>6.329113924050638E-3</v>
      </c>
      <c r="AA19" s="1"/>
      <c r="AC19" s="1"/>
      <c r="AD19" s="7" t="s">
        <v>18</v>
      </c>
      <c r="AE19" s="24" t="s">
        <v>19</v>
      </c>
      <c r="AF19" s="4"/>
      <c r="AG19" s="7" t="s">
        <v>18</v>
      </c>
      <c r="AH19" s="24" t="s">
        <v>20</v>
      </c>
      <c r="AI19" s="25"/>
      <c r="AJ19" s="26">
        <f>(AH19-AE19)/AH19</f>
        <v>3.1746031746031069E-3</v>
      </c>
      <c r="AK19" s="1"/>
      <c r="AL19" s="27">
        <f>AJ19-Z19</f>
        <v>-3.1545107494475311E-3</v>
      </c>
      <c r="AM19" s="1"/>
    </row>
    <row r="20" spans="1:39" x14ac:dyDescent="0.25">
      <c r="A20" s="1"/>
      <c r="B20" s="7" t="str">
        <f>"Mean flow "</f>
        <v xml:space="preserve">Mean flow </v>
      </c>
      <c r="C20" s="24" t="str">
        <f>" 0.02 "</f>
        <v xml:space="preserve"> 0.02 </v>
      </c>
      <c r="D20" s="4"/>
      <c r="E20" s="7" t="str">
        <f>"Mean quality"</f>
        <v>Mean quality</v>
      </c>
      <c r="F20" s="24" t="str">
        <f>" 0.32 "</f>
        <v xml:space="preserve"> 0.32 </v>
      </c>
      <c r="G20" s="1"/>
      <c r="I20" s="1"/>
      <c r="J20" s="7" t="str">
        <f>"Mean flow "</f>
        <v xml:space="preserve">Mean flow </v>
      </c>
      <c r="K20" s="24" t="str">
        <f>" 0.03 "</f>
        <v xml:space="preserve"> 0.03 </v>
      </c>
      <c r="L20" s="4"/>
      <c r="M20" s="7" t="str">
        <f>"Mean quality"</f>
        <v>Mean quality</v>
      </c>
      <c r="N20" s="24" t="str">
        <f>" 0.32 "</f>
        <v xml:space="preserve"> 0.32 </v>
      </c>
      <c r="O20" s="25"/>
      <c r="P20" s="26">
        <f>(N20-K22)/N20</f>
        <v>-3.1250000000000028E-2</v>
      </c>
      <c r="Q20" s="1"/>
      <c r="S20" s="1"/>
      <c r="T20" s="3" t="s">
        <v>21</v>
      </c>
      <c r="U20" s="4"/>
      <c r="V20" s="4"/>
      <c r="W20" s="3" t="s">
        <v>22</v>
      </c>
      <c r="X20" s="4"/>
      <c r="Y20" s="5"/>
      <c r="Z20" s="6"/>
      <c r="AA20" s="1"/>
      <c r="AC20" s="1"/>
      <c r="AD20" s="3" t="s">
        <v>21</v>
      </c>
      <c r="AE20" s="4"/>
      <c r="AF20" s="4"/>
      <c r="AG20" s="3" t="s">
        <v>22</v>
      </c>
      <c r="AH20" s="4"/>
      <c r="AI20" s="5"/>
      <c r="AJ20" s="6"/>
      <c r="AK20" s="1"/>
      <c r="AM20" s="1"/>
    </row>
    <row r="21" spans="1:39" x14ac:dyDescent="0.25">
      <c r="A21" s="1"/>
      <c r="B21" s="7" t="str">
        <f>"Standard deviation of flow"</f>
        <v>Standard deviation of flow</v>
      </c>
      <c r="C21" s="24" t="str">
        <f>" 0.00 "</f>
        <v xml:space="preserve"> 0.00 </v>
      </c>
      <c r="D21" s="4"/>
      <c r="E21" s="7" t="str">
        <f>"Standard deviation of quality"</f>
        <v>Standard deviation of quality</v>
      </c>
      <c r="F21" s="24" t="str">
        <f>" 0.85 "</f>
        <v xml:space="preserve"> 0.85 </v>
      </c>
      <c r="G21" s="1"/>
      <c r="I21" s="1"/>
      <c r="J21" s="7" t="str">
        <f>"Standard deviation of flow"</f>
        <v>Standard deviation of flow</v>
      </c>
      <c r="K21" s="24" t="str">
        <f>" 0.00 "</f>
        <v xml:space="preserve"> 0.00 </v>
      </c>
      <c r="L21" s="4"/>
      <c r="M21" s="7" t="str">
        <f>"Standard deviation of quality"</f>
        <v>Standard deviation of quality</v>
      </c>
      <c r="N21" s="24" t="str">
        <f>" 0.85 "</f>
        <v xml:space="preserve"> 0.85 </v>
      </c>
      <c r="O21" s="25"/>
      <c r="P21" s="26"/>
      <c r="Q21" s="1"/>
      <c r="S21" s="1"/>
      <c r="T21" s="7" t="s">
        <v>23</v>
      </c>
      <c r="U21" s="24" t="str">
        <f>C48</f>
        <v xml:space="preserve"> 3.00 </v>
      </c>
      <c r="V21" s="4"/>
      <c r="W21" s="7" t="s">
        <v>18</v>
      </c>
      <c r="X21" s="24" t="str">
        <f>F46</f>
        <v xml:space="preserve"> 3.03 </v>
      </c>
      <c r="Y21" s="25"/>
      <c r="Z21" s="26">
        <f>(X21-U21)/X21</f>
        <v>9.9009900990098369E-3</v>
      </c>
      <c r="AA21" s="1"/>
      <c r="AC21" s="1"/>
      <c r="AD21" s="7" t="s">
        <v>23</v>
      </c>
      <c r="AE21" s="24" t="s">
        <v>24</v>
      </c>
      <c r="AF21" s="4"/>
      <c r="AG21" s="7" t="s">
        <v>18</v>
      </c>
      <c r="AH21" s="24" t="s">
        <v>25</v>
      </c>
      <c r="AI21" s="25"/>
      <c r="AJ21" s="26">
        <f>(AH21-AE21)/AH21</f>
        <v>9.9009900990098369E-3</v>
      </c>
      <c r="AK21" s="1"/>
      <c r="AL21" s="27">
        <f>AJ21-Z21</f>
        <v>0</v>
      </c>
      <c r="AM21" s="1"/>
    </row>
    <row r="22" spans="1:39" x14ac:dyDescent="0.25">
      <c r="A22" s="1"/>
      <c r="B22" s="7" t="str">
        <f>"Mean quality "</f>
        <v xml:space="preserve">Mean quality </v>
      </c>
      <c r="C22" s="24" t="str">
        <f>" 0.33 "</f>
        <v xml:space="preserve"> 0.33 </v>
      </c>
      <c r="D22" s="4"/>
      <c r="E22" s="7" t="str">
        <f>"95-percentile quality"</f>
        <v>95-percentile quality</v>
      </c>
      <c r="F22" s="24" t="str">
        <f>" 1.31 "</f>
        <v xml:space="preserve"> 1.31 </v>
      </c>
      <c r="G22" s="1"/>
      <c r="I22" s="1"/>
      <c r="J22" s="7" t="str">
        <f>"Mean quality "</f>
        <v xml:space="preserve">Mean quality </v>
      </c>
      <c r="K22" s="24" t="str">
        <f>" 0.33 "</f>
        <v xml:space="preserve"> 0.33 </v>
      </c>
      <c r="L22" s="4"/>
      <c r="M22" s="7" t="str">
        <f>"95-percentile quality"</f>
        <v>95-percentile quality</v>
      </c>
      <c r="N22" s="24" t="str">
        <f>" 1.31 "</f>
        <v xml:space="preserve"> 1.31 </v>
      </c>
      <c r="O22" s="25"/>
      <c r="P22" s="26"/>
      <c r="Q22" s="1"/>
      <c r="S22" s="1"/>
      <c r="T22" s="1"/>
      <c r="U22" s="1"/>
      <c r="V22" s="5"/>
      <c r="W22" s="28"/>
      <c r="X22" s="25"/>
      <c r="Y22" s="25"/>
      <c r="Z22" s="29"/>
      <c r="AA22" s="1"/>
      <c r="AC22" s="1"/>
      <c r="AD22" s="1"/>
      <c r="AE22" s="1"/>
      <c r="AF22" s="5"/>
      <c r="AG22" s="28"/>
      <c r="AH22" s="25"/>
      <c r="AI22" s="25"/>
      <c r="AJ22" s="29"/>
      <c r="AK22" s="29"/>
      <c r="AL22" s="29"/>
      <c r="AM22" s="1"/>
    </row>
    <row r="23" spans="1:39" x14ac:dyDescent="0.25">
      <c r="A23" s="1"/>
      <c r="B23" s="7" t="str">
        <f>"Standard deviation of quality"</f>
        <v>Standard deviation of quality</v>
      </c>
      <c r="C23" s="24" t="str">
        <f>" 1.56 "</f>
        <v xml:space="preserve"> 1.56 </v>
      </c>
      <c r="D23" s="4"/>
      <c r="E23" s="7" t="str">
        <f>"99-percentile quality"</f>
        <v>99-percentile quality</v>
      </c>
      <c r="F23" s="24" t="str">
        <f>" 3.97 "</f>
        <v xml:space="preserve"> 3.97 </v>
      </c>
      <c r="G23" s="1"/>
      <c r="I23" s="1"/>
      <c r="J23" s="7" t="str">
        <f>"Standard deviation of quality"</f>
        <v>Standard deviation of quality</v>
      </c>
      <c r="K23" s="24" t="str">
        <f>" 1.56 "</f>
        <v xml:space="preserve"> 1.56 </v>
      </c>
      <c r="L23" s="4"/>
      <c r="M23" s="7" t="str">
        <f>"99-percentile quality"</f>
        <v>99-percentile quality</v>
      </c>
      <c r="N23" s="24" t="str">
        <f>" 3.97 "</f>
        <v xml:space="preserve"> 3.97 </v>
      </c>
      <c r="O23" s="25"/>
      <c r="P23" s="26"/>
      <c r="Q23" s="1"/>
      <c r="S23" s="1"/>
      <c r="T23" s="7" t="str">
        <f>"Name of determinand"</f>
        <v>Name of determinand</v>
      </c>
      <c r="U23" s="3" t="str">
        <f>"pH"</f>
        <v>pH</v>
      </c>
      <c r="V23" s="4"/>
      <c r="W23" s="4"/>
      <c r="X23" s="4"/>
      <c r="Y23" s="5"/>
      <c r="Z23" s="6"/>
      <c r="AA23" s="1"/>
      <c r="AC23" s="1"/>
      <c r="AD23" s="7" t="str">
        <f>"Name of determinand"</f>
        <v>Name of determinand</v>
      </c>
      <c r="AE23" s="3" t="str">
        <f>"pH"</f>
        <v>pH</v>
      </c>
      <c r="AF23" s="4"/>
      <c r="AG23" s="4"/>
      <c r="AH23" s="4"/>
      <c r="AI23" s="5"/>
      <c r="AJ23" s="18" t="s">
        <v>5</v>
      </c>
      <c r="AK23" s="19"/>
      <c r="AL23" s="18" t="s">
        <v>6</v>
      </c>
      <c r="AM23" s="1"/>
    </row>
    <row r="24" spans="1:39" x14ac:dyDescent="0.25">
      <c r="A24" s="1"/>
      <c r="B24" s="7" t="str">
        <f>"   ... or 95-percentile"</f>
        <v xml:space="preserve">   ... or 95-percentile</v>
      </c>
      <c r="C24" s="24" t="str">
        <f>" 1.26 "</f>
        <v xml:space="preserve"> 1.26 </v>
      </c>
      <c r="D24" s="4"/>
      <c r="E24" s="7" t="str">
        <f>"99.5-percentile quality"</f>
        <v>99.5-percentile quality</v>
      </c>
      <c r="F24" s="24" t="str">
        <f>" 5.37 "</f>
        <v xml:space="preserve"> 5.37 </v>
      </c>
      <c r="G24" s="1"/>
      <c r="I24" s="1"/>
      <c r="J24" s="7" t="str">
        <f>"   ... or 95-percentile"</f>
        <v xml:space="preserve">   ... or 95-percentile</v>
      </c>
      <c r="K24" s="24" t="str">
        <f>" 1.26 "</f>
        <v xml:space="preserve"> 1.26 </v>
      </c>
      <c r="L24" s="4"/>
      <c r="M24" s="7" t="str">
        <f>"99.5-percentile quality"</f>
        <v>99.5-percentile quality</v>
      </c>
      <c r="N24" s="24" t="str">
        <f>" 5.37 "</f>
        <v xml:space="preserve"> 5.37 </v>
      </c>
      <c r="O24" s="25"/>
      <c r="P24" s="26"/>
      <c r="Q24" s="1"/>
      <c r="S24" s="1"/>
      <c r="T24" s="4"/>
      <c r="U24" s="4"/>
      <c r="V24" s="4"/>
      <c r="W24" s="4"/>
      <c r="X24" s="4"/>
      <c r="Y24" s="5"/>
      <c r="Z24" s="6"/>
      <c r="AA24" s="1"/>
      <c r="AC24" s="1"/>
      <c r="AD24" s="4"/>
      <c r="AE24" s="4"/>
      <c r="AF24" s="4"/>
      <c r="AG24" s="4"/>
      <c r="AH24" s="4"/>
      <c r="AI24" s="5"/>
      <c r="AJ24" s="6"/>
      <c r="AK24" s="1"/>
      <c r="AM24" s="1"/>
    </row>
    <row r="25" spans="1:39" x14ac:dyDescent="0.25">
      <c r="A25" s="1"/>
      <c r="B25" s="4"/>
      <c r="C25" s="4"/>
      <c r="D25" s="4"/>
      <c r="E25" s="4"/>
      <c r="F25" s="4"/>
      <c r="G25" s="1"/>
      <c r="I25" s="1"/>
      <c r="O25" s="1"/>
      <c r="Q25" s="1"/>
      <c r="S25" s="1"/>
      <c r="T25" s="3" t="str">
        <f>"INPUT DATA"</f>
        <v>INPUT DATA</v>
      </c>
      <c r="U25" s="4"/>
      <c r="V25" s="4"/>
      <c r="W25" s="3" t="str">
        <f>"RESULTS"</f>
        <v>RESULTS</v>
      </c>
      <c r="X25" s="4"/>
      <c r="Y25" s="5"/>
      <c r="Z25" s="6"/>
      <c r="AA25" s="1"/>
      <c r="AC25" s="1"/>
      <c r="AD25" s="3" t="str">
        <f>"INPUT DATA"</f>
        <v>INPUT DATA</v>
      </c>
      <c r="AE25" s="4"/>
      <c r="AF25" s="4"/>
      <c r="AG25" s="3" t="str">
        <f>"RESULTS"</f>
        <v>RESULTS</v>
      </c>
      <c r="AH25" s="4"/>
      <c r="AI25" s="5"/>
      <c r="AJ25" s="6"/>
      <c r="AK25" s="1"/>
      <c r="AM25" s="1"/>
    </row>
    <row r="26" spans="1:39" x14ac:dyDescent="0.25">
      <c r="A26" s="1"/>
      <c r="B26" s="5"/>
      <c r="C26" s="5"/>
      <c r="D26" s="5"/>
      <c r="E26" s="5"/>
      <c r="F26" s="5"/>
      <c r="G26" s="1"/>
      <c r="I26" s="1"/>
      <c r="J26" s="1"/>
      <c r="K26" s="1"/>
      <c r="L26" s="1"/>
      <c r="M26" s="1"/>
      <c r="N26" s="1"/>
      <c r="O26" s="1"/>
      <c r="P26" s="2"/>
      <c r="Q26" s="1"/>
      <c r="S26" s="1"/>
      <c r="T26" s="4"/>
      <c r="U26" s="4"/>
      <c r="V26" s="4"/>
      <c r="W26" s="4"/>
      <c r="X26" s="4"/>
      <c r="Y26" s="5"/>
      <c r="Z26" s="6"/>
      <c r="AA26" s="1"/>
      <c r="AC26" s="1"/>
      <c r="AD26" s="4"/>
      <c r="AE26" s="4"/>
      <c r="AF26" s="4"/>
      <c r="AG26" s="4"/>
      <c r="AH26" s="4"/>
      <c r="AI26" s="5"/>
      <c r="AJ26" s="6"/>
      <c r="AK26" s="1"/>
      <c r="AM26" s="1"/>
    </row>
    <row r="27" spans="1:39" x14ac:dyDescent="0.25">
      <c r="A27" s="1"/>
      <c r="G27" s="1"/>
      <c r="I27" s="1"/>
      <c r="O27" s="1"/>
      <c r="Q27" s="1"/>
      <c r="S27" s="1"/>
      <c r="T27" s="3" t="str">
        <f>"UPSTREAM RIVER DATA"</f>
        <v>UPSTREAM RIVER DATA</v>
      </c>
      <c r="U27" s="4"/>
      <c r="V27" s="4"/>
      <c r="W27" s="3" t="str">
        <f>"RIVER DOWNSTREAM OF DISCHARGE"</f>
        <v>RIVER DOWNSTREAM OF DISCHARGE</v>
      </c>
      <c r="X27" s="4"/>
      <c r="Y27" s="5"/>
      <c r="Z27" s="6"/>
      <c r="AA27" s="1"/>
      <c r="AC27" s="1"/>
      <c r="AD27" s="3" t="str">
        <f>"UPSTREAM RIVER DATA"</f>
        <v>UPSTREAM RIVER DATA</v>
      </c>
      <c r="AE27" s="4"/>
      <c r="AF27" s="4"/>
      <c r="AG27" s="3" t="str">
        <f>"RIVER DOWNSTREAM OF DISCHARGE"</f>
        <v>RIVER DOWNSTREAM OF DISCHARGE</v>
      </c>
      <c r="AH27" s="4"/>
      <c r="AI27" s="5"/>
      <c r="AJ27" s="6"/>
      <c r="AK27" s="1"/>
      <c r="AM27" s="1"/>
    </row>
    <row r="28" spans="1:39" x14ac:dyDescent="0.25">
      <c r="A28" s="1"/>
      <c r="B28" s="3" t="s">
        <v>26</v>
      </c>
      <c r="C28" s="4"/>
      <c r="D28" s="4"/>
      <c r="E28" s="4"/>
      <c r="F28" s="4"/>
      <c r="G28" s="1"/>
      <c r="I28" s="1"/>
      <c r="J28" s="3" t="s">
        <v>26</v>
      </c>
      <c r="K28" s="4"/>
      <c r="L28" s="4"/>
      <c r="M28" s="4"/>
      <c r="N28" s="4"/>
      <c r="O28" s="5"/>
      <c r="P28" s="6"/>
      <c r="Q28" s="1"/>
      <c r="S28" s="1"/>
      <c r="T28" s="7" t="str">
        <f>"Mean quality"</f>
        <v>Mean quality</v>
      </c>
      <c r="U28" s="24" t="str">
        <f>C67</f>
        <v xml:space="preserve"> 7.79 </v>
      </c>
      <c r="V28" s="4"/>
      <c r="W28" s="7" t="str">
        <f>"Mean quality"</f>
        <v>Mean quality</v>
      </c>
      <c r="X28" s="24" t="str">
        <f>F65</f>
        <v xml:space="preserve"> 7.79 </v>
      </c>
      <c r="Y28" s="25"/>
      <c r="Z28" s="26">
        <f>(X28-U28)/X28</f>
        <v>0</v>
      </c>
      <c r="AA28" s="1"/>
      <c r="AC28" s="1"/>
      <c r="AD28" s="7" t="str">
        <f>"Mean quality"</f>
        <v>Mean quality</v>
      </c>
      <c r="AE28" s="24" t="str">
        <f>" 7.79 "</f>
        <v xml:space="preserve"> 7.79 </v>
      </c>
      <c r="AF28" s="4"/>
      <c r="AG28" s="7" t="str">
        <f>"Mean quality"</f>
        <v>Mean quality</v>
      </c>
      <c r="AH28" s="24" t="str">
        <f>" 7.79 "</f>
        <v xml:space="preserve"> 7.79 </v>
      </c>
      <c r="AI28" s="25"/>
      <c r="AJ28" s="26">
        <f>(AH28-AE28)/AH28</f>
        <v>0</v>
      </c>
      <c r="AK28" s="1"/>
      <c r="AL28" s="27">
        <f>AJ28-Z28</f>
        <v>0</v>
      </c>
      <c r="AM28" s="1"/>
    </row>
    <row r="29" spans="1:39" x14ac:dyDescent="0.25">
      <c r="A29" s="1"/>
      <c r="B29" s="7" t="s">
        <v>27</v>
      </c>
      <c r="C29" s="4"/>
      <c r="D29" s="4"/>
      <c r="E29" s="4"/>
      <c r="F29" s="4"/>
      <c r="G29" s="1"/>
      <c r="I29" s="1"/>
      <c r="J29" s="7" t="s">
        <v>27</v>
      </c>
      <c r="K29" s="4"/>
      <c r="L29" s="4"/>
      <c r="M29" s="4"/>
      <c r="N29" s="4"/>
      <c r="O29" s="5"/>
      <c r="P29" s="6"/>
      <c r="Q29" s="1"/>
      <c r="S29" s="1"/>
      <c r="T29" s="3" t="s">
        <v>21</v>
      </c>
      <c r="U29" s="4"/>
      <c r="V29" s="4"/>
      <c r="W29" s="3" t="s">
        <v>22</v>
      </c>
      <c r="X29" s="4"/>
      <c r="Y29" s="5"/>
      <c r="Z29" s="6"/>
      <c r="AA29" s="1"/>
      <c r="AC29" s="1"/>
      <c r="AD29" s="3" t="s">
        <v>21</v>
      </c>
      <c r="AE29" s="4"/>
      <c r="AF29" s="4"/>
      <c r="AG29" s="3" t="s">
        <v>22</v>
      </c>
      <c r="AH29" s="4"/>
      <c r="AI29" s="5"/>
      <c r="AJ29" s="6"/>
      <c r="AK29" s="1"/>
      <c r="AM29" s="1"/>
    </row>
    <row r="30" spans="1:39" x14ac:dyDescent="0.25">
      <c r="A30" s="1"/>
      <c r="B30" s="7" t="s">
        <v>28</v>
      </c>
      <c r="C30" s="4"/>
      <c r="D30" s="4"/>
      <c r="E30" s="4"/>
      <c r="F30" s="4"/>
      <c r="G30" s="1"/>
      <c r="I30" s="1"/>
      <c r="J30" s="7" t="s">
        <v>29</v>
      </c>
      <c r="K30" s="4"/>
      <c r="L30" s="4"/>
      <c r="M30" s="4"/>
      <c r="N30" s="4"/>
      <c r="O30" s="5"/>
      <c r="P30" s="6"/>
      <c r="Q30" s="1"/>
      <c r="S30" s="1"/>
      <c r="T30" s="7" t="s">
        <v>23</v>
      </c>
      <c r="U30" s="24" t="str">
        <f>C74</f>
        <v xml:space="preserve"> 7.75 </v>
      </c>
      <c r="V30" s="4"/>
      <c r="W30" s="7" t="s">
        <v>18</v>
      </c>
      <c r="X30" s="24" t="str">
        <f>F72</f>
        <v xml:space="preserve"> 7.75 </v>
      </c>
      <c r="Y30" s="25"/>
      <c r="Z30" s="26">
        <f>(X30-U30)/X30</f>
        <v>0</v>
      </c>
      <c r="AA30" s="1"/>
      <c r="AC30" s="1"/>
      <c r="AD30" s="7" t="s">
        <v>23</v>
      </c>
      <c r="AE30" s="24" t="s">
        <v>24</v>
      </c>
      <c r="AF30" s="4"/>
      <c r="AG30" s="7" t="s">
        <v>18</v>
      </c>
      <c r="AH30" s="24" t="s">
        <v>25</v>
      </c>
      <c r="AI30" s="25"/>
      <c r="AJ30" s="26">
        <f>(AH30-AE30)/AH30</f>
        <v>9.9009900990098369E-3</v>
      </c>
      <c r="AK30" s="1"/>
      <c r="AL30" s="27">
        <f>AJ30-Z30</f>
        <v>9.9009900990098369E-3</v>
      </c>
      <c r="AM30" s="1"/>
    </row>
    <row r="31" spans="1:39" x14ac:dyDescent="0.25">
      <c r="A31" s="1"/>
      <c r="B31" s="4"/>
      <c r="C31" s="4"/>
      <c r="D31" s="4"/>
      <c r="E31" s="4"/>
      <c r="F31" s="4"/>
      <c r="G31" s="1"/>
      <c r="I31" s="1"/>
      <c r="J31" s="4"/>
      <c r="K31" s="4"/>
      <c r="L31" s="4"/>
      <c r="M31" s="4"/>
      <c r="N31" s="4"/>
      <c r="O31" s="5"/>
      <c r="P31" s="6"/>
      <c r="Q31" s="1"/>
      <c r="S31" s="1"/>
      <c r="T31" s="1"/>
      <c r="U31" s="1"/>
      <c r="V31" s="5"/>
      <c r="W31" s="28"/>
      <c r="X31" s="25"/>
      <c r="Y31" s="25"/>
      <c r="Z31" s="29"/>
      <c r="AA31" s="1"/>
      <c r="AC31" s="1"/>
      <c r="AD31" s="1"/>
      <c r="AE31" s="1"/>
      <c r="AF31" s="5"/>
      <c r="AG31" s="28"/>
      <c r="AH31" s="25"/>
      <c r="AI31" s="25"/>
      <c r="AJ31" s="29"/>
      <c r="AK31" s="29"/>
      <c r="AL31" s="29"/>
      <c r="AM31" s="1"/>
    </row>
    <row r="32" spans="1:39" x14ac:dyDescent="0.25">
      <c r="A32" s="1"/>
      <c r="B32" s="7" t="s">
        <v>30</v>
      </c>
      <c r="C32" s="3" t="s">
        <v>31</v>
      </c>
      <c r="D32" s="4"/>
      <c r="E32" s="4"/>
      <c r="F32" s="4"/>
      <c r="G32" s="1"/>
      <c r="I32" s="1"/>
      <c r="J32" s="7" t="s">
        <v>30</v>
      </c>
      <c r="K32" s="3" t="s">
        <v>32</v>
      </c>
      <c r="L32" s="4"/>
      <c r="M32" s="4"/>
      <c r="N32" s="4"/>
      <c r="O32" s="5"/>
      <c r="P32" s="6"/>
      <c r="Q32" s="1"/>
      <c r="S32" s="1"/>
      <c r="T32" s="7" t="str">
        <f>"Name of determinand"</f>
        <v>Name of determinand</v>
      </c>
      <c r="U32" s="3" t="str">
        <f>"Temperature"</f>
        <v>Temperature</v>
      </c>
      <c r="V32" s="4"/>
      <c r="W32" s="4"/>
      <c r="X32" s="4"/>
      <c r="Y32" s="5"/>
      <c r="Z32" s="6"/>
      <c r="AA32" s="1"/>
      <c r="AC32" s="1"/>
      <c r="AD32" s="7" t="str">
        <f>"Name of determinand"</f>
        <v>Name of determinand</v>
      </c>
      <c r="AE32" s="3" t="str">
        <f>"Temperature"</f>
        <v>Temperature</v>
      </c>
      <c r="AF32" s="4"/>
      <c r="AG32" s="4"/>
      <c r="AH32" s="4"/>
      <c r="AI32" s="5"/>
      <c r="AJ32" s="18" t="s">
        <v>5</v>
      </c>
      <c r="AK32" s="19"/>
      <c r="AL32" s="18" t="s">
        <v>6</v>
      </c>
      <c r="AM32" s="1"/>
    </row>
    <row r="33" spans="1:39" x14ac:dyDescent="0.25">
      <c r="A33" s="1"/>
      <c r="B33" s="7" t="s">
        <v>33</v>
      </c>
      <c r="C33" s="7" t="s">
        <v>34</v>
      </c>
      <c r="D33" s="4"/>
      <c r="E33" s="4"/>
      <c r="F33" s="4"/>
      <c r="G33" s="1"/>
      <c r="I33" s="1"/>
      <c r="J33" s="7" t="s">
        <v>33</v>
      </c>
      <c r="K33" s="7" t="s">
        <v>34</v>
      </c>
      <c r="L33" s="4"/>
      <c r="M33" s="4"/>
      <c r="N33" s="4"/>
      <c r="O33" s="5"/>
      <c r="P33" s="6"/>
      <c r="Q33" s="1"/>
      <c r="S33" s="1"/>
      <c r="T33" s="4"/>
      <c r="U33" s="4"/>
      <c r="V33" s="4"/>
      <c r="W33" s="4"/>
      <c r="X33" s="4"/>
      <c r="Y33" s="5"/>
      <c r="Z33" s="6"/>
      <c r="AA33" s="1"/>
      <c r="AC33" s="1"/>
      <c r="AD33" s="4"/>
      <c r="AE33" s="4"/>
      <c r="AF33" s="4"/>
      <c r="AG33" s="4"/>
      <c r="AH33" s="4"/>
      <c r="AI33" s="5"/>
      <c r="AJ33" s="6"/>
      <c r="AK33" s="1"/>
      <c r="AM33" s="1"/>
    </row>
    <row r="34" spans="1:39" x14ac:dyDescent="0.25">
      <c r="A34" s="1"/>
      <c r="B34" s="7" t="s">
        <v>12</v>
      </c>
      <c r="C34" s="3" t="s">
        <v>8</v>
      </c>
      <c r="D34" s="4"/>
      <c r="E34" s="4"/>
      <c r="F34" s="4"/>
      <c r="G34" s="1"/>
      <c r="I34" s="1"/>
      <c r="J34" s="7" t="s">
        <v>12</v>
      </c>
      <c r="K34" s="3" t="s">
        <v>8</v>
      </c>
      <c r="L34" s="4"/>
      <c r="M34" s="4"/>
      <c r="N34" s="4"/>
      <c r="O34" s="5"/>
      <c r="P34" s="6"/>
      <c r="Q34" s="1"/>
      <c r="S34" s="1"/>
      <c r="T34" s="3" t="str">
        <f>"INPUT DATA"</f>
        <v>INPUT DATA</v>
      </c>
      <c r="U34" s="4"/>
      <c r="V34" s="4"/>
      <c r="W34" s="3" t="str">
        <f>"RESULTS"</f>
        <v>RESULTS</v>
      </c>
      <c r="X34" s="4"/>
      <c r="Y34" s="5"/>
      <c r="Z34" s="6"/>
      <c r="AA34" s="1"/>
      <c r="AC34" s="1"/>
      <c r="AD34" s="3" t="str">
        <f>"INPUT DATA"</f>
        <v>INPUT DATA</v>
      </c>
      <c r="AE34" s="4"/>
      <c r="AF34" s="4"/>
      <c r="AG34" s="3" t="str">
        <f>"RESULTS"</f>
        <v>RESULTS</v>
      </c>
      <c r="AH34" s="4"/>
      <c r="AI34" s="5"/>
      <c r="AJ34" s="6"/>
      <c r="AK34" s="1"/>
      <c r="AM34" s="1"/>
    </row>
    <row r="35" spans="1:39" x14ac:dyDescent="0.25">
      <c r="A35" s="1"/>
      <c r="B35" s="4"/>
      <c r="C35" s="4"/>
      <c r="D35" s="4"/>
      <c r="E35" s="4"/>
      <c r="F35" s="4"/>
      <c r="G35" s="1"/>
      <c r="I35" s="1"/>
      <c r="J35" s="4"/>
      <c r="L35" s="4"/>
      <c r="M35" s="4"/>
      <c r="N35" s="4"/>
      <c r="O35" s="5"/>
      <c r="P35" s="6"/>
      <c r="Q35" s="1"/>
      <c r="S35" s="1"/>
      <c r="T35" s="4"/>
      <c r="U35" s="4"/>
      <c r="V35" s="4"/>
      <c r="W35" s="4"/>
      <c r="X35" s="4"/>
      <c r="Y35" s="5"/>
      <c r="Z35" s="6"/>
      <c r="AA35" s="1"/>
      <c r="AC35" s="1"/>
      <c r="AD35" s="4"/>
      <c r="AE35" s="4"/>
      <c r="AF35" s="4"/>
      <c r="AG35" s="4"/>
      <c r="AH35" s="4"/>
      <c r="AI35" s="5"/>
      <c r="AJ35" s="6"/>
      <c r="AK35" s="1"/>
      <c r="AM35" s="1"/>
    </row>
    <row r="36" spans="1:39" x14ac:dyDescent="0.25">
      <c r="A36" s="1"/>
      <c r="B36" s="3" t="s">
        <v>14</v>
      </c>
      <c r="C36" s="4"/>
      <c r="D36" s="4"/>
      <c r="E36" s="3" t="s">
        <v>15</v>
      </c>
      <c r="F36" s="4"/>
      <c r="G36" s="1"/>
      <c r="I36" s="1"/>
      <c r="J36" s="3" t="s">
        <v>14</v>
      </c>
      <c r="K36" s="4"/>
      <c r="L36" s="4"/>
      <c r="M36" s="3" t="s">
        <v>15</v>
      </c>
      <c r="N36" s="4"/>
      <c r="O36" s="5"/>
      <c r="P36" s="6"/>
      <c r="Q36" s="1"/>
      <c r="S36" s="1"/>
      <c r="T36" s="3" t="str">
        <f>"UPSTREAM RIVER DATA"</f>
        <v>UPSTREAM RIVER DATA</v>
      </c>
      <c r="U36" s="4"/>
      <c r="V36" s="4"/>
      <c r="W36" s="3" t="str">
        <f>"RIVER DOWNSTREAM OF DISCHARGE"</f>
        <v>RIVER DOWNSTREAM OF DISCHARGE</v>
      </c>
      <c r="X36" s="4"/>
      <c r="Y36" s="5"/>
      <c r="Z36" s="6"/>
      <c r="AA36" s="1"/>
      <c r="AC36" s="1"/>
      <c r="AD36" s="3" t="str">
        <f>"UPSTREAM RIVER DATA"</f>
        <v>UPSTREAM RIVER DATA</v>
      </c>
      <c r="AE36" s="4"/>
      <c r="AF36" s="4"/>
      <c r="AG36" s="3" t="str">
        <f>"RIVER DOWNSTREAM OF DISCHARGE"</f>
        <v>RIVER DOWNSTREAM OF DISCHARGE</v>
      </c>
      <c r="AH36" s="4"/>
      <c r="AI36" s="5"/>
      <c r="AJ36" s="6"/>
      <c r="AK36" s="1"/>
      <c r="AM36" s="1"/>
    </row>
    <row r="37" spans="1:39" x14ac:dyDescent="0.25">
      <c r="A37" s="1"/>
      <c r="B37" s="4"/>
      <c r="C37" s="4"/>
      <c r="D37" s="4"/>
      <c r="E37" s="4"/>
      <c r="F37" s="4"/>
      <c r="G37" s="1"/>
      <c r="I37" s="1"/>
      <c r="J37" s="4"/>
      <c r="K37" s="4"/>
      <c r="L37" s="4"/>
      <c r="M37" s="4"/>
      <c r="N37" s="4"/>
      <c r="O37" s="5"/>
      <c r="P37" s="6"/>
      <c r="Q37" s="1"/>
      <c r="S37" s="1"/>
      <c r="T37" s="7" t="str">
        <f>"Mean quality"</f>
        <v>Mean quality</v>
      </c>
      <c r="U37" s="24" t="str">
        <f>C93</f>
        <v xml:space="preserve"> 17.30 </v>
      </c>
      <c r="V37" s="4"/>
      <c r="W37" s="7" t="str">
        <f>"Mean quality"</f>
        <v>Mean quality</v>
      </c>
      <c r="X37" s="24" t="str">
        <f>F91</f>
        <v xml:space="preserve"> 17.45 </v>
      </c>
      <c r="Y37" s="25"/>
      <c r="Z37" s="26">
        <f>(X37-U37)/X37</f>
        <v>8.5959885386818671E-3</v>
      </c>
      <c r="AA37" s="1"/>
      <c r="AC37" s="1"/>
      <c r="AD37" s="7" t="str">
        <f>"Mean quality"</f>
        <v>Mean quality</v>
      </c>
      <c r="AE37" s="24" t="str">
        <f>" 17.30 "</f>
        <v xml:space="preserve"> 17.30 </v>
      </c>
      <c r="AF37" s="4"/>
      <c r="AG37" s="7" t="str">
        <f>"Mean quality"</f>
        <v>Mean quality</v>
      </c>
      <c r="AH37" s="24" t="str">
        <f>" 17.56 "</f>
        <v xml:space="preserve"> 17.56 </v>
      </c>
      <c r="AI37" s="25"/>
      <c r="AJ37" s="26">
        <f>(AH37-AE37)/AH37</f>
        <v>1.4806378132118339E-2</v>
      </c>
      <c r="AK37" s="1"/>
      <c r="AL37" s="27">
        <f>AJ37-Z37</f>
        <v>6.210389593436472E-3</v>
      </c>
      <c r="AM37" s="1"/>
    </row>
    <row r="38" spans="1:39" x14ac:dyDescent="0.25">
      <c r="A38" s="1"/>
      <c r="B38" s="3" t="s">
        <v>16</v>
      </c>
      <c r="C38" s="4"/>
      <c r="D38" s="4"/>
      <c r="E38" s="3" t="s">
        <v>17</v>
      </c>
      <c r="F38" s="4"/>
      <c r="G38" s="1"/>
      <c r="I38" s="1"/>
      <c r="J38" s="3" t="s">
        <v>16</v>
      </c>
      <c r="K38" s="4"/>
      <c r="L38" s="4"/>
      <c r="M38" s="3" t="s">
        <v>17</v>
      </c>
      <c r="N38" s="4"/>
      <c r="O38" s="5"/>
      <c r="P38" s="6"/>
      <c r="Q38" s="1"/>
      <c r="S38" s="1"/>
      <c r="T38" s="3" t="str">
        <f>"DISCHARGE DATA"</f>
        <v>DISCHARGE DATA</v>
      </c>
      <c r="U38" s="4"/>
      <c r="V38" s="4"/>
      <c r="W38" s="3" t="str">
        <f>"DISCHARGE QUALITY"</f>
        <v>DISCHARGE QUALITY</v>
      </c>
      <c r="X38" s="4"/>
      <c r="Y38" s="5"/>
      <c r="Z38" s="6"/>
      <c r="AA38" s="1"/>
      <c r="AC38" s="1"/>
      <c r="AD38" s="3" t="str">
        <f>"DISCHARGE DATA"</f>
        <v>DISCHARGE DATA</v>
      </c>
      <c r="AE38" s="4"/>
      <c r="AF38" s="4"/>
      <c r="AG38" s="3" t="str">
        <f>"DISCHARGE QUALITY"</f>
        <v>DISCHARGE QUALITY</v>
      </c>
      <c r="AH38" s="4"/>
      <c r="AI38" s="5"/>
      <c r="AJ38" s="6"/>
      <c r="AK38" s="1"/>
      <c r="AM38" s="1"/>
    </row>
    <row r="39" spans="1:39" x14ac:dyDescent="0.25">
      <c r="A39" s="1"/>
      <c r="B39" s="7" t="s">
        <v>35</v>
      </c>
      <c r="C39" s="24" t="s">
        <v>36</v>
      </c>
      <c r="D39" s="4"/>
      <c r="E39" s="7" t="s">
        <v>18</v>
      </c>
      <c r="F39" s="24" t="s">
        <v>37</v>
      </c>
      <c r="G39" s="1"/>
      <c r="I39" s="1"/>
      <c r="J39" s="7" t="s">
        <v>35</v>
      </c>
      <c r="K39" s="24" t="s">
        <v>36</v>
      </c>
      <c r="L39" s="4"/>
      <c r="M39" s="7" t="s">
        <v>18</v>
      </c>
      <c r="N39" s="24" t="s">
        <v>20</v>
      </c>
      <c r="O39" s="25"/>
      <c r="P39" s="26">
        <f>(N39-K41)/N39</f>
        <v>3.1746031746031069E-3</v>
      </c>
      <c r="Q39" s="1"/>
      <c r="S39" s="1"/>
      <c r="T39" s="7" t="str">
        <f>"Mean quality "</f>
        <v xml:space="preserve">Mean quality </v>
      </c>
      <c r="U39" s="24" t="str">
        <f>C100</f>
        <v xml:space="preserve"> 19.84 </v>
      </c>
      <c r="V39" s="4"/>
      <c r="W39" s="7" t="str">
        <f>"Mean quality"</f>
        <v>Mean quality</v>
      </c>
      <c r="X39" s="24" t="str">
        <f>F98</f>
        <v xml:space="preserve"> 19.99 </v>
      </c>
      <c r="Y39" s="25"/>
      <c r="Z39" s="26">
        <f>(X39-U39)/X39</f>
        <v>7.5037518759378981E-3</v>
      </c>
      <c r="AA39" s="1"/>
      <c r="AC39" s="1"/>
      <c r="AD39" s="7" t="str">
        <f>"Mean quality "</f>
        <v xml:space="preserve">Mean quality </v>
      </c>
      <c r="AE39" s="24" t="str">
        <f>" 19.84 "</f>
        <v xml:space="preserve"> 19.84 </v>
      </c>
      <c r="AF39" s="4"/>
      <c r="AG39" s="7" t="str">
        <f>"Mean quality"</f>
        <v>Mean quality</v>
      </c>
      <c r="AH39" s="24" t="str">
        <f>" 19.99 "</f>
        <v xml:space="preserve"> 19.99 </v>
      </c>
      <c r="AI39" s="25"/>
      <c r="AJ39" s="26">
        <f>(AH39-AE39)/AH39</f>
        <v>7.5037518759378981E-3</v>
      </c>
      <c r="AK39" s="1"/>
      <c r="AL39" s="27">
        <f>AJ39-Z39</f>
        <v>0</v>
      </c>
      <c r="AM39" s="1"/>
    </row>
    <row r="40" spans="1:39" x14ac:dyDescent="0.25">
      <c r="A40" s="1"/>
      <c r="B40" s="7" t="s">
        <v>38</v>
      </c>
      <c r="C40" s="24" t="s">
        <v>39</v>
      </c>
      <c r="D40" s="4"/>
      <c r="E40" s="7" t="s">
        <v>40</v>
      </c>
      <c r="F40" s="24" t="s">
        <v>41</v>
      </c>
      <c r="G40" s="1"/>
      <c r="I40" s="1"/>
      <c r="J40" s="7" t="s">
        <v>38</v>
      </c>
      <c r="K40" s="24" t="s">
        <v>39</v>
      </c>
      <c r="L40" s="4"/>
      <c r="M40" s="7" t="s">
        <v>40</v>
      </c>
      <c r="N40" s="24" t="s">
        <v>42</v>
      </c>
      <c r="O40" s="25"/>
      <c r="P40" s="26"/>
      <c r="Q40" s="1"/>
      <c r="S40" s="1"/>
      <c r="T40" s="1"/>
      <c r="U40" s="1"/>
      <c r="V40" s="5"/>
      <c r="W40" s="28"/>
      <c r="X40" s="25"/>
      <c r="Y40" s="25"/>
      <c r="Z40" s="29"/>
      <c r="AA40" s="1"/>
      <c r="AC40" s="1"/>
      <c r="AD40" s="1"/>
      <c r="AE40" s="1"/>
      <c r="AF40" s="5"/>
      <c r="AG40" s="28"/>
      <c r="AH40" s="25"/>
      <c r="AI40" s="25"/>
      <c r="AJ40" s="29"/>
      <c r="AK40" s="29"/>
      <c r="AL40" s="29"/>
      <c r="AM40" s="1"/>
    </row>
    <row r="41" spans="1:39" x14ac:dyDescent="0.25">
      <c r="A41" s="1"/>
      <c r="B41" s="7" t="s">
        <v>18</v>
      </c>
      <c r="C41" s="24" t="s">
        <v>19</v>
      </c>
      <c r="D41" s="4"/>
      <c r="E41" s="7" t="s">
        <v>43</v>
      </c>
      <c r="F41" s="24" t="s">
        <v>44</v>
      </c>
      <c r="G41" s="1"/>
      <c r="I41" s="1"/>
      <c r="J41" s="7" t="s">
        <v>18</v>
      </c>
      <c r="K41" s="24" t="s">
        <v>19</v>
      </c>
      <c r="L41" s="4"/>
      <c r="M41" s="7" t="s">
        <v>43</v>
      </c>
      <c r="N41" s="24" t="s">
        <v>45</v>
      </c>
      <c r="O41" s="25"/>
      <c r="P41" s="26"/>
      <c r="Q41" s="1"/>
      <c r="S41" s="1"/>
      <c r="T41" s="7" t="str">
        <f>"Name of determinand"</f>
        <v>Name of determinand</v>
      </c>
      <c r="U41" s="3" t="str">
        <f>"Total Nitrogen"</f>
        <v>Total Nitrogen</v>
      </c>
      <c r="V41" s="4"/>
      <c r="W41" s="4"/>
      <c r="X41" s="4"/>
      <c r="Y41" s="5"/>
      <c r="Z41" s="6"/>
      <c r="AA41" s="1"/>
      <c r="AC41" s="1"/>
      <c r="AD41" s="7" t="str">
        <f>"Name of determinand"</f>
        <v>Name of determinand</v>
      </c>
      <c r="AE41" s="3" t="str">
        <f>"Total Nitrogen"</f>
        <v>Total Nitrogen</v>
      </c>
      <c r="AF41" s="4"/>
      <c r="AG41" s="4"/>
      <c r="AH41" s="4"/>
      <c r="AI41" s="5"/>
      <c r="AJ41" s="18" t="s">
        <v>5</v>
      </c>
      <c r="AK41" s="19"/>
      <c r="AL41" s="18" t="s">
        <v>6</v>
      </c>
      <c r="AM41" s="1"/>
    </row>
    <row r="42" spans="1:39" x14ac:dyDescent="0.25">
      <c r="A42" s="1"/>
      <c r="B42" s="7" t="s">
        <v>40</v>
      </c>
      <c r="C42" s="24" t="s">
        <v>46</v>
      </c>
      <c r="D42" s="4"/>
      <c r="E42" s="7" t="s">
        <v>47</v>
      </c>
      <c r="F42" s="24" t="s">
        <v>48</v>
      </c>
      <c r="G42" s="1"/>
      <c r="I42" s="1"/>
      <c r="J42" s="7" t="s">
        <v>40</v>
      </c>
      <c r="K42" s="24" t="s">
        <v>46</v>
      </c>
      <c r="L42" s="4"/>
      <c r="M42" s="7" t="s">
        <v>47</v>
      </c>
      <c r="N42" s="24" t="s">
        <v>49</v>
      </c>
      <c r="O42" s="25"/>
      <c r="P42" s="26"/>
      <c r="Q42" s="1"/>
      <c r="S42" s="1"/>
      <c r="T42" s="4"/>
      <c r="U42" s="4"/>
      <c r="V42" s="4"/>
      <c r="W42" s="4"/>
      <c r="X42" s="4"/>
      <c r="Y42" s="5"/>
      <c r="Z42" s="6"/>
      <c r="AA42" s="1"/>
      <c r="AC42" s="1"/>
      <c r="AD42" s="4"/>
      <c r="AE42" s="4"/>
      <c r="AF42" s="4"/>
      <c r="AG42" s="4"/>
      <c r="AH42" s="4"/>
      <c r="AI42" s="5"/>
      <c r="AJ42" s="6"/>
      <c r="AK42" s="1"/>
      <c r="AM42" s="1"/>
    </row>
    <row r="43" spans="1:39" x14ac:dyDescent="0.25">
      <c r="A43" s="1"/>
      <c r="B43" s="7" t="s">
        <v>50</v>
      </c>
      <c r="C43" s="24" t="s">
        <v>51</v>
      </c>
      <c r="D43" s="4"/>
      <c r="E43" s="7" t="s">
        <v>52</v>
      </c>
      <c r="F43" s="24" t="s">
        <v>53</v>
      </c>
      <c r="G43" s="1"/>
      <c r="I43" s="1"/>
      <c r="J43" s="7" t="s">
        <v>50</v>
      </c>
      <c r="K43" s="24" t="s">
        <v>51</v>
      </c>
      <c r="L43" s="4"/>
      <c r="M43" s="7" t="s">
        <v>52</v>
      </c>
      <c r="N43" s="24" t="s">
        <v>54</v>
      </c>
      <c r="O43" s="25"/>
      <c r="P43" s="26"/>
      <c r="Q43" s="1"/>
      <c r="S43" s="1"/>
      <c r="T43" s="3" t="str">
        <f>"INPUT DATA"</f>
        <v>INPUT DATA</v>
      </c>
      <c r="U43" s="4"/>
      <c r="V43" s="4"/>
      <c r="W43" s="3" t="str">
        <f>"RESULTS"</f>
        <v>RESULTS</v>
      </c>
      <c r="X43" s="4"/>
      <c r="Y43" s="5"/>
      <c r="Z43" s="6"/>
      <c r="AA43" s="1"/>
      <c r="AC43" s="1"/>
      <c r="AD43" s="3" t="str">
        <f>"INPUT DATA"</f>
        <v>INPUT DATA</v>
      </c>
      <c r="AE43" s="4"/>
      <c r="AF43" s="4"/>
      <c r="AG43" s="3" t="str">
        <f>"RESULTS"</f>
        <v>RESULTS</v>
      </c>
      <c r="AH43" s="4"/>
      <c r="AI43" s="5"/>
      <c r="AJ43" s="6"/>
      <c r="AK43" s="1"/>
      <c r="AM43" s="1"/>
    </row>
    <row r="44" spans="1:39" x14ac:dyDescent="0.25">
      <c r="A44" s="1"/>
      <c r="B44" s="4"/>
      <c r="C44" s="4"/>
      <c r="D44" s="4"/>
      <c r="E44" s="4"/>
      <c r="F44" s="4"/>
      <c r="G44" s="1"/>
      <c r="I44" s="1"/>
      <c r="J44" s="4"/>
      <c r="K44" s="4"/>
      <c r="L44" s="4"/>
      <c r="M44" s="4"/>
      <c r="N44" s="4"/>
      <c r="O44" s="5"/>
      <c r="P44" s="6"/>
      <c r="Q44" s="1"/>
      <c r="S44" s="1"/>
      <c r="T44" s="4"/>
      <c r="U44" s="4"/>
      <c r="V44" s="4"/>
      <c r="W44" s="4"/>
      <c r="X44" s="4"/>
      <c r="Y44" s="5"/>
      <c r="Z44" s="6"/>
      <c r="AA44" s="1"/>
      <c r="AC44" s="1"/>
      <c r="AD44" s="4"/>
      <c r="AE44" s="4"/>
      <c r="AF44" s="4"/>
      <c r="AG44" s="4"/>
      <c r="AH44" s="4"/>
      <c r="AI44" s="5"/>
      <c r="AJ44" s="6"/>
      <c r="AK44" s="1"/>
      <c r="AM44" s="1"/>
    </row>
    <row r="45" spans="1:39" x14ac:dyDescent="0.25">
      <c r="A45" s="1"/>
      <c r="B45" s="3" t="s">
        <v>21</v>
      </c>
      <c r="C45" s="4"/>
      <c r="D45" s="4"/>
      <c r="E45" s="3" t="s">
        <v>22</v>
      </c>
      <c r="F45" s="4"/>
      <c r="G45" s="1"/>
      <c r="I45" s="1"/>
      <c r="J45" s="3" t="s">
        <v>21</v>
      </c>
      <c r="K45" s="4"/>
      <c r="L45" s="4"/>
      <c r="M45" s="3" t="s">
        <v>22</v>
      </c>
      <c r="N45" s="4"/>
      <c r="O45" s="5"/>
      <c r="P45" s="6"/>
      <c r="Q45" s="1"/>
      <c r="S45" s="1"/>
      <c r="T45" s="3" t="str">
        <f>"UPSTREAM RIVER DATA"</f>
        <v>UPSTREAM RIVER DATA</v>
      </c>
      <c r="U45" s="4"/>
      <c r="V45" s="4"/>
      <c r="W45" s="3" t="str">
        <f>"RIVER DOWNSTREAM OF DISCHARGE"</f>
        <v>RIVER DOWNSTREAM OF DISCHARGE</v>
      </c>
      <c r="X45" s="4"/>
      <c r="Y45" s="5"/>
      <c r="Z45" s="6"/>
      <c r="AA45" s="1"/>
      <c r="AC45" s="1"/>
      <c r="AD45" s="3" t="str">
        <f>"UPSTREAM RIVER DATA"</f>
        <v>UPSTREAM RIVER DATA</v>
      </c>
      <c r="AE45" s="4"/>
      <c r="AF45" s="4"/>
      <c r="AG45" s="3" t="str">
        <f>"RIVER DOWNSTREAM OF DISCHARGE"</f>
        <v>RIVER DOWNSTREAM OF DISCHARGE</v>
      </c>
      <c r="AH45" s="4"/>
      <c r="AI45" s="5"/>
      <c r="AJ45" s="6"/>
      <c r="AK45" s="1"/>
      <c r="AM45" s="1"/>
    </row>
    <row r="46" spans="1:39" x14ac:dyDescent="0.25">
      <c r="A46" s="1"/>
      <c r="B46" s="7" t="s">
        <v>55</v>
      </c>
      <c r="C46" s="24" t="s">
        <v>56</v>
      </c>
      <c r="D46" s="4"/>
      <c r="E46" s="7" t="s">
        <v>18</v>
      </c>
      <c r="F46" s="24" t="s">
        <v>25</v>
      </c>
      <c r="G46" s="1"/>
      <c r="I46" s="1"/>
      <c r="J46" s="7" t="s">
        <v>55</v>
      </c>
      <c r="K46" s="24" t="s">
        <v>57</v>
      </c>
      <c r="L46" s="4"/>
      <c r="M46" s="7" t="s">
        <v>18</v>
      </c>
      <c r="N46" s="24" t="s">
        <v>25</v>
      </c>
      <c r="O46" s="25"/>
      <c r="P46" s="26">
        <f>(N46-K48)/N46</f>
        <v>9.9009900990098369E-3</v>
      </c>
      <c r="Q46" s="1"/>
      <c r="S46" s="1"/>
      <c r="T46" s="7" t="str">
        <f>"Mean quality"</f>
        <v>Mean quality</v>
      </c>
      <c r="U46" s="24" t="str">
        <f>C119</f>
        <v xml:space="preserve"> 7.18 </v>
      </c>
      <c r="V46" s="4"/>
      <c r="W46" s="7" t="str">
        <f>"Mean quality"</f>
        <v>Mean quality</v>
      </c>
      <c r="X46" s="24" t="str">
        <f>F117</f>
        <v xml:space="preserve"> 7.33 </v>
      </c>
      <c r="Y46" s="25"/>
      <c r="Z46" s="26">
        <f>(X46-U46)/X46</f>
        <v>2.0463847203274262E-2</v>
      </c>
      <c r="AA46" s="1"/>
      <c r="AC46" s="1"/>
      <c r="AD46" s="7" t="str">
        <f>"Mean quality"</f>
        <v>Mean quality</v>
      </c>
      <c r="AE46" s="24" t="str">
        <f>" 7.18 "</f>
        <v xml:space="preserve"> 7.18 </v>
      </c>
      <c r="AF46" s="4"/>
      <c r="AG46" s="7" t="str">
        <f>"Mean quality"</f>
        <v>Mean quality</v>
      </c>
      <c r="AH46" s="24" t="str">
        <f>" 7.46 "</f>
        <v xml:space="preserve"> 7.46 </v>
      </c>
      <c r="AI46" s="25"/>
      <c r="AJ46" s="26">
        <f>(AH46-AE46)/AH46</f>
        <v>3.7533512064343195E-2</v>
      </c>
      <c r="AK46" s="1"/>
      <c r="AL46" s="27">
        <f>AJ46-Z46</f>
        <v>1.7069664861068933E-2</v>
      </c>
      <c r="AM46" s="1"/>
    </row>
    <row r="47" spans="1:39" x14ac:dyDescent="0.25">
      <c r="A47" s="1"/>
      <c r="B47" s="7" t="s">
        <v>58</v>
      </c>
      <c r="C47" s="24" t="s">
        <v>59</v>
      </c>
      <c r="D47" s="4"/>
      <c r="E47" s="7" t="s">
        <v>40</v>
      </c>
      <c r="F47" s="24" t="s">
        <v>60</v>
      </c>
      <c r="G47" s="1"/>
      <c r="I47" s="1"/>
      <c r="J47" s="7" t="s">
        <v>58</v>
      </c>
      <c r="K47" s="24" t="s">
        <v>59</v>
      </c>
      <c r="L47" s="4"/>
      <c r="M47" s="7" t="s">
        <v>40</v>
      </c>
      <c r="N47" s="24" t="s">
        <v>60</v>
      </c>
      <c r="O47" s="25"/>
      <c r="P47" s="26"/>
      <c r="Q47" s="1"/>
      <c r="S47" s="1"/>
      <c r="T47" s="3" t="str">
        <f>"DISCHARGE DATA"</f>
        <v>DISCHARGE DATA</v>
      </c>
      <c r="U47" s="4"/>
      <c r="V47" s="4"/>
      <c r="W47" s="3" t="str">
        <f>"DISCHARGE QUALITY"</f>
        <v>DISCHARGE QUALITY</v>
      </c>
      <c r="X47" s="4"/>
      <c r="Y47" s="5"/>
      <c r="Z47" s="6"/>
      <c r="AA47" s="1"/>
      <c r="AC47" s="1"/>
      <c r="AD47" s="3" t="str">
        <f>"DISCHARGE DATA"</f>
        <v>DISCHARGE DATA</v>
      </c>
      <c r="AE47" s="4"/>
      <c r="AF47" s="4"/>
      <c r="AG47" s="3" t="str">
        <f>"DISCHARGE QUALITY"</f>
        <v>DISCHARGE QUALITY</v>
      </c>
      <c r="AH47" s="4"/>
      <c r="AI47" s="5"/>
      <c r="AJ47" s="6"/>
      <c r="AK47" s="1"/>
      <c r="AM47" s="1"/>
    </row>
    <row r="48" spans="1:39" x14ac:dyDescent="0.25">
      <c r="A48" s="1"/>
      <c r="B48" s="7" t="s">
        <v>23</v>
      </c>
      <c r="C48" s="24" t="s">
        <v>24</v>
      </c>
      <c r="D48" s="4"/>
      <c r="E48" s="7" t="s">
        <v>47</v>
      </c>
      <c r="F48" s="24" t="s">
        <v>61</v>
      </c>
      <c r="G48" s="1"/>
      <c r="I48" s="1"/>
      <c r="J48" s="7" t="s">
        <v>23</v>
      </c>
      <c r="K48" s="24" t="s">
        <v>24</v>
      </c>
      <c r="L48" s="4"/>
      <c r="M48" s="7" t="s">
        <v>47</v>
      </c>
      <c r="N48" s="24" t="s">
        <v>61</v>
      </c>
      <c r="O48" s="25"/>
      <c r="P48" s="26"/>
      <c r="Q48" s="1"/>
      <c r="S48" s="1"/>
      <c r="T48" s="7" t="str">
        <f>"Mean quality "</f>
        <v xml:space="preserve">Mean quality </v>
      </c>
      <c r="U48" s="24" t="str">
        <f>C126</f>
        <v xml:space="preserve"> 10.00 </v>
      </c>
      <c r="V48" s="4"/>
      <c r="W48" s="7" t="str">
        <f>"Mean quality"</f>
        <v>Mean quality</v>
      </c>
      <c r="X48" s="24" t="str">
        <f>F124</f>
        <v xml:space="preserve"> 10.15 </v>
      </c>
      <c r="Y48" s="25"/>
      <c r="Z48" s="26">
        <f>(X48-U48)/X48</f>
        <v>1.4778325123152743E-2</v>
      </c>
      <c r="AA48" s="1"/>
      <c r="AC48" s="1"/>
      <c r="AD48" s="7" t="str">
        <f>"Mean quality "</f>
        <v xml:space="preserve">Mean quality </v>
      </c>
      <c r="AE48" s="24" t="str">
        <f>" 10.00 "</f>
        <v xml:space="preserve"> 10.00 </v>
      </c>
      <c r="AF48" s="4"/>
      <c r="AG48" s="7" t="str">
        <f>"Mean quality"</f>
        <v>Mean quality</v>
      </c>
      <c r="AH48" s="24" t="str">
        <f>" 10.15 "</f>
        <v xml:space="preserve"> 10.15 </v>
      </c>
      <c r="AI48" s="25"/>
      <c r="AJ48" s="26">
        <f>(AH48-AE48)/AH48</f>
        <v>1.4778325123152743E-2</v>
      </c>
      <c r="AK48" s="1"/>
      <c r="AL48" s="27">
        <f>AJ48-Z48</f>
        <v>0</v>
      </c>
      <c r="AM48" s="1"/>
    </row>
    <row r="49" spans="1:39" x14ac:dyDescent="0.25">
      <c r="A49" s="1"/>
      <c r="B49" s="7" t="s">
        <v>40</v>
      </c>
      <c r="C49" s="24" t="s">
        <v>60</v>
      </c>
      <c r="D49" s="4"/>
      <c r="E49" s="7" t="s">
        <v>52</v>
      </c>
      <c r="F49" s="24" t="s">
        <v>62</v>
      </c>
      <c r="G49" s="1"/>
      <c r="I49" s="1"/>
      <c r="J49" s="7" t="s">
        <v>40</v>
      </c>
      <c r="K49" s="24" t="s">
        <v>60</v>
      </c>
      <c r="L49" s="4"/>
      <c r="M49" s="7" t="s">
        <v>52</v>
      </c>
      <c r="N49" s="24" t="s">
        <v>62</v>
      </c>
      <c r="O49" s="25"/>
      <c r="P49" s="26"/>
      <c r="Q49" s="1"/>
      <c r="S49" s="1"/>
      <c r="T49" s="1"/>
      <c r="U49" s="1"/>
      <c r="V49" s="5"/>
      <c r="W49" s="28"/>
      <c r="X49" s="25"/>
      <c r="Y49" s="25"/>
      <c r="Z49" s="29"/>
      <c r="AA49" s="1"/>
      <c r="AC49" s="1"/>
      <c r="AD49" s="1"/>
      <c r="AE49" s="1"/>
      <c r="AF49" s="5"/>
      <c r="AG49" s="28"/>
      <c r="AH49" s="25"/>
      <c r="AI49" s="25"/>
      <c r="AJ49" s="29"/>
      <c r="AK49" s="29"/>
      <c r="AL49" s="29"/>
      <c r="AM49" s="29"/>
    </row>
    <row r="50" spans="1:39" x14ac:dyDescent="0.25">
      <c r="A50" s="1"/>
      <c r="B50" s="7" t="s">
        <v>63</v>
      </c>
      <c r="C50" s="24" t="s">
        <v>64</v>
      </c>
      <c r="D50" s="4"/>
      <c r="E50" s="7" t="s">
        <v>65</v>
      </c>
      <c r="F50" s="24" t="s">
        <v>66</v>
      </c>
      <c r="G50" s="1"/>
      <c r="I50" s="1"/>
      <c r="J50" s="7" t="s">
        <v>63</v>
      </c>
      <c r="K50" s="24" t="s">
        <v>64</v>
      </c>
      <c r="L50" s="4"/>
      <c r="M50" s="7" t="s">
        <v>65</v>
      </c>
      <c r="N50" s="24" t="s">
        <v>66</v>
      </c>
      <c r="O50" s="25"/>
      <c r="P50" s="26"/>
      <c r="Q50" s="1"/>
      <c r="V50" s="4"/>
      <c r="W50" s="7"/>
      <c r="X50" s="24"/>
      <c r="Y50" s="24"/>
      <c r="Z50" s="26"/>
      <c r="AF50" s="4"/>
      <c r="AG50" s="7"/>
      <c r="AH50" s="24"/>
      <c r="AI50" s="24"/>
      <c r="AJ50" s="26"/>
    </row>
    <row r="51" spans="1:39" x14ac:dyDescent="0.25">
      <c r="A51" s="1"/>
      <c r="D51" s="4"/>
      <c r="E51" s="4"/>
      <c r="F51" s="4"/>
      <c r="G51" s="1"/>
      <c r="I51" s="1"/>
      <c r="L51" s="4"/>
      <c r="M51" s="4"/>
      <c r="N51" s="4"/>
      <c r="O51" s="5"/>
      <c r="P51" s="6"/>
      <c r="Q51" s="1"/>
    </row>
    <row r="52" spans="1:39" x14ac:dyDescent="0.25">
      <c r="A52" s="1"/>
      <c r="B52" s="5"/>
      <c r="C52" s="5"/>
      <c r="D52" s="5"/>
      <c r="E52" s="5"/>
      <c r="F52" s="5"/>
      <c r="G52" s="1"/>
      <c r="I52" s="1"/>
      <c r="J52" s="1"/>
      <c r="K52" s="1"/>
      <c r="L52" s="1"/>
      <c r="M52" s="1"/>
      <c r="N52" s="1"/>
      <c r="O52" s="1"/>
      <c r="P52" s="2"/>
      <c r="Q52" s="1"/>
    </row>
    <row r="53" spans="1:39" x14ac:dyDescent="0.25">
      <c r="A53" s="1"/>
      <c r="B53" s="4"/>
      <c r="C53" s="4"/>
      <c r="D53" s="4"/>
      <c r="E53" s="4"/>
      <c r="F53" s="4"/>
      <c r="G53" s="1"/>
      <c r="I53" s="1"/>
      <c r="O53" s="1"/>
      <c r="Q53" s="1"/>
    </row>
    <row r="54" spans="1:39" x14ac:dyDescent="0.25">
      <c r="A54" s="1"/>
      <c r="B54" s="3" t="str">
        <f>"MASS BALANCE CALCULATION: MONTE CARLO METHOD"</f>
        <v>MASS BALANCE CALCULATION: MONTE CARLO METHOD</v>
      </c>
      <c r="C54" s="4"/>
      <c r="D54" s="4"/>
      <c r="E54" s="4"/>
      <c r="F54" s="4"/>
      <c r="G54" s="1"/>
      <c r="I54" s="1"/>
      <c r="J54" s="3" t="str">
        <f>"MASS BALANCE CALCULATION: MONTE CARLO METHOD"</f>
        <v>MASS BALANCE CALCULATION: MONTE CARLO METHOD</v>
      </c>
      <c r="K54" s="4"/>
      <c r="L54" s="4"/>
      <c r="M54" s="4"/>
      <c r="N54" s="4"/>
      <c r="O54" s="5"/>
      <c r="P54" s="6"/>
      <c r="Q54" s="1"/>
    </row>
    <row r="55" spans="1:39" x14ac:dyDescent="0.25">
      <c r="A55" s="1"/>
      <c r="B55" s="7" t="str">
        <f>"Version 2.5"</f>
        <v>Version 2.5</v>
      </c>
      <c r="C55" s="4"/>
      <c r="D55" s="4"/>
      <c r="E55" s="4"/>
      <c r="F55" s="4"/>
      <c r="G55" s="1"/>
      <c r="I55" s="1"/>
      <c r="J55" s="7" t="str">
        <f>"Version 2.5"</f>
        <v>Version 2.5</v>
      </c>
      <c r="K55" s="4"/>
      <c r="L55" s="4"/>
      <c r="M55" s="4"/>
      <c r="N55" s="4"/>
      <c r="O55" s="5"/>
      <c r="P55" s="6"/>
      <c r="Q55" s="1"/>
    </row>
    <row r="56" spans="1:39" x14ac:dyDescent="0.25">
      <c r="A56" s="1"/>
      <c r="B56" s="7" t="str">
        <f>"Calculations done on 28/11/2024 at 11.02"</f>
        <v>Calculations done on 28/11/2024 at 11.02</v>
      </c>
      <c r="C56" s="4"/>
      <c r="D56" s="4"/>
      <c r="E56" s="4"/>
      <c r="F56" s="4"/>
      <c r="G56" s="1"/>
      <c r="I56" s="1"/>
      <c r="J56" s="7" t="str">
        <f>"Calculations done on 28/11/2024 at 11.58"</f>
        <v>Calculations done on 28/11/2024 at 11.58</v>
      </c>
      <c r="K56" s="4"/>
      <c r="L56" s="4"/>
      <c r="M56" s="4"/>
      <c r="N56" s="4"/>
      <c r="O56" s="5"/>
      <c r="P56" s="6"/>
      <c r="Q56" s="1"/>
    </row>
    <row r="57" spans="1:39" x14ac:dyDescent="0.25">
      <c r="A57" s="1"/>
      <c r="B57" s="4"/>
      <c r="C57" s="4"/>
      <c r="D57" s="4"/>
      <c r="E57" s="4"/>
      <c r="F57" s="4"/>
      <c r="G57" s="1"/>
      <c r="I57" s="1"/>
      <c r="J57" s="4"/>
      <c r="K57" s="4"/>
      <c r="L57" s="4"/>
      <c r="M57" s="4"/>
      <c r="N57" s="4"/>
      <c r="O57" s="5"/>
      <c r="P57" s="6"/>
      <c r="Q57" s="1"/>
    </row>
    <row r="58" spans="1:39" x14ac:dyDescent="0.25">
      <c r="A58" s="1"/>
      <c r="B58" s="7" t="str">
        <f>"Name of discharge"</f>
        <v>Name of discharge</v>
      </c>
      <c r="C58" s="3" t="str">
        <f>"Muntons Trade Effluent - Current Discharge"</f>
        <v>Muntons Trade Effluent - Current Discharge</v>
      </c>
      <c r="D58" s="4"/>
      <c r="E58" s="4"/>
      <c r="F58" s="4"/>
      <c r="G58" s="1"/>
      <c r="I58" s="1"/>
      <c r="J58" s="7" t="str">
        <f>"Name of discharge"</f>
        <v>Name of discharge</v>
      </c>
      <c r="K58" s="3" t="str">
        <f>"Muntons Trade Effluent - Maximum Proposed Discharge (2500m3/24hr)"</f>
        <v>Muntons Trade Effluent - Maximum Proposed Discharge (2500m3/24hr)</v>
      </c>
      <c r="L58" s="4"/>
      <c r="M58" s="4"/>
      <c r="N58" s="4"/>
      <c r="O58" s="5"/>
      <c r="P58" s="6"/>
      <c r="Q58" s="1"/>
    </row>
    <row r="59" spans="1:39" x14ac:dyDescent="0.25">
      <c r="A59" s="1"/>
      <c r="B59" s="7" t="str">
        <f>"Name of river"</f>
        <v>Name of river</v>
      </c>
      <c r="C59" s="7" t="str">
        <f>"River Gipping"</f>
        <v>River Gipping</v>
      </c>
      <c r="D59" s="4"/>
      <c r="E59" s="4"/>
      <c r="F59" s="4"/>
      <c r="G59" s="1"/>
      <c r="I59" s="1"/>
      <c r="J59" s="7" t="str">
        <f>"Name of river"</f>
        <v>Name of river</v>
      </c>
      <c r="K59" s="7" t="str">
        <f>"River Gipping"</f>
        <v>River Gipping</v>
      </c>
      <c r="L59" s="4"/>
      <c r="M59" s="4"/>
      <c r="N59" s="4"/>
      <c r="O59" s="5"/>
      <c r="P59" s="6"/>
      <c r="Q59" s="1"/>
    </row>
    <row r="60" spans="1:39" x14ac:dyDescent="0.25">
      <c r="A60" s="1"/>
      <c r="B60" s="7" t="str">
        <f>"Name of determinand"</f>
        <v>Name of determinand</v>
      </c>
      <c r="C60" s="3" t="str">
        <f>"pH"</f>
        <v>pH</v>
      </c>
      <c r="D60" s="4"/>
      <c r="E60" s="4"/>
      <c r="F60" s="4"/>
      <c r="G60" s="1"/>
      <c r="I60" s="1"/>
      <c r="J60" s="7" t="str">
        <f>"Name of determinand"</f>
        <v>Name of determinand</v>
      </c>
      <c r="K60" s="3" t="str">
        <f>"pH"</f>
        <v>pH</v>
      </c>
      <c r="L60" s="4"/>
      <c r="M60" s="4"/>
      <c r="N60" s="4"/>
      <c r="O60" s="5"/>
      <c r="P60" s="6"/>
      <c r="Q60" s="1"/>
    </row>
    <row r="61" spans="1:39" x14ac:dyDescent="0.25">
      <c r="A61" s="1"/>
      <c r="B61" s="4"/>
      <c r="C61" s="4"/>
      <c r="D61" s="4"/>
      <c r="E61" s="4"/>
      <c r="F61" s="4"/>
      <c r="G61" s="1"/>
      <c r="I61" s="1"/>
      <c r="J61" s="4"/>
      <c r="K61" s="4"/>
      <c r="L61" s="4"/>
      <c r="M61" s="4"/>
      <c r="N61" s="4"/>
      <c r="O61" s="5"/>
      <c r="P61" s="6"/>
      <c r="Q61" s="1"/>
    </row>
    <row r="62" spans="1:39" x14ac:dyDescent="0.25">
      <c r="A62" s="1"/>
      <c r="B62" s="3" t="str">
        <f>"INPUT DATA"</f>
        <v>INPUT DATA</v>
      </c>
      <c r="C62" s="4"/>
      <c r="D62" s="4"/>
      <c r="E62" s="3" t="str">
        <f>"RESULTS"</f>
        <v>RESULTS</v>
      </c>
      <c r="F62" s="4"/>
      <c r="G62" s="1"/>
      <c r="I62" s="1"/>
      <c r="J62" s="3" t="str">
        <f>"INPUT DATA"</f>
        <v>INPUT DATA</v>
      </c>
      <c r="K62" s="4"/>
      <c r="L62" s="4"/>
      <c r="M62" s="3" t="str">
        <f>"RESULTS"</f>
        <v>RESULTS</v>
      </c>
      <c r="N62" s="4"/>
      <c r="O62" s="5"/>
      <c r="P62" s="6"/>
      <c r="Q62" s="1"/>
    </row>
    <row r="63" spans="1:39" x14ac:dyDescent="0.25">
      <c r="A63" s="1"/>
      <c r="B63" s="4"/>
      <c r="C63" s="4"/>
      <c r="D63" s="4"/>
      <c r="E63" s="4"/>
      <c r="F63" s="4"/>
      <c r="G63" s="1"/>
      <c r="I63" s="1"/>
      <c r="J63" s="4"/>
      <c r="K63" s="4"/>
      <c r="L63" s="4"/>
      <c r="M63" s="4"/>
      <c r="N63" s="4"/>
      <c r="O63" s="5"/>
      <c r="P63" s="6"/>
      <c r="Q63" s="1"/>
    </row>
    <row r="64" spans="1:39" x14ac:dyDescent="0.25">
      <c r="A64" s="1"/>
      <c r="B64" s="3" t="str">
        <f>"UPSTREAM RIVER DATA"</f>
        <v>UPSTREAM RIVER DATA</v>
      </c>
      <c r="C64" s="4"/>
      <c r="D64" s="4"/>
      <c r="E64" s="3" t="str">
        <f>"RIVER DOWNSTREAM OF DISCHARGE"</f>
        <v>RIVER DOWNSTREAM OF DISCHARGE</v>
      </c>
      <c r="F64" s="4"/>
      <c r="G64" s="1"/>
      <c r="I64" s="1"/>
      <c r="J64" s="3" t="str">
        <f>"UPSTREAM RIVER DATA"</f>
        <v>UPSTREAM RIVER DATA</v>
      </c>
      <c r="K64" s="4"/>
      <c r="L64" s="4"/>
      <c r="M64" s="3" t="str">
        <f>"RIVER DOWNSTREAM OF DISCHARGE"</f>
        <v>RIVER DOWNSTREAM OF DISCHARGE</v>
      </c>
      <c r="N64" s="4"/>
      <c r="O64" s="5"/>
      <c r="P64" s="6"/>
      <c r="Q64" s="1"/>
    </row>
    <row r="65" spans="1:17" x14ac:dyDescent="0.25">
      <c r="A65" s="1"/>
      <c r="B65" s="7" t="str">
        <f>"Mean flow"</f>
        <v>Mean flow</v>
      </c>
      <c r="C65" s="24" t="str">
        <f>" 0.63 "</f>
        <v xml:space="preserve"> 0.63 </v>
      </c>
      <c r="D65" s="4"/>
      <c r="E65" s="7" t="str">
        <f>"Mean quality"</f>
        <v>Mean quality</v>
      </c>
      <c r="F65" s="24" t="str">
        <f>" 7.79 "</f>
        <v xml:space="preserve"> 7.79 </v>
      </c>
      <c r="G65" s="1"/>
      <c r="I65" s="1"/>
      <c r="J65" s="7" t="str">
        <f>"Mean flow"</f>
        <v>Mean flow</v>
      </c>
      <c r="K65" s="24" t="str">
        <f>" 0.63 "</f>
        <v xml:space="preserve"> 0.63 </v>
      </c>
      <c r="L65" s="4"/>
      <c r="M65" s="7" t="str">
        <f>"Mean quality"</f>
        <v>Mean quality</v>
      </c>
      <c r="N65" s="24" t="str">
        <f>" 7.79 "</f>
        <v xml:space="preserve"> 7.79 </v>
      </c>
      <c r="O65" s="25"/>
      <c r="P65" s="26">
        <f>(N65-K67)/N65</f>
        <v>0</v>
      </c>
      <c r="Q65" s="1"/>
    </row>
    <row r="66" spans="1:17" x14ac:dyDescent="0.25">
      <c r="A66" s="1"/>
      <c r="B66" s="7" t="str">
        <f>"95% exceedence flow"</f>
        <v>95% exceedence flow</v>
      </c>
      <c r="C66" s="24" t="str">
        <f>" 0.09 "</f>
        <v xml:space="preserve"> 0.09 </v>
      </c>
      <c r="D66" s="4"/>
      <c r="E66" s="7" t="str">
        <f>"Standard deviation of quality"</f>
        <v>Standard deviation of quality</v>
      </c>
      <c r="F66" s="24" t="str">
        <f>" 0.16 "</f>
        <v xml:space="preserve"> 0.16 </v>
      </c>
      <c r="G66" s="1"/>
      <c r="I66" s="1"/>
      <c r="J66" s="7" t="str">
        <f>"95% exceedence flow"</f>
        <v>95% exceedence flow</v>
      </c>
      <c r="K66" s="24" t="str">
        <f>" 0.09 "</f>
        <v xml:space="preserve"> 0.09 </v>
      </c>
      <c r="L66" s="4"/>
      <c r="M66" s="7" t="str">
        <f>"Standard deviation of quality"</f>
        <v>Standard deviation of quality</v>
      </c>
      <c r="N66" s="24" t="str">
        <f>" 0.15 "</f>
        <v xml:space="preserve"> 0.15 </v>
      </c>
      <c r="O66" s="25"/>
      <c r="P66" s="26"/>
      <c r="Q66" s="1"/>
    </row>
    <row r="67" spans="1:17" x14ac:dyDescent="0.25">
      <c r="A67" s="1"/>
      <c r="B67" s="7" t="str">
        <f>"Mean quality"</f>
        <v>Mean quality</v>
      </c>
      <c r="C67" s="24" t="str">
        <f>" 7.79 "</f>
        <v xml:space="preserve"> 7.79 </v>
      </c>
      <c r="D67" s="4"/>
      <c r="E67" s="7" t="str">
        <f>"90-percentile quality"</f>
        <v>90-percentile quality</v>
      </c>
      <c r="F67" s="24" t="str">
        <f>" 7.99 "</f>
        <v xml:space="preserve"> 7.99 </v>
      </c>
      <c r="G67" s="1"/>
      <c r="I67" s="1"/>
      <c r="J67" s="7" t="str">
        <f>"Mean quality"</f>
        <v>Mean quality</v>
      </c>
      <c r="K67" s="24" t="str">
        <f>" 7.79 "</f>
        <v xml:space="preserve"> 7.79 </v>
      </c>
      <c r="L67" s="4"/>
      <c r="M67" s="7" t="str">
        <f>"90-percentile quality"</f>
        <v>90-percentile quality</v>
      </c>
      <c r="N67" s="24" t="str">
        <f>" 7.98 "</f>
        <v xml:space="preserve"> 7.98 </v>
      </c>
      <c r="O67" s="25"/>
      <c r="P67" s="26"/>
      <c r="Q67" s="1"/>
    </row>
    <row r="68" spans="1:17" x14ac:dyDescent="0.25">
      <c r="A68" s="1"/>
      <c r="B68" s="7" t="str">
        <f>"Standard deviation of quality"</f>
        <v>Standard deviation of quality</v>
      </c>
      <c r="C68" s="24" t="str">
        <f>" 0.17 "</f>
        <v xml:space="preserve"> 0.17 </v>
      </c>
      <c r="D68" s="4"/>
      <c r="E68" s="7" t="str">
        <f>"95-percentile quality"</f>
        <v>95-percentile quality</v>
      </c>
      <c r="F68" s="24" t="str">
        <f>" 8.06 "</f>
        <v xml:space="preserve"> 8.06 </v>
      </c>
      <c r="G68" s="1"/>
      <c r="I68" s="1"/>
      <c r="J68" s="7" t="str">
        <f>"Standard deviation of quality"</f>
        <v>Standard deviation of quality</v>
      </c>
      <c r="K68" s="24" t="str">
        <f>" 0.17 "</f>
        <v xml:space="preserve"> 0.17 </v>
      </c>
      <c r="L68" s="4"/>
      <c r="M68" s="7" t="str">
        <f>"95-percentile quality"</f>
        <v>95-percentile quality</v>
      </c>
      <c r="N68" s="24" t="str">
        <f>" 8.04 "</f>
        <v xml:space="preserve"> 8.04 </v>
      </c>
      <c r="O68" s="25"/>
      <c r="P68" s="26"/>
      <c r="Q68" s="1"/>
    </row>
    <row r="69" spans="1:17" x14ac:dyDescent="0.25">
      <c r="A69" s="1"/>
      <c r="B69" s="7" t="str">
        <f>"             90-percentile"</f>
        <v xml:space="preserve">             90-percentile</v>
      </c>
      <c r="C69" s="24" t="str">
        <f>" 8.01 "</f>
        <v xml:space="preserve"> 8.01 </v>
      </c>
      <c r="D69" s="4"/>
      <c r="E69" s="7" t="str">
        <f>"99-percentile quality"</f>
        <v>99-percentile quality</v>
      </c>
      <c r="F69" s="24" t="str">
        <f>" 8.15 "</f>
        <v xml:space="preserve"> 8.15 </v>
      </c>
      <c r="G69" s="1"/>
      <c r="I69" s="1"/>
      <c r="J69" s="7" t="str">
        <f>"             90-percentile"</f>
        <v xml:space="preserve">             90-percentile</v>
      </c>
      <c r="K69" s="24" t="str">
        <f>" 8.01 "</f>
        <v xml:space="preserve"> 8.01 </v>
      </c>
      <c r="L69" s="4"/>
      <c r="M69" s="7" t="str">
        <f>"99-percentile quality"</f>
        <v>99-percentile quality</v>
      </c>
      <c r="N69" s="24" t="str">
        <f>" 8.15 "</f>
        <v xml:space="preserve"> 8.15 </v>
      </c>
      <c r="O69" s="25"/>
      <c r="P69" s="26"/>
      <c r="Q69" s="1"/>
    </row>
    <row r="70" spans="1:17" x14ac:dyDescent="0.25">
      <c r="A70" s="1"/>
      <c r="B70" s="4"/>
      <c r="C70" s="4"/>
      <c r="D70" s="4"/>
      <c r="E70" s="4"/>
      <c r="F70" s="4"/>
      <c r="G70" s="1"/>
      <c r="I70" s="1"/>
      <c r="J70" s="4"/>
      <c r="K70" s="4"/>
      <c r="L70" s="4"/>
      <c r="M70" s="4"/>
      <c r="N70" s="4"/>
      <c r="O70" s="5"/>
      <c r="P70" s="6"/>
      <c r="Q70" s="1"/>
    </row>
    <row r="71" spans="1:17" x14ac:dyDescent="0.25">
      <c r="A71" s="1"/>
      <c r="B71" s="3" t="str">
        <f>"DISCHARGE DATA"</f>
        <v>DISCHARGE DATA</v>
      </c>
      <c r="C71" s="4"/>
      <c r="D71" s="4"/>
      <c r="E71" s="3" t="str">
        <f>"DISCHARGE QUALITY"</f>
        <v>DISCHARGE QUALITY</v>
      </c>
      <c r="F71" s="4"/>
      <c r="G71" s="1"/>
      <c r="I71" s="1"/>
      <c r="J71" s="3" t="str">
        <f>"DISCHARGE DATA"</f>
        <v>DISCHARGE DATA</v>
      </c>
      <c r="K71" s="4"/>
      <c r="L71" s="4"/>
      <c r="M71" s="3" t="str">
        <f>"DISCHARGE QUALITY"</f>
        <v>DISCHARGE QUALITY</v>
      </c>
      <c r="N71" s="4"/>
      <c r="O71" s="5"/>
      <c r="P71" s="6"/>
      <c r="Q71" s="1"/>
    </row>
    <row r="72" spans="1:17" x14ac:dyDescent="0.25">
      <c r="A72" s="1"/>
      <c r="B72" s="7" t="str">
        <f>"Mean flow "</f>
        <v xml:space="preserve">Mean flow </v>
      </c>
      <c r="C72" s="24" t="str">
        <f>" 0.02 "</f>
        <v xml:space="preserve"> 0.02 </v>
      </c>
      <c r="D72" s="4"/>
      <c r="E72" s="7" t="str">
        <f>"Mean quality"</f>
        <v>Mean quality</v>
      </c>
      <c r="F72" s="24" t="str">
        <f>" 7.75 "</f>
        <v xml:space="preserve"> 7.75 </v>
      </c>
      <c r="G72" s="1"/>
      <c r="I72" s="1"/>
      <c r="J72" s="7" t="str">
        <f>"Mean flow "</f>
        <v xml:space="preserve">Mean flow </v>
      </c>
      <c r="K72" s="24" t="str">
        <f>" 0.03 "</f>
        <v xml:space="preserve"> 0.03 </v>
      </c>
      <c r="L72" s="4"/>
      <c r="M72" s="7" t="str">
        <f>"Mean quality"</f>
        <v>Mean quality</v>
      </c>
      <c r="N72" s="24" t="str">
        <f>" 7.75 "</f>
        <v xml:space="preserve"> 7.75 </v>
      </c>
      <c r="O72" s="25"/>
      <c r="P72" s="26">
        <f>(N72-K74)/N72</f>
        <v>0</v>
      </c>
      <c r="Q72" s="1"/>
    </row>
    <row r="73" spans="1:17" x14ac:dyDescent="0.25">
      <c r="A73" s="1"/>
      <c r="B73" s="7" t="str">
        <f>"Standard deviation of flow"</f>
        <v>Standard deviation of flow</v>
      </c>
      <c r="C73" s="24" t="str">
        <f>" 0.00 "</f>
        <v xml:space="preserve"> 0.00 </v>
      </c>
      <c r="D73" s="4"/>
      <c r="E73" s="7" t="str">
        <f>"Standard deviation of quality"</f>
        <v>Standard deviation of quality</v>
      </c>
      <c r="F73" s="24" t="str">
        <f>" 0.18 "</f>
        <v xml:space="preserve"> 0.18 </v>
      </c>
      <c r="G73" s="1"/>
      <c r="I73" s="1"/>
      <c r="J73" s="7" t="str">
        <f>"Standard deviation of flow"</f>
        <v>Standard deviation of flow</v>
      </c>
      <c r="K73" s="24" t="str">
        <f>" 0.00 "</f>
        <v xml:space="preserve"> 0.00 </v>
      </c>
      <c r="L73" s="4"/>
      <c r="M73" s="7" t="str">
        <f>"Standard deviation of quality"</f>
        <v>Standard deviation of quality</v>
      </c>
      <c r="N73" s="24" t="str">
        <f>" 0.18 "</f>
        <v xml:space="preserve"> 0.18 </v>
      </c>
      <c r="O73" s="25"/>
      <c r="P73" s="26"/>
      <c r="Q73" s="1"/>
    </row>
    <row r="74" spans="1:17" x14ac:dyDescent="0.25">
      <c r="A74" s="1"/>
      <c r="B74" s="7" t="str">
        <f>"Mean quality "</f>
        <v xml:space="preserve">Mean quality </v>
      </c>
      <c r="C74" s="24" t="str">
        <f>" 7.75 "</f>
        <v xml:space="preserve"> 7.75 </v>
      </c>
      <c r="D74" s="4"/>
      <c r="E74" s="7" t="str">
        <f>"95-percentile quality"</f>
        <v>95-percentile quality</v>
      </c>
      <c r="F74" s="24" t="str">
        <f>" 8.05 "</f>
        <v xml:space="preserve"> 8.05 </v>
      </c>
      <c r="G74" s="1"/>
      <c r="I74" s="1"/>
      <c r="J74" s="7" t="str">
        <f>"Mean quality "</f>
        <v xml:space="preserve">Mean quality </v>
      </c>
      <c r="K74" s="24" t="str">
        <f>" 7.75 "</f>
        <v xml:space="preserve"> 7.75 </v>
      </c>
      <c r="L74" s="4"/>
      <c r="M74" s="7" t="str">
        <f>"95-percentile quality"</f>
        <v>95-percentile quality</v>
      </c>
      <c r="N74" s="24" t="str">
        <f>" 8.05 "</f>
        <v xml:space="preserve"> 8.05 </v>
      </c>
      <c r="O74" s="25"/>
      <c r="P74" s="26"/>
      <c r="Q74" s="1"/>
    </row>
    <row r="75" spans="1:17" x14ac:dyDescent="0.25">
      <c r="A75" s="1"/>
      <c r="B75" s="7" t="str">
        <f>"Standard deviation of quality"</f>
        <v>Standard deviation of quality</v>
      </c>
      <c r="C75" s="24" t="str">
        <f>" 0.18 "</f>
        <v xml:space="preserve"> 0.18 </v>
      </c>
      <c r="D75" s="4"/>
      <c r="E75" s="7" t="str">
        <f>"99-percentile quality"</f>
        <v>99-percentile quality</v>
      </c>
      <c r="F75" s="24" t="str">
        <f>" 8.16 "</f>
        <v xml:space="preserve"> 8.16 </v>
      </c>
      <c r="G75" s="1"/>
      <c r="I75" s="1"/>
      <c r="J75" s="7" t="str">
        <f>"Standard deviation of quality"</f>
        <v>Standard deviation of quality</v>
      </c>
      <c r="K75" s="24" t="str">
        <f>" 0.18 "</f>
        <v xml:space="preserve"> 0.18 </v>
      </c>
      <c r="L75" s="4"/>
      <c r="M75" s="7" t="str">
        <f>"99-percentile quality"</f>
        <v>99-percentile quality</v>
      </c>
      <c r="N75" s="24" t="str">
        <f>" 8.16 "</f>
        <v xml:space="preserve"> 8.16 </v>
      </c>
      <c r="O75" s="25"/>
      <c r="P75" s="26"/>
      <c r="Q75" s="1"/>
    </row>
    <row r="76" spans="1:17" x14ac:dyDescent="0.25">
      <c r="A76" s="1"/>
      <c r="B76" s="7" t="str">
        <f>"   ... or 95-percentile"</f>
        <v xml:space="preserve">   ... or 95-percentile</v>
      </c>
      <c r="C76" s="24" t="str">
        <f>" 8.04 "</f>
        <v xml:space="preserve"> 8.04 </v>
      </c>
      <c r="D76" s="4"/>
      <c r="E76" s="7" t="str">
        <f>"99.5-percentile quality"</f>
        <v>99.5-percentile quality</v>
      </c>
      <c r="F76" s="24" t="str">
        <f>" 8.20 "</f>
        <v xml:space="preserve"> 8.20 </v>
      </c>
      <c r="G76" s="1"/>
      <c r="I76" s="1"/>
      <c r="J76" s="7" t="str">
        <f>"   ... or 95-percentile"</f>
        <v xml:space="preserve">   ... or 95-percentile</v>
      </c>
      <c r="K76" s="24" t="str">
        <f>" 8.04 "</f>
        <v xml:space="preserve"> 8.04 </v>
      </c>
      <c r="L76" s="4"/>
      <c r="M76" s="7" t="str">
        <f>"99.5-percentile quality"</f>
        <v>99.5-percentile quality</v>
      </c>
      <c r="N76" s="24" t="str">
        <f>" 8.20 "</f>
        <v xml:space="preserve"> 8.20 </v>
      </c>
      <c r="O76" s="25"/>
      <c r="P76" s="26"/>
      <c r="Q76" s="1"/>
    </row>
    <row r="77" spans="1:17" x14ac:dyDescent="0.25">
      <c r="A77" s="1"/>
      <c r="B77" s="4"/>
      <c r="C77" s="4"/>
      <c r="D77" s="4"/>
      <c r="E77" s="4"/>
      <c r="F77" s="4"/>
      <c r="G77" s="1"/>
      <c r="I77" s="1"/>
      <c r="O77" s="1"/>
      <c r="Q77" s="1"/>
    </row>
    <row r="78" spans="1:17" x14ac:dyDescent="0.25">
      <c r="A78" s="1"/>
      <c r="B78" s="5"/>
      <c r="C78" s="5"/>
      <c r="D78" s="5"/>
      <c r="E78" s="5"/>
      <c r="F78" s="5"/>
      <c r="G78" s="1"/>
      <c r="I78" s="1"/>
      <c r="J78" s="1"/>
      <c r="K78" s="1"/>
      <c r="L78" s="1"/>
      <c r="M78" s="1"/>
      <c r="N78" s="1"/>
      <c r="O78" s="1"/>
      <c r="P78" s="2"/>
      <c r="Q78" s="1"/>
    </row>
    <row r="79" spans="1:17" x14ac:dyDescent="0.25">
      <c r="A79" s="1"/>
      <c r="B79" s="4"/>
      <c r="C79" s="4"/>
      <c r="D79" s="4"/>
      <c r="E79" s="4"/>
      <c r="F79" s="4"/>
      <c r="G79" s="1"/>
      <c r="I79" s="1"/>
      <c r="O79" s="1"/>
      <c r="Q79" s="1"/>
    </row>
    <row r="80" spans="1:17" x14ac:dyDescent="0.25">
      <c r="A80" s="1"/>
      <c r="B80" s="3" t="str">
        <f>"MASS BALANCE CALCULATION: MONTE CARLO METHOD"</f>
        <v>MASS BALANCE CALCULATION: MONTE CARLO METHOD</v>
      </c>
      <c r="C80" s="4"/>
      <c r="D80" s="4"/>
      <c r="E80" s="4"/>
      <c r="F80" s="4"/>
      <c r="G80" s="1"/>
      <c r="I80" s="1"/>
      <c r="J80" s="3" t="str">
        <f>"MASS BALANCE CALCULATION: MONTE CARLO METHOD"</f>
        <v>MASS BALANCE CALCULATION: MONTE CARLO METHOD</v>
      </c>
      <c r="K80" s="4"/>
      <c r="L80" s="4"/>
      <c r="M80" s="4"/>
      <c r="N80" s="4"/>
      <c r="O80" s="5"/>
      <c r="P80" s="6"/>
      <c r="Q80" s="1"/>
    </row>
    <row r="81" spans="1:17" x14ac:dyDescent="0.25">
      <c r="A81" s="1"/>
      <c r="B81" s="7" t="str">
        <f>"Version 2.5"</f>
        <v>Version 2.5</v>
      </c>
      <c r="C81" s="4"/>
      <c r="D81" s="4"/>
      <c r="E81" s="4"/>
      <c r="F81" s="4"/>
      <c r="G81" s="1"/>
      <c r="I81" s="1"/>
      <c r="J81" s="7" t="str">
        <f>"Version 2.5"</f>
        <v>Version 2.5</v>
      </c>
      <c r="K81" s="4"/>
      <c r="L81" s="4"/>
      <c r="M81" s="4"/>
      <c r="N81" s="4"/>
      <c r="O81" s="5"/>
      <c r="P81" s="6"/>
      <c r="Q81" s="1"/>
    </row>
    <row r="82" spans="1:17" x14ac:dyDescent="0.25">
      <c r="A82" s="1"/>
      <c r="B82" s="7" t="str">
        <f>"Calculations done on 28/11/2024 at 11.05"</f>
        <v>Calculations done on 28/11/2024 at 11.05</v>
      </c>
      <c r="C82" s="4"/>
      <c r="D82" s="4"/>
      <c r="E82" s="4"/>
      <c r="F82" s="4"/>
      <c r="G82" s="1"/>
      <c r="I82" s="1"/>
      <c r="J82" s="7" t="str">
        <f>"Calculations done on 28/11/2024 at 12.00"</f>
        <v>Calculations done on 28/11/2024 at 12.00</v>
      </c>
      <c r="K82" s="4"/>
      <c r="L82" s="4"/>
      <c r="M82" s="4"/>
      <c r="N82" s="4"/>
      <c r="O82" s="5"/>
      <c r="P82" s="6"/>
      <c r="Q82" s="1"/>
    </row>
    <row r="83" spans="1:17" x14ac:dyDescent="0.25">
      <c r="A83" s="1"/>
      <c r="B83" s="4"/>
      <c r="C83" s="4"/>
      <c r="D83" s="4"/>
      <c r="E83" s="4"/>
      <c r="F83" s="4"/>
      <c r="G83" s="1"/>
      <c r="I83" s="1"/>
      <c r="J83" s="4"/>
      <c r="K83" s="4"/>
      <c r="L83" s="4"/>
      <c r="M83" s="4"/>
      <c r="N83" s="4"/>
      <c r="O83" s="5"/>
      <c r="P83" s="6"/>
      <c r="Q83" s="1"/>
    </row>
    <row r="84" spans="1:17" x14ac:dyDescent="0.25">
      <c r="A84" s="1"/>
      <c r="B84" s="7" t="str">
        <f>"Name of discharge"</f>
        <v>Name of discharge</v>
      </c>
      <c r="C84" s="3" t="str">
        <f>"Muntons Trade Effluent - Current Discharge"</f>
        <v>Muntons Trade Effluent - Current Discharge</v>
      </c>
      <c r="D84" s="4"/>
      <c r="E84" s="4"/>
      <c r="F84" s="4"/>
      <c r="G84" s="1"/>
      <c r="I84" s="1"/>
      <c r="J84" s="7" t="str">
        <f>"Name of discharge"</f>
        <v>Name of discharge</v>
      </c>
      <c r="K84" s="3" t="str">
        <f>"Muntons Trade Effluent - Maximum Proposed Discharge (2500m3/24hr)"</f>
        <v>Muntons Trade Effluent - Maximum Proposed Discharge (2500m3/24hr)</v>
      </c>
      <c r="L84" s="4"/>
      <c r="M84" s="4"/>
      <c r="N84" s="4"/>
      <c r="O84" s="5"/>
      <c r="P84" s="6"/>
      <c r="Q84" s="1"/>
    </row>
    <row r="85" spans="1:17" x14ac:dyDescent="0.25">
      <c r="A85" s="1"/>
      <c r="B85" s="7" t="str">
        <f>"Name of river"</f>
        <v>Name of river</v>
      </c>
      <c r="C85" s="7" t="str">
        <f>"River Gipping"</f>
        <v>River Gipping</v>
      </c>
      <c r="D85" s="4"/>
      <c r="E85" s="4"/>
      <c r="F85" s="4"/>
      <c r="G85" s="1"/>
      <c r="I85" s="1"/>
      <c r="J85" s="7" t="str">
        <f>"Name of river"</f>
        <v>Name of river</v>
      </c>
      <c r="K85" s="7" t="str">
        <f>"River Gipping"</f>
        <v>River Gipping</v>
      </c>
      <c r="L85" s="4"/>
      <c r="M85" s="4"/>
      <c r="N85" s="4"/>
      <c r="O85" s="5"/>
      <c r="P85" s="6"/>
      <c r="Q85" s="1"/>
    </row>
    <row r="86" spans="1:17" x14ac:dyDescent="0.25">
      <c r="A86" s="1"/>
      <c r="B86" s="7" t="str">
        <f>"Name of determinand"</f>
        <v>Name of determinand</v>
      </c>
      <c r="C86" s="7" t="str">
        <f>"Temperature"</f>
        <v>Temperature</v>
      </c>
      <c r="D86" s="4"/>
      <c r="E86" s="4"/>
      <c r="F86" s="4"/>
      <c r="G86" s="1"/>
      <c r="I86" s="1"/>
      <c r="J86" s="7" t="str">
        <f>"Name of determinand"</f>
        <v>Name of determinand</v>
      </c>
      <c r="K86" s="7" t="str">
        <f>"Temperature"</f>
        <v>Temperature</v>
      </c>
      <c r="L86" s="4"/>
      <c r="M86" s="4"/>
      <c r="N86" s="4"/>
      <c r="O86" s="5"/>
      <c r="P86" s="6"/>
      <c r="Q86" s="1"/>
    </row>
    <row r="87" spans="1:17" x14ac:dyDescent="0.25">
      <c r="A87" s="1"/>
      <c r="B87" s="4"/>
      <c r="C87" s="4"/>
      <c r="D87" s="4"/>
      <c r="E87" s="4"/>
      <c r="F87" s="4"/>
      <c r="G87" s="1"/>
      <c r="I87" s="1"/>
      <c r="J87" s="4"/>
      <c r="K87" s="4"/>
      <c r="L87" s="4"/>
      <c r="M87" s="4"/>
      <c r="N87" s="4"/>
      <c r="O87" s="5"/>
      <c r="P87" s="6"/>
      <c r="Q87" s="1"/>
    </row>
    <row r="88" spans="1:17" x14ac:dyDescent="0.25">
      <c r="A88" s="1"/>
      <c r="B88" s="3" t="str">
        <f>"INPUT DATA"</f>
        <v>INPUT DATA</v>
      </c>
      <c r="C88" s="4"/>
      <c r="D88" s="4"/>
      <c r="E88" s="3" t="str">
        <f>"RESULTS"</f>
        <v>RESULTS</v>
      </c>
      <c r="F88" s="4"/>
      <c r="G88" s="1"/>
      <c r="I88" s="1"/>
      <c r="J88" s="3" t="str">
        <f>"INPUT DATA"</f>
        <v>INPUT DATA</v>
      </c>
      <c r="K88" s="4"/>
      <c r="L88" s="4"/>
      <c r="M88" s="3" t="str">
        <f>"RESULTS"</f>
        <v>RESULTS</v>
      </c>
      <c r="N88" s="4"/>
      <c r="O88" s="5"/>
      <c r="P88" s="6"/>
      <c r="Q88" s="1"/>
    </row>
    <row r="89" spans="1:17" x14ac:dyDescent="0.25">
      <c r="A89" s="1"/>
      <c r="B89" s="4"/>
      <c r="C89" s="4"/>
      <c r="D89" s="4"/>
      <c r="E89" s="4"/>
      <c r="F89" s="4"/>
      <c r="G89" s="1"/>
      <c r="I89" s="1"/>
      <c r="J89" s="4"/>
      <c r="K89" s="4"/>
      <c r="L89" s="4"/>
      <c r="M89" s="4"/>
      <c r="N89" s="4"/>
      <c r="O89" s="5"/>
      <c r="P89" s="6"/>
      <c r="Q89" s="1"/>
    </row>
    <row r="90" spans="1:17" x14ac:dyDescent="0.25">
      <c r="A90" s="1"/>
      <c r="B90" s="3" t="str">
        <f>"UPSTREAM RIVER DATA"</f>
        <v>UPSTREAM RIVER DATA</v>
      </c>
      <c r="C90" s="4"/>
      <c r="D90" s="4"/>
      <c r="E90" s="3" t="str">
        <f>"RIVER DOWNSTREAM OF DISCHARGE"</f>
        <v>RIVER DOWNSTREAM OF DISCHARGE</v>
      </c>
      <c r="F90" s="4"/>
      <c r="G90" s="1"/>
      <c r="I90" s="1"/>
      <c r="J90" s="3" t="str">
        <f>"UPSTREAM RIVER DATA"</f>
        <v>UPSTREAM RIVER DATA</v>
      </c>
      <c r="K90" s="4"/>
      <c r="L90" s="4"/>
      <c r="M90" s="3" t="str">
        <f>"RIVER DOWNSTREAM OF DISCHARGE"</f>
        <v>RIVER DOWNSTREAM OF DISCHARGE</v>
      </c>
      <c r="N90" s="4"/>
      <c r="O90" s="5"/>
      <c r="P90" s="6"/>
      <c r="Q90" s="1"/>
    </row>
    <row r="91" spans="1:17" x14ac:dyDescent="0.25">
      <c r="A91" s="1"/>
      <c r="B91" s="7" t="str">
        <f>"Mean flow"</f>
        <v>Mean flow</v>
      </c>
      <c r="C91" s="24" t="str">
        <f>" 0.63 "</f>
        <v xml:space="preserve"> 0.63 </v>
      </c>
      <c r="D91" s="4"/>
      <c r="E91" s="7" t="str">
        <f>"Mean quality"</f>
        <v>Mean quality</v>
      </c>
      <c r="F91" s="24" t="str">
        <f>" 17.45 "</f>
        <v xml:space="preserve"> 17.45 </v>
      </c>
      <c r="G91" s="1"/>
      <c r="I91" s="1"/>
      <c r="J91" s="7" t="str">
        <f>"Mean flow"</f>
        <v>Mean flow</v>
      </c>
      <c r="K91" s="24" t="str">
        <f>" 0.63 "</f>
        <v xml:space="preserve"> 0.63 </v>
      </c>
      <c r="L91" s="4"/>
      <c r="M91" s="7" t="str">
        <f>"Mean quality"</f>
        <v>Mean quality</v>
      </c>
      <c r="N91" s="24" t="str">
        <f>" 17.56 "</f>
        <v xml:space="preserve"> 17.56 </v>
      </c>
      <c r="O91" s="25"/>
      <c r="P91" s="26">
        <f>(N91-K93)/N91</f>
        <v>1.4806378132118339E-2</v>
      </c>
      <c r="Q91" s="1"/>
    </row>
    <row r="92" spans="1:17" x14ac:dyDescent="0.25">
      <c r="A92" s="1"/>
      <c r="B92" s="7" t="str">
        <f>"95% exceedence flow"</f>
        <v>95% exceedence flow</v>
      </c>
      <c r="C92" s="24" t="str">
        <f>" 0.09 "</f>
        <v xml:space="preserve"> 0.09 </v>
      </c>
      <c r="D92" s="4"/>
      <c r="E92" s="7" t="str">
        <f>"Standard deviation of quality"</f>
        <v>Standard deviation of quality</v>
      </c>
      <c r="F92" s="24" t="str">
        <f>" 1.28 "</f>
        <v xml:space="preserve"> 1.28 </v>
      </c>
      <c r="G92" s="1"/>
      <c r="I92" s="1"/>
      <c r="J92" s="7" t="str">
        <f>"95% exceedence flow"</f>
        <v>95% exceedence flow</v>
      </c>
      <c r="K92" s="24" t="str">
        <f>" 0.09 "</f>
        <v xml:space="preserve"> 0.09 </v>
      </c>
      <c r="L92" s="4"/>
      <c r="M92" s="7" t="str">
        <f>"Standard deviation of quality"</f>
        <v>Standard deviation of quality</v>
      </c>
      <c r="N92" s="24" t="str">
        <f>" 1.27 "</f>
        <v xml:space="preserve"> 1.27 </v>
      </c>
      <c r="O92" s="25"/>
      <c r="P92" s="26"/>
      <c r="Q92" s="1"/>
    </row>
    <row r="93" spans="1:17" x14ac:dyDescent="0.25">
      <c r="A93" s="1"/>
      <c r="B93" s="7" t="str">
        <f>"Mean quality"</f>
        <v>Mean quality</v>
      </c>
      <c r="C93" s="24" t="str">
        <f>" 17.30 "</f>
        <v xml:space="preserve"> 17.30 </v>
      </c>
      <c r="D93" s="4"/>
      <c r="E93" s="7" t="str">
        <f>"90-percentile quality"</f>
        <v>90-percentile quality</v>
      </c>
      <c r="F93" s="24" t="str">
        <f>" 19.12 "</f>
        <v xml:space="preserve"> 19.12 </v>
      </c>
      <c r="G93" s="1"/>
      <c r="I93" s="1"/>
      <c r="J93" s="7" t="str">
        <f>"Mean quality"</f>
        <v>Mean quality</v>
      </c>
      <c r="K93" s="24" t="str">
        <f>" 17.30 "</f>
        <v xml:space="preserve"> 17.30 </v>
      </c>
      <c r="L93" s="4"/>
      <c r="M93" s="7" t="str">
        <f>"90-percentile quality"</f>
        <v>90-percentile quality</v>
      </c>
      <c r="N93" s="24" t="str">
        <f>" 19.24 "</f>
        <v xml:space="preserve"> 19.24 </v>
      </c>
      <c r="O93" s="25"/>
      <c r="P93" s="26"/>
      <c r="Q93" s="1"/>
    </row>
    <row r="94" spans="1:17" x14ac:dyDescent="0.25">
      <c r="A94" s="1"/>
      <c r="B94" s="7" t="str">
        <f>"Standard deviation of quality"</f>
        <v>Standard deviation of quality</v>
      </c>
      <c r="C94" s="24" t="str">
        <f>" 1.35 "</f>
        <v xml:space="preserve"> 1.35 </v>
      </c>
      <c r="D94" s="4"/>
      <c r="E94" s="7" t="str">
        <f>"95-percentile quality"</f>
        <v>95-percentile quality</v>
      </c>
      <c r="F94" s="24" t="str">
        <f>" 19.64 "</f>
        <v xml:space="preserve"> 19.64 </v>
      </c>
      <c r="G94" s="1"/>
      <c r="I94" s="1"/>
      <c r="J94" s="7" t="str">
        <f>"Standard deviation of quality"</f>
        <v>Standard deviation of quality</v>
      </c>
      <c r="K94" s="24" t="str">
        <f>" 1.35 "</f>
        <v xml:space="preserve"> 1.35 </v>
      </c>
      <c r="L94" s="4"/>
      <c r="M94" s="7" t="str">
        <f>"95-percentile quality"</f>
        <v>95-percentile quality</v>
      </c>
      <c r="N94" s="24" t="str">
        <f>" 19.73 "</f>
        <v xml:space="preserve"> 19.73 </v>
      </c>
      <c r="O94" s="25"/>
      <c r="P94" s="26"/>
      <c r="Q94" s="1"/>
    </row>
    <row r="95" spans="1:17" x14ac:dyDescent="0.25">
      <c r="A95" s="1"/>
      <c r="B95" s="7" t="str">
        <f>"             90-percentile"</f>
        <v xml:space="preserve">             90-percentile</v>
      </c>
      <c r="C95" s="24" t="str">
        <f>" 19.05 "</f>
        <v xml:space="preserve"> 19.05 </v>
      </c>
      <c r="D95" s="4"/>
      <c r="E95" s="7" t="str">
        <f>"99-percentile quality"</f>
        <v>99-percentile quality</v>
      </c>
      <c r="F95" s="24" t="str">
        <f>" 20.39 "</f>
        <v xml:space="preserve"> 20.39 </v>
      </c>
      <c r="G95" s="1"/>
      <c r="I95" s="1"/>
      <c r="J95" s="7" t="str">
        <f>"             90-percentile"</f>
        <v xml:space="preserve">             90-percentile</v>
      </c>
      <c r="K95" s="24" t="str">
        <f>" 19.05 "</f>
        <v xml:space="preserve"> 19.05 </v>
      </c>
      <c r="L95" s="4"/>
      <c r="M95" s="7" t="str">
        <f>"99-percentile quality"</f>
        <v>99-percentile quality</v>
      </c>
      <c r="N95" s="24" t="str">
        <f>" 20.70 "</f>
        <v xml:space="preserve"> 20.70 </v>
      </c>
      <c r="O95" s="25"/>
      <c r="P95" s="26"/>
      <c r="Q95" s="1"/>
    </row>
    <row r="96" spans="1:17" x14ac:dyDescent="0.25">
      <c r="A96" s="1"/>
      <c r="B96" s="4"/>
      <c r="C96" s="4"/>
      <c r="D96" s="4"/>
      <c r="E96" s="4"/>
      <c r="F96" s="4"/>
      <c r="G96" s="1"/>
      <c r="I96" s="1"/>
      <c r="J96" s="4"/>
      <c r="K96" s="4"/>
      <c r="L96" s="4"/>
      <c r="M96" s="4"/>
      <c r="N96" s="4"/>
      <c r="O96" s="5"/>
      <c r="P96" s="6"/>
      <c r="Q96" s="1"/>
    </row>
    <row r="97" spans="1:17" x14ac:dyDescent="0.25">
      <c r="A97" s="1"/>
      <c r="B97" s="3" t="str">
        <f>"DISCHARGE DATA"</f>
        <v>DISCHARGE DATA</v>
      </c>
      <c r="C97" s="4"/>
      <c r="D97" s="4"/>
      <c r="E97" s="3" t="str">
        <f>"DISCHARGE QUALITY"</f>
        <v>DISCHARGE QUALITY</v>
      </c>
      <c r="F97" s="4"/>
      <c r="G97" s="1"/>
      <c r="I97" s="1"/>
      <c r="J97" s="3" t="str">
        <f>"DISCHARGE DATA"</f>
        <v>DISCHARGE DATA</v>
      </c>
      <c r="K97" s="4"/>
      <c r="L97" s="4"/>
      <c r="M97" s="3" t="str">
        <f>"DISCHARGE QUALITY"</f>
        <v>DISCHARGE QUALITY</v>
      </c>
      <c r="N97" s="4"/>
      <c r="O97" s="5"/>
      <c r="P97" s="6"/>
      <c r="Q97" s="1"/>
    </row>
    <row r="98" spans="1:17" x14ac:dyDescent="0.25">
      <c r="A98" s="1"/>
      <c r="B98" s="7" t="str">
        <f>"Mean flow "</f>
        <v xml:space="preserve">Mean flow </v>
      </c>
      <c r="C98" s="24" t="str">
        <f>" 0.02 "</f>
        <v xml:space="preserve"> 0.02 </v>
      </c>
      <c r="D98" s="4"/>
      <c r="E98" s="7" t="str">
        <f>"Mean quality"</f>
        <v>Mean quality</v>
      </c>
      <c r="F98" s="24" t="str">
        <f>" 19.99 "</f>
        <v xml:space="preserve"> 19.99 </v>
      </c>
      <c r="G98" s="1"/>
      <c r="I98" s="1"/>
      <c r="J98" s="7" t="str">
        <f>"Mean flow "</f>
        <v xml:space="preserve">Mean flow </v>
      </c>
      <c r="K98" s="24" t="str">
        <f>" 0.03 "</f>
        <v xml:space="preserve"> 0.03 </v>
      </c>
      <c r="L98" s="4"/>
      <c r="M98" s="7" t="str">
        <f>"Mean quality"</f>
        <v>Mean quality</v>
      </c>
      <c r="N98" s="24" t="str">
        <f>" 19.99 "</f>
        <v xml:space="preserve"> 19.99 </v>
      </c>
      <c r="O98" s="25"/>
      <c r="P98" s="26">
        <f>(N98-K100)/N98</f>
        <v>7.5037518759378981E-3</v>
      </c>
      <c r="Q98" s="1"/>
    </row>
    <row r="99" spans="1:17" x14ac:dyDescent="0.25">
      <c r="A99" s="1"/>
      <c r="B99" s="7" t="str">
        <f>"Standard deviation of flow"</f>
        <v>Standard deviation of flow</v>
      </c>
      <c r="C99" s="24" t="str">
        <f>" 0.00 "</f>
        <v xml:space="preserve"> 0.00 </v>
      </c>
      <c r="D99" s="4"/>
      <c r="E99" s="7" t="str">
        <f>"Standard deviation of quality"</f>
        <v>Standard deviation of quality</v>
      </c>
      <c r="F99" s="24" t="str">
        <f>" 3.00 "</f>
        <v xml:space="preserve"> 3.00 </v>
      </c>
      <c r="G99" s="1"/>
      <c r="I99" s="1"/>
      <c r="J99" s="7" t="str">
        <f>"Standard deviation of flow"</f>
        <v>Standard deviation of flow</v>
      </c>
      <c r="K99" s="24" t="str">
        <f>" 0.00 "</f>
        <v xml:space="preserve"> 0.00 </v>
      </c>
      <c r="L99" s="4"/>
      <c r="M99" s="7" t="str">
        <f>"Standard deviation of quality"</f>
        <v>Standard deviation of quality</v>
      </c>
      <c r="N99" s="24" t="str">
        <f>" 3.00 "</f>
        <v xml:space="preserve"> 3.00 </v>
      </c>
      <c r="O99" s="25"/>
      <c r="P99" s="26"/>
      <c r="Q99" s="1"/>
    </row>
    <row r="100" spans="1:17" x14ac:dyDescent="0.25">
      <c r="A100" s="1"/>
      <c r="B100" s="7" t="str">
        <f>"Mean quality "</f>
        <v xml:space="preserve">Mean quality </v>
      </c>
      <c r="C100" s="24" t="str">
        <f>" 19.84 "</f>
        <v xml:space="preserve"> 19.84 </v>
      </c>
      <c r="D100" s="4"/>
      <c r="E100" s="7" t="str">
        <f>"95-percentile quality"</f>
        <v>95-percentile quality</v>
      </c>
      <c r="F100" s="24" t="str">
        <f>" 25.23 "</f>
        <v xml:space="preserve"> 25.23 </v>
      </c>
      <c r="G100" s="1"/>
      <c r="I100" s="1"/>
      <c r="J100" s="7" t="str">
        <f>"Mean quality "</f>
        <v xml:space="preserve">Mean quality </v>
      </c>
      <c r="K100" s="24" t="str">
        <f>" 19.84 "</f>
        <v xml:space="preserve"> 19.84 </v>
      </c>
      <c r="L100" s="4"/>
      <c r="M100" s="7" t="str">
        <f>"95-percentile quality"</f>
        <v>95-percentile quality</v>
      </c>
      <c r="N100" s="24" t="str">
        <f>" 25.23 "</f>
        <v xml:space="preserve"> 25.23 </v>
      </c>
      <c r="O100" s="25"/>
      <c r="P100" s="26"/>
      <c r="Q100" s="1"/>
    </row>
    <row r="101" spans="1:17" x14ac:dyDescent="0.25">
      <c r="A101" s="1"/>
      <c r="B101" s="7" t="str">
        <f>"Standard deviation of quality"</f>
        <v>Standard deviation of quality</v>
      </c>
      <c r="C101" s="24" t="str">
        <f>" 3.01 "</f>
        <v xml:space="preserve"> 3.01 </v>
      </c>
      <c r="D101" s="4"/>
      <c r="E101" s="7" t="str">
        <f>"99-percentile quality"</f>
        <v>99-percentile quality</v>
      </c>
      <c r="F101" s="24" t="str">
        <f>" 27.73 "</f>
        <v xml:space="preserve"> 27.73 </v>
      </c>
      <c r="G101" s="1"/>
      <c r="I101" s="1"/>
      <c r="J101" s="7" t="str">
        <f>"Standard deviation of quality"</f>
        <v>Standard deviation of quality</v>
      </c>
      <c r="K101" s="24" t="str">
        <f>" 3.01 "</f>
        <v xml:space="preserve"> 3.01 </v>
      </c>
      <c r="L101" s="4"/>
      <c r="M101" s="7" t="str">
        <f>"99-percentile quality"</f>
        <v>99-percentile quality</v>
      </c>
      <c r="N101" s="24" t="str">
        <f>" 27.73 "</f>
        <v xml:space="preserve"> 27.73 </v>
      </c>
      <c r="O101" s="25"/>
      <c r="P101" s="26"/>
      <c r="Q101" s="1"/>
    </row>
    <row r="102" spans="1:17" x14ac:dyDescent="0.25">
      <c r="A102" s="1"/>
      <c r="B102" s="7" t="str">
        <f>"   ... or 95-percentile"</f>
        <v xml:space="preserve">   ... or 95-percentile</v>
      </c>
      <c r="C102" s="24" t="str">
        <f>" 25.15 "</f>
        <v xml:space="preserve"> 25.15 </v>
      </c>
      <c r="D102" s="4"/>
      <c r="E102" s="7" t="str">
        <f>"99.5-percentile quality"</f>
        <v>99.5-percentile quality</v>
      </c>
      <c r="F102" s="24" t="str">
        <f>" 28.44 "</f>
        <v xml:space="preserve"> 28.44 </v>
      </c>
      <c r="G102" s="1"/>
      <c r="I102" s="1"/>
      <c r="J102" s="7" t="str">
        <f>"   ... or 95-percentile"</f>
        <v xml:space="preserve">   ... or 95-percentile</v>
      </c>
      <c r="K102" s="24" t="str">
        <f>" 25.15 "</f>
        <v xml:space="preserve"> 25.15 </v>
      </c>
      <c r="L102" s="4"/>
      <c r="M102" s="7" t="str">
        <f>"99.5-percentile quality"</f>
        <v>99.5-percentile quality</v>
      </c>
      <c r="N102" s="24" t="str">
        <f>" 28.44 "</f>
        <v xml:space="preserve"> 28.44 </v>
      </c>
      <c r="O102" s="25"/>
      <c r="P102" s="26"/>
      <c r="Q102" s="1"/>
    </row>
    <row r="103" spans="1:17" x14ac:dyDescent="0.25">
      <c r="A103" s="1"/>
      <c r="G103" s="1"/>
      <c r="I103" s="1"/>
      <c r="O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I104" s="1"/>
      <c r="J104" s="1"/>
      <c r="K104" s="1"/>
      <c r="L104" s="1"/>
      <c r="M104" s="1"/>
      <c r="N104" s="1"/>
      <c r="O104" s="1"/>
      <c r="P104" s="2"/>
      <c r="Q104" s="1"/>
    </row>
    <row r="105" spans="1:17" x14ac:dyDescent="0.25">
      <c r="A105" s="1"/>
      <c r="G105" s="1"/>
      <c r="I105" s="1"/>
      <c r="O105" s="1"/>
      <c r="Q105" s="1"/>
    </row>
    <row r="106" spans="1:17" x14ac:dyDescent="0.25">
      <c r="A106" s="1"/>
      <c r="B106" s="3" t="str">
        <f>"MASS BALANCE CALCULATION: MONTE CARLO METHOD"</f>
        <v>MASS BALANCE CALCULATION: MONTE CARLO METHOD</v>
      </c>
      <c r="C106" s="4"/>
      <c r="D106" s="4"/>
      <c r="E106" s="4"/>
      <c r="F106" s="4"/>
      <c r="G106" s="1"/>
      <c r="I106" s="1"/>
      <c r="J106" s="3" t="str">
        <f>"MASS BALANCE CALCULATION: MONTE CARLO METHOD"</f>
        <v>MASS BALANCE CALCULATION: MONTE CARLO METHOD</v>
      </c>
      <c r="K106" s="4"/>
      <c r="L106" s="4"/>
      <c r="M106" s="4"/>
      <c r="N106" s="4"/>
      <c r="O106" s="5"/>
      <c r="P106" s="6"/>
      <c r="Q106" s="1"/>
    </row>
    <row r="107" spans="1:17" x14ac:dyDescent="0.25">
      <c r="A107" s="1"/>
      <c r="B107" s="7" t="str">
        <f>"Version 2.5"</f>
        <v>Version 2.5</v>
      </c>
      <c r="C107" s="4"/>
      <c r="D107" s="4"/>
      <c r="E107" s="4"/>
      <c r="F107" s="4"/>
      <c r="G107" s="1"/>
      <c r="I107" s="1"/>
      <c r="J107" s="7" t="str">
        <f>"Version 2.5"</f>
        <v>Version 2.5</v>
      </c>
      <c r="K107" s="4"/>
      <c r="L107" s="4"/>
      <c r="M107" s="4"/>
      <c r="N107" s="4"/>
      <c r="O107" s="5"/>
      <c r="P107" s="6"/>
      <c r="Q107" s="1"/>
    </row>
    <row r="108" spans="1:17" x14ac:dyDescent="0.25">
      <c r="A108" s="1"/>
      <c r="B108" s="7" t="str">
        <f>"Calculations done on 28/11/2024 at 10.58"</f>
        <v>Calculations done on 28/11/2024 at 10.58</v>
      </c>
      <c r="C108" s="4"/>
      <c r="D108" s="4"/>
      <c r="E108" s="4"/>
      <c r="F108" s="4"/>
      <c r="G108" s="1"/>
      <c r="I108" s="1"/>
      <c r="J108" s="7" t="str">
        <f>"Calculations done on 28/11/2024 at 11.56"</f>
        <v>Calculations done on 28/11/2024 at 11.56</v>
      </c>
      <c r="K108" s="4"/>
      <c r="L108" s="4"/>
      <c r="M108" s="4"/>
      <c r="N108" s="4"/>
      <c r="O108" s="5"/>
      <c r="P108" s="6"/>
      <c r="Q108" s="1"/>
    </row>
    <row r="109" spans="1:17" x14ac:dyDescent="0.25">
      <c r="A109" s="1"/>
      <c r="B109" s="4"/>
      <c r="C109" s="4"/>
      <c r="D109" s="4"/>
      <c r="E109" s="4"/>
      <c r="F109" s="4"/>
      <c r="G109" s="1"/>
      <c r="I109" s="1"/>
      <c r="J109" s="4"/>
      <c r="K109" s="4"/>
      <c r="L109" s="4"/>
      <c r="M109" s="4"/>
      <c r="N109" s="4"/>
      <c r="O109" s="5"/>
      <c r="P109" s="6"/>
      <c r="Q109" s="1"/>
    </row>
    <row r="110" spans="1:17" x14ac:dyDescent="0.25">
      <c r="A110" s="1"/>
      <c r="B110" s="7" t="str">
        <f>"Name of discharge"</f>
        <v>Name of discharge</v>
      </c>
      <c r="C110" s="3" t="str">
        <f>"Muntons Trade Effluent - Current Discharge"</f>
        <v>Muntons Trade Effluent - Current Discharge</v>
      </c>
      <c r="D110" s="4"/>
      <c r="E110" s="4"/>
      <c r="F110" s="4"/>
      <c r="G110" s="1"/>
      <c r="I110" s="1"/>
      <c r="J110" s="7" t="str">
        <f>"Name of discharge"</f>
        <v>Name of discharge</v>
      </c>
      <c r="K110" s="3" t="str">
        <f>"Muntons Trade Effluent - Maximum Proposed Discharge (2500m3/24hr)"</f>
        <v>Muntons Trade Effluent - Maximum Proposed Discharge (2500m3/24hr)</v>
      </c>
      <c r="L110" s="4"/>
      <c r="M110" s="4"/>
      <c r="N110" s="4"/>
      <c r="O110" s="5"/>
      <c r="P110" s="6"/>
      <c r="Q110" s="1"/>
    </row>
    <row r="111" spans="1:17" x14ac:dyDescent="0.25">
      <c r="A111" s="1"/>
      <c r="B111" s="7" t="str">
        <f>"Name of river"</f>
        <v>Name of river</v>
      </c>
      <c r="C111" s="7" t="str">
        <f>"River Gipping"</f>
        <v>River Gipping</v>
      </c>
      <c r="D111" s="4"/>
      <c r="E111" s="4"/>
      <c r="F111" s="4"/>
      <c r="G111" s="1"/>
      <c r="I111" s="1"/>
      <c r="J111" s="7" t="str">
        <f>"Name of river"</f>
        <v>Name of river</v>
      </c>
      <c r="K111" s="7" t="str">
        <f>"River Gipping"</f>
        <v>River Gipping</v>
      </c>
      <c r="L111" s="4"/>
      <c r="M111" s="4"/>
      <c r="N111" s="4"/>
      <c r="O111" s="5"/>
      <c r="P111" s="6"/>
      <c r="Q111" s="1"/>
    </row>
    <row r="112" spans="1:17" x14ac:dyDescent="0.25">
      <c r="A112" s="1"/>
      <c r="B112" s="7" t="str">
        <f>"Name of determinand"</f>
        <v>Name of determinand</v>
      </c>
      <c r="C112" s="7" t="str">
        <f>"Total Nitrogen"</f>
        <v>Total Nitrogen</v>
      </c>
      <c r="D112" s="4"/>
      <c r="E112" s="4"/>
      <c r="F112" s="4"/>
      <c r="G112" s="1"/>
      <c r="I112" s="1"/>
      <c r="J112" s="7" t="str">
        <f>"Name of determinand"</f>
        <v>Name of determinand</v>
      </c>
      <c r="K112" s="7" t="str">
        <f>"Total Nitrogen"</f>
        <v>Total Nitrogen</v>
      </c>
      <c r="L112" s="4"/>
      <c r="M112" s="4"/>
      <c r="N112" s="4"/>
      <c r="O112" s="5"/>
      <c r="P112" s="6"/>
      <c r="Q112" s="1"/>
    </row>
    <row r="113" spans="1:17" x14ac:dyDescent="0.25">
      <c r="A113" s="1"/>
      <c r="B113" s="4"/>
      <c r="C113" s="4"/>
      <c r="D113" s="4"/>
      <c r="E113" s="4"/>
      <c r="F113" s="4"/>
      <c r="G113" s="1"/>
      <c r="I113" s="1"/>
      <c r="J113" s="4"/>
      <c r="K113" s="4"/>
      <c r="L113" s="4"/>
      <c r="M113" s="4"/>
      <c r="N113" s="4"/>
      <c r="O113" s="5"/>
      <c r="P113" s="6"/>
      <c r="Q113" s="1"/>
    </row>
    <row r="114" spans="1:17" x14ac:dyDescent="0.25">
      <c r="A114" s="1"/>
      <c r="B114" s="3" t="str">
        <f>"INPUT DATA"</f>
        <v>INPUT DATA</v>
      </c>
      <c r="C114" s="4"/>
      <c r="D114" s="4"/>
      <c r="E114" s="3" t="str">
        <f>"RESULTS"</f>
        <v>RESULTS</v>
      </c>
      <c r="F114" s="4"/>
      <c r="G114" s="1"/>
      <c r="I114" s="1"/>
      <c r="J114" s="3" t="str">
        <f>"INPUT DATA"</f>
        <v>INPUT DATA</v>
      </c>
      <c r="K114" s="4"/>
      <c r="L114" s="4"/>
      <c r="M114" s="3" t="str">
        <f>"RESULTS"</f>
        <v>RESULTS</v>
      </c>
      <c r="N114" s="4"/>
      <c r="O114" s="5"/>
      <c r="P114" s="6"/>
      <c r="Q114" s="1"/>
    </row>
    <row r="115" spans="1:17" x14ac:dyDescent="0.25">
      <c r="A115" s="1"/>
      <c r="B115" s="4"/>
      <c r="C115" s="4"/>
      <c r="D115" s="4"/>
      <c r="E115" s="4"/>
      <c r="F115" s="4"/>
      <c r="G115" s="1"/>
      <c r="I115" s="1"/>
      <c r="J115" s="4"/>
      <c r="K115" s="4"/>
      <c r="L115" s="4"/>
      <c r="M115" s="4"/>
      <c r="N115" s="4"/>
      <c r="O115" s="5"/>
      <c r="P115" s="6"/>
      <c r="Q115" s="1"/>
    </row>
    <row r="116" spans="1:17" x14ac:dyDescent="0.25">
      <c r="A116" s="1"/>
      <c r="B116" s="3" t="str">
        <f>"UPSTREAM RIVER DATA"</f>
        <v>UPSTREAM RIVER DATA</v>
      </c>
      <c r="C116" s="4"/>
      <c r="D116" s="4"/>
      <c r="E116" s="3" t="str">
        <f>"RIVER DOWNSTREAM OF DISCHARGE"</f>
        <v>RIVER DOWNSTREAM OF DISCHARGE</v>
      </c>
      <c r="F116" s="4"/>
      <c r="G116" s="1"/>
      <c r="I116" s="1"/>
      <c r="J116" s="3" t="str">
        <f>"UPSTREAM RIVER DATA"</f>
        <v>UPSTREAM RIVER DATA</v>
      </c>
      <c r="K116" s="4"/>
      <c r="L116" s="4"/>
      <c r="M116" s="3" t="str">
        <f>"RIVER DOWNSTREAM OF DISCHARGE"</f>
        <v>RIVER DOWNSTREAM OF DISCHARGE</v>
      </c>
      <c r="N116" s="4"/>
      <c r="O116" s="5"/>
      <c r="P116" s="6"/>
      <c r="Q116" s="1"/>
    </row>
    <row r="117" spans="1:17" x14ac:dyDescent="0.25">
      <c r="A117" s="1"/>
      <c r="B117" s="7" t="str">
        <f>"Mean flow"</f>
        <v>Mean flow</v>
      </c>
      <c r="C117" s="24" t="str">
        <f>" 0.63 "</f>
        <v xml:space="preserve"> 0.63 </v>
      </c>
      <c r="D117" s="4"/>
      <c r="E117" s="7" t="str">
        <f>"Mean quality"</f>
        <v>Mean quality</v>
      </c>
      <c r="F117" s="24" t="str">
        <f>" 7.33 "</f>
        <v xml:space="preserve"> 7.33 </v>
      </c>
      <c r="G117" s="1"/>
      <c r="I117" s="1"/>
      <c r="J117" s="7" t="str">
        <f>"Mean flow"</f>
        <v>Mean flow</v>
      </c>
      <c r="K117" s="24" t="str">
        <f>" 0.63 "</f>
        <v xml:space="preserve"> 0.63 </v>
      </c>
      <c r="L117" s="4"/>
      <c r="M117" s="7" t="str">
        <f>"Mean quality"</f>
        <v>Mean quality</v>
      </c>
      <c r="N117" s="24" t="str">
        <f>" 7.46 "</f>
        <v xml:space="preserve"> 7.46 </v>
      </c>
      <c r="O117" s="25"/>
      <c r="P117" s="26">
        <f>(N117-K119)/N117</f>
        <v>3.7533512064343195E-2</v>
      </c>
      <c r="Q117" s="1"/>
    </row>
    <row r="118" spans="1:17" x14ac:dyDescent="0.25">
      <c r="A118" s="1"/>
      <c r="B118" s="7" t="str">
        <f>"95% exceedence flow"</f>
        <v>95% exceedence flow</v>
      </c>
      <c r="C118" s="24" t="str">
        <f>" 0.09 "</f>
        <v xml:space="preserve"> 0.09 </v>
      </c>
      <c r="D118" s="4"/>
      <c r="E118" s="7" t="str">
        <f>"Standard deviation of quality"</f>
        <v>Standard deviation of quality</v>
      </c>
      <c r="F118" s="24" t="str">
        <f>" 0.61 "</f>
        <v xml:space="preserve"> 0.61 </v>
      </c>
      <c r="G118" s="1"/>
      <c r="I118" s="1"/>
      <c r="J118" s="7" t="str">
        <f>"95% exceedence flow"</f>
        <v>95% exceedence flow</v>
      </c>
      <c r="K118" s="24" t="str">
        <f>" 0.09 "</f>
        <v xml:space="preserve"> 0.09 </v>
      </c>
      <c r="L118" s="4"/>
      <c r="M118" s="7" t="str">
        <f>"Standard deviation of quality"</f>
        <v>Standard deviation of quality</v>
      </c>
      <c r="N118" s="24" t="str">
        <f>" 0.70 "</f>
        <v xml:space="preserve"> 0.70 </v>
      </c>
      <c r="O118" s="25"/>
      <c r="P118" s="26"/>
      <c r="Q118" s="1"/>
    </row>
    <row r="119" spans="1:17" x14ac:dyDescent="0.25">
      <c r="A119" s="1"/>
      <c r="B119" s="7" t="str">
        <f>"Mean quality"</f>
        <v>Mean quality</v>
      </c>
      <c r="C119" s="24" t="str">
        <f>" 7.18 "</f>
        <v xml:space="preserve"> 7.18 </v>
      </c>
      <c r="D119" s="4"/>
      <c r="E119" s="7" t="str">
        <f>"90-percentile quality"</f>
        <v>90-percentile quality</v>
      </c>
      <c r="F119" s="24" t="str">
        <f>" 8.15 "</f>
        <v xml:space="preserve"> 8.15 </v>
      </c>
      <c r="G119" s="1"/>
      <c r="I119" s="1"/>
      <c r="J119" s="7" t="str">
        <f>"Mean quality"</f>
        <v>Mean quality</v>
      </c>
      <c r="K119" s="24" t="str">
        <f>" 7.18 "</f>
        <v xml:space="preserve"> 7.18 </v>
      </c>
      <c r="L119" s="4"/>
      <c r="M119" s="7" t="str">
        <f>"90-percentile quality"</f>
        <v>90-percentile quality</v>
      </c>
      <c r="N119" s="24" t="str">
        <f>" 8.35 "</f>
        <v xml:space="preserve"> 8.35 </v>
      </c>
      <c r="O119" s="25"/>
      <c r="P119" s="26"/>
      <c r="Q119" s="1"/>
    </row>
    <row r="120" spans="1:17" x14ac:dyDescent="0.25">
      <c r="A120" s="1"/>
      <c r="B120" s="7" t="str">
        <f>"Standard deviation of quality"</f>
        <v>Standard deviation of quality</v>
      </c>
      <c r="C120" s="24" t="str">
        <f>" 0.60 "</f>
        <v xml:space="preserve"> 0.60 </v>
      </c>
      <c r="D120" s="4"/>
      <c r="E120" s="7" t="str">
        <f>"95-percentile quality"</f>
        <v>95-percentile quality</v>
      </c>
      <c r="F120" s="24" t="str">
        <f>" 8.40 "</f>
        <v xml:space="preserve"> 8.40 </v>
      </c>
      <c r="G120" s="1"/>
      <c r="I120" s="1"/>
      <c r="J120" s="7" t="str">
        <f>"Standard deviation of quality"</f>
        <v>Standard deviation of quality</v>
      </c>
      <c r="K120" s="24" t="str">
        <f>" 0.60 "</f>
        <v xml:space="preserve"> 0.60 </v>
      </c>
      <c r="L120" s="4"/>
      <c r="M120" s="7" t="str">
        <f>"95-percentile quality"</f>
        <v>95-percentile quality</v>
      </c>
      <c r="N120" s="24" t="str">
        <f>" 8.73 "</f>
        <v xml:space="preserve"> 8.73 </v>
      </c>
      <c r="O120" s="25"/>
      <c r="P120" s="26"/>
      <c r="Q120" s="1"/>
    </row>
    <row r="121" spans="1:17" x14ac:dyDescent="0.25">
      <c r="A121" s="1"/>
      <c r="B121" s="7" t="str">
        <f>"             90-percentile"</f>
        <v xml:space="preserve">             90-percentile</v>
      </c>
      <c r="C121" s="24" t="str">
        <f>" 7.96 "</f>
        <v xml:space="preserve"> 7.96 </v>
      </c>
      <c r="D121" s="4"/>
      <c r="E121" s="7" t="str">
        <f>"99-percentile quality"</f>
        <v>99-percentile quality</v>
      </c>
      <c r="F121" s="24" t="str">
        <f>" 8.89 "</f>
        <v xml:space="preserve"> 8.89 </v>
      </c>
      <c r="G121" s="1"/>
      <c r="I121" s="1"/>
      <c r="J121" s="7" t="str">
        <f>"             90-percentile"</f>
        <v xml:space="preserve">             90-percentile</v>
      </c>
      <c r="K121" s="24" t="str">
        <f>" 7.96 "</f>
        <v xml:space="preserve"> 7.96 </v>
      </c>
      <c r="L121" s="4"/>
      <c r="M121" s="7" t="str">
        <f>"99-percentile quality"</f>
        <v>99-percentile quality</v>
      </c>
      <c r="N121" s="24" t="str">
        <f>" 9.69 "</f>
        <v xml:space="preserve"> 9.69 </v>
      </c>
      <c r="O121" s="25"/>
      <c r="P121" s="26"/>
      <c r="Q121" s="1"/>
    </row>
    <row r="122" spans="1:17" x14ac:dyDescent="0.25">
      <c r="A122" s="1"/>
      <c r="B122" s="4"/>
      <c r="C122" s="4"/>
      <c r="D122" s="4"/>
      <c r="E122" s="4"/>
      <c r="F122" s="4"/>
      <c r="G122" s="1"/>
      <c r="I122" s="1"/>
      <c r="J122" s="4"/>
      <c r="K122" s="4"/>
      <c r="L122" s="4"/>
      <c r="M122" s="4"/>
      <c r="N122" s="4"/>
      <c r="O122" s="5"/>
      <c r="P122" s="6"/>
      <c r="Q122" s="1"/>
    </row>
    <row r="123" spans="1:17" x14ac:dyDescent="0.25">
      <c r="A123" s="1"/>
      <c r="B123" s="3" t="str">
        <f>"DISCHARGE DATA"</f>
        <v>DISCHARGE DATA</v>
      </c>
      <c r="C123" s="4"/>
      <c r="D123" s="4"/>
      <c r="E123" s="3" t="str">
        <f>"DISCHARGE QUALITY"</f>
        <v>DISCHARGE QUALITY</v>
      </c>
      <c r="F123" s="4"/>
      <c r="G123" s="1"/>
      <c r="I123" s="1"/>
      <c r="J123" s="3" t="str">
        <f>"DISCHARGE DATA"</f>
        <v>DISCHARGE DATA</v>
      </c>
      <c r="K123" s="4"/>
      <c r="L123" s="4"/>
      <c r="M123" s="3" t="str">
        <f>"DISCHARGE QUALITY"</f>
        <v>DISCHARGE QUALITY</v>
      </c>
      <c r="N123" s="4"/>
      <c r="O123" s="5"/>
      <c r="P123" s="6"/>
      <c r="Q123" s="1"/>
    </row>
    <row r="124" spans="1:17" x14ac:dyDescent="0.25">
      <c r="A124" s="1"/>
      <c r="B124" s="7" t="str">
        <f>"Mean flow "</f>
        <v xml:space="preserve">Mean flow </v>
      </c>
      <c r="C124" s="24" t="str">
        <f>" 0.02 "</f>
        <v xml:space="preserve"> 0.02 </v>
      </c>
      <c r="D124" s="4"/>
      <c r="E124" s="7" t="str">
        <f>"Mean quality"</f>
        <v>Mean quality</v>
      </c>
      <c r="F124" s="24" t="str">
        <f>" 10.15 "</f>
        <v xml:space="preserve"> 10.15 </v>
      </c>
      <c r="G124" s="1"/>
      <c r="I124" s="1"/>
      <c r="J124" s="7" t="str">
        <f>"Mean flow "</f>
        <v xml:space="preserve">Mean flow </v>
      </c>
      <c r="K124" s="24" t="str">
        <f>" 0.03 "</f>
        <v xml:space="preserve"> 0.03 </v>
      </c>
      <c r="L124" s="4"/>
      <c r="M124" s="7" t="str">
        <f>"Mean quality"</f>
        <v>Mean quality</v>
      </c>
      <c r="N124" s="24" t="str">
        <f>" 10.15 "</f>
        <v xml:space="preserve"> 10.15 </v>
      </c>
      <c r="O124" s="25"/>
      <c r="P124" s="26">
        <f>(N124-K126)/N124</f>
        <v>1.4778325123152743E-2</v>
      </c>
      <c r="Q124" s="1"/>
    </row>
    <row r="125" spans="1:17" x14ac:dyDescent="0.25">
      <c r="A125" s="1"/>
      <c r="B125" s="7" t="str">
        <f>"Standard deviation of flow"</f>
        <v>Standard deviation of flow</v>
      </c>
      <c r="C125" s="24" t="str">
        <f>" 0.00 "</f>
        <v xml:space="preserve"> 0.00 </v>
      </c>
      <c r="D125" s="4"/>
      <c r="E125" s="7" t="str">
        <f>"Standard deviation of quality"</f>
        <v>Standard deviation of quality</v>
      </c>
      <c r="F125" s="24" t="str">
        <f>" 3.56 "</f>
        <v xml:space="preserve"> 3.56 </v>
      </c>
      <c r="G125" s="1"/>
      <c r="I125" s="1"/>
      <c r="J125" s="7" t="str">
        <f>"Standard deviation of flow"</f>
        <v>Standard deviation of flow</v>
      </c>
      <c r="K125" s="24" t="str">
        <f>" 0.00 "</f>
        <v xml:space="preserve"> 0.00 </v>
      </c>
      <c r="L125" s="4"/>
      <c r="M125" s="7" t="str">
        <f>"Standard deviation of quality"</f>
        <v>Standard deviation of quality</v>
      </c>
      <c r="N125" s="24" t="str">
        <f>" 3.56 "</f>
        <v xml:space="preserve"> 3.56 </v>
      </c>
      <c r="O125" s="25"/>
      <c r="P125" s="26"/>
      <c r="Q125" s="1"/>
    </row>
    <row r="126" spans="1:17" x14ac:dyDescent="0.25">
      <c r="A126" s="1"/>
      <c r="B126" s="7" t="str">
        <f>"Mean quality "</f>
        <v xml:space="preserve">Mean quality </v>
      </c>
      <c r="C126" s="24" t="str">
        <f>" 10.00 "</f>
        <v xml:space="preserve"> 10.00 </v>
      </c>
      <c r="D126" s="4"/>
      <c r="E126" s="7" t="str">
        <f>"95-percentile quality"</f>
        <v>95-percentile quality</v>
      </c>
      <c r="F126" s="24" t="str">
        <f>" 16.80 "</f>
        <v xml:space="preserve"> 16.80 </v>
      </c>
      <c r="G126" s="1"/>
      <c r="I126" s="1"/>
      <c r="J126" s="7" t="str">
        <f>"Mean quality "</f>
        <v xml:space="preserve">Mean quality </v>
      </c>
      <c r="K126" s="24" t="str">
        <f>" 10.00 "</f>
        <v xml:space="preserve"> 10.00 </v>
      </c>
      <c r="L126" s="4"/>
      <c r="M126" s="7" t="str">
        <f>"95-percentile quality"</f>
        <v>95-percentile quality</v>
      </c>
      <c r="N126" s="24" t="str">
        <f>" 16.80 "</f>
        <v xml:space="preserve"> 16.80 </v>
      </c>
      <c r="O126" s="25"/>
      <c r="P126" s="26"/>
      <c r="Q126" s="1"/>
    </row>
    <row r="127" spans="1:17" x14ac:dyDescent="0.25">
      <c r="A127" s="1"/>
      <c r="B127" s="7" t="str">
        <f>"Standard deviation of quality"</f>
        <v>Standard deviation of quality</v>
      </c>
      <c r="C127" s="24" t="str">
        <f>" 3.59 "</f>
        <v xml:space="preserve"> 3.59 </v>
      </c>
      <c r="D127" s="4"/>
      <c r="E127" s="7" t="str">
        <f>"99-percentile quality"</f>
        <v>99-percentile quality</v>
      </c>
      <c r="F127" s="24" t="str">
        <f>" 20.87 "</f>
        <v xml:space="preserve"> 20.87 </v>
      </c>
      <c r="G127" s="1"/>
      <c r="I127" s="1"/>
      <c r="J127" s="7" t="str">
        <f>"Standard deviation of quality"</f>
        <v>Standard deviation of quality</v>
      </c>
      <c r="K127" s="24" t="str">
        <f>" 3.59 "</f>
        <v xml:space="preserve"> 3.59 </v>
      </c>
      <c r="L127" s="4"/>
      <c r="M127" s="7" t="str">
        <f>"99-percentile quality"</f>
        <v>99-percentile quality</v>
      </c>
      <c r="N127" s="24" t="str">
        <f>" 20.87 "</f>
        <v xml:space="preserve"> 20.87 </v>
      </c>
      <c r="O127" s="25"/>
      <c r="P127" s="26"/>
      <c r="Q127" s="1"/>
    </row>
    <row r="128" spans="1:17" x14ac:dyDescent="0.25">
      <c r="A128" s="1"/>
      <c r="B128" s="7" t="str">
        <f>"   ... or 95-percentile"</f>
        <v xml:space="preserve">   ... or 95-percentile</v>
      </c>
      <c r="C128" s="24" t="str">
        <f>" 16.67 "</f>
        <v xml:space="preserve"> 16.67 </v>
      </c>
      <c r="D128" s="4"/>
      <c r="E128" s="7" t="str">
        <f>"99.5-percentile quality"</f>
        <v>99.5-percentile quality</v>
      </c>
      <c r="F128" s="24" t="str">
        <f>" 22.14 "</f>
        <v xml:space="preserve"> 22.14 </v>
      </c>
      <c r="G128" s="1"/>
      <c r="I128" s="1"/>
      <c r="J128" s="7" t="str">
        <f>"   ... or 95-percentile"</f>
        <v xml:space="preserve">   ... or 95-percentile</v>
      </c>
      <c r="K128" s="24" t="str">
        <f>" 16.67 "</f>
        <v xml:space="preserve"> 16.67 </v>
      </c>
      <c r="L128" s="4"/>
      <c r="M128" s="7" t="str">
        <f>"99.5-percentile quality"</f>
        <v>99.5-percentile quality</v>
      </c>
      <c r="N128" s="24" t="str">
        <f>" 22.14 "</f>
        <v xml:space="preserve"> 22.14 </v>
      </c>
      <c r="O128" s="25"/>
      <c r="P128" s="26"/>
      <c r="Q128" s="1"/>
    </row>
    <row r="129" spans="1:17" x14ac:dyDescent="0.25">
      <c r="A129" s="1"/>
      <c r="G129" s="1"/>
      <c r="I129" s="1"/>
      <c r="O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I130" s="1"/>
      <c r="J130" s="1"/>
      <c r="K130" s="1"/>
      <c r="L130" s="1"/>
      <c r="M130" s="1"/>
      <c r="N130" s="1"/>
      <c r="O130" s="1"/>
      <c r="P130" s="2"/>
      <c r="Q13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6166f242b60acedb9b347ca2f7eb299a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4d4ff7a7626ba3a1fb4aa6e543c52b5b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c3dd66-95f8-469c-aefa-160cfe61df31">
      <Terms xmlns="http://schemas.microsoft.com/office/infopath/2007/PartnerControls"/>
    </lcf76f155ced4ddcb4097134ff3c332f>
    <TaxCatchAll xmlns="662745e8-e224-48e8-a2e3-254862b8c2f5">
      <Value>181</Value>
      <Value>12</Value>
      <Value>10</Value>
      <Value>9</Value>
      <Value>38</Value>
    </TaxCatchAll>
    <EAReceivedDate xmlns="eebef177-55b5-4448-a5fb-28ea454417ee">2024-12-12T00:00:00+00:00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epr-fp3132ph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Muntons PLC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2024-12-12T00:00:00+00:00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EPR/FP3132PH/V007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IP14 2AG</FacilityAddressPostcode>
    <ExternalAuthor xmlns="eebef177-55b5-4448-a5fb-28ea454417ee">Operator</ExternalAuthor>
    <SiteName xmlns="eebef177-55b5-4448-a5fb-28ea454417ee">Cedars Maltings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Cedars Maltings Needham Road Stowmarket Suffolk IP14 2AG</FacilityAddress>
  </documentManagement>
</p:properties>
</file>

<file path=customXml/itemProps1.xml><?xml version="1.0" encoding="utf-8"?>
<ds:datastoreItem xmlns:ds="http://schemas.openxmlformats.org/officeDocument/2006/customXml" ds:itemID="{762FCFE9-6989-452A-85BC-BABA3727CB3F}"/>
</file>

<file path=customXml/itemProps2.xml><?xml version="1.0" encoding="utf-8"?>
<ds:datastoreItem xmlns:ds="http://schemas.openxmlformats.org/officeDocument/2006/customXml" ds:itemID="{FD9585CB-B7B2-4843-9BAA-F0E623A0034F}"/>
</file>

<file path=customXml/itemProps3.xml><?xml version="1.0" encoding="utf-8"?>
<ds:datastoreItem xmlns:ds="http://schemas.openxmlformats.org/officeDocument/2006/customXml" ds:itemID="{F60C1035-BB3E-4197-A3AD-B2F2D3782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Wells</dc:creator>
  <cp:lastModifiedBy>Kit Wells</cp:lastModifiedBy>
  <dcterms:created xsi:type="dcterms:W3CDTF">2024-12-12T12:18:44Z</dcterms:created>
  <dcterms:modified xsi:type="dcterms:W3CDTF">2024-12-12T12:21:51Z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SysUpdateNoER">
    <vt:lpwstr>No</vt:lpwstr>
  </property>
</Properties>
</file>