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untonsplc.sharepoint.com/sites/QSHE-OnSite/EMS/EMS PPC/Permit FP3132PH/V008 - Permit Variation/RQP Tool &amp; Documents/Submission Documents/"/>
    </mc:Choice>
  </mc:AlternateContent>
  <xr:revisionPtr revIDLastSave="35" documentId="8_{C903BCA8-D87E-47B7-B388-C8FBD6629D6B}" xr6:coauthVersionLast="47" xr6:coauthVersionMax="47" xr10:uidLastSave="{811C5CAC-8675-4099-94F9-FA2533D16B7B}"/>
  <bookViews>
    <workbookView xWindow="22932" yWindow="-108" windowWidth="23256" windowHeight="12576" xr2:uid="{9448E2BC-BAE2-4744-9FC3-634FDE58002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28" i="1" l="1"/>
  <c r="Q128" i="1"/>
  <c r="O128" i="1"/>
  <c r="N128" i="1"/>
  <c r="R127" i="1"/>
  <c r="Q127" i="1"/>
  <c r="O127" i="1"/>
  <c r="N127" i="1"/>
  <c r="R126" i="1"/>
  <c r="Q126" i="1"/>
  <c r="O126" i="1"/>
  <c r="N126" i="1"/>
  <c r="R125" i="1"/>
  <c r="Q125" i="1"/>
  <c r="O125" i="1"/>
  <c r="N125" i="1"/>
  <c r="R124" i="1"/>
  <c r="Q124" i="1"/>
  <c r="O124" i="1"/>
  <c r="N124" i="1"/>
  <c r="Q123" i="1"/>
  <c r="N123" i="1"/>
  <c r="R121" i="1"/>
  <c r="Q121" i="1"/>
  <c r="O121" i="1"/>
  <c r="N121" i="1"/>
  <c r="R120" i="1"/>
  <c r="Q120" i="1"/>
  <c r="O120" i="1"/>
  <c r="N120" i="1"/>
  <c r="R119" i="1"/>
  <c r="Q119" i="1"/>
  <c r="O119" i="1"/>
  <c r="N119" i="1"/>
  <c r="R118" i="1"/>
  <c r="Q118" i="1"/>
  <c r="O118" i="1"/>
  <c r="N118" i="1"/>
  <c r="R117" i="1"/>
  <c r="Q117" i="1"/>
  <c r="O117" i="1"/>
  <c r="N117" i="1"/>
  <c r="Q116" i="1"/>
  <c r="N116" i="1"/>
  <c r="Q114" i="1"/>
  <c r="N114" i="1"/>
  <c r="O112" i="1"/>
  <c r="N112" i="1"/>
  <c r="O111" i="1"/>
  <c r="N111" i="1"/>
  <c r="O110" i="1"/>
  <c r="N110" i="1"/>
  <c r="N108" i="1"/>
  <c r="N107" i="1"/>
  <c r="N106" i="1"/>
  <c r="L128" i="1"/>
  <c r="K128" i="1"/>
  <c r="I128" i="1"/>
  <c r="H128" i="1"/>
  <c r="L127" i="1"/>
  <c r="K127" i="1"/>
  <c r="I127" i="1"/>
  <c r="H127" i="1"/>
  <c r="L126" i="1"/>
  <c r="K126" i="1"/>
  <c r="I126" i="1"/>
  <c r="H126" i="1"/>
  <c r="L125" i="1"/>
  <c r="K125" i="1"/>
  <c r="I125" i="1"/>
  <c r="H125" i="1"/>
  <c r="L124" i="1"/>
  <c r="K124" i="1"/>
  <c r="I124" i="1"/>
  <c r="H124" i="1"/>
  <c r="K123" i="1"/>
  <c r="H123" i="1"/>
  <c r="L121" i="1"/>
  <c r="K121" i="1"/>
  <c r="I121" i="1"/>
  <c r="H121" i="1"/>
  <c r="L120" i="1"/>
  <c r="K120" i="1"/>
  <c r="I120" i="1"/>
  <c r="H120" i="1"/>
  <c r="L119" i="1"/>
  <c r="K119" i="1"/>
  <c r="I119" i="1"/>
  <c r="H119" i="1"/>
  <c r="L118" i="1"/>
  <c r="K118" i="1"/>
  <c r="I118" i="1"/>
  <c r="H118" i="1"/>
  <c r="L117" i="1"/>
  <c r="K117" i="1"/>
  <c r="I117" i="1"/>
  <c r="H117" i="1"/>
  <c r="K116" i="1"/>
  <c r="H116" i="1"/>
  <c r="K114" i="1"/>
  <c r="H114" i="1"/>
  <c r="I112" i="1"/>
  <c r="H112" i="1"/>
  <c r="I111" i="1"/>
  <c r="H111" i="1"/>
  <c r="I110" i="1"/>
  <c r="H110" i="1"/>
  <c r="H108" i="1"/>
  <c r="H107" i="1"/>
  <c r="H106" i="1"/>
  <c r="F128" i="1"/>
  <c r="E128" i="1"/>
  <c r="C128" i="1"/>
  <c r="B128" i="1"/>
  <c r="F127" i="1"/>
  <c r="E127" i="1"/>
  <c r="C127" i="1"/>
  <c r="B127" i="1"/>
  <c r="F126" i="1"/>
  <c r="E126" i="1"/>
  <c r="C126" i="1"/>
  <c r="B126" i="1"/>
  <c r="F125" i="1"/>
  <c r="E125" i="1"/>
  <c r="C125" i="1"/>
  <c r="B125" i="1"/>
  <c r="F124" i="1"/>
  <c r="E124" i="1"/>
  <c r="C124" i="1"/>
  <c r="B124" i="1"/>
  <c r="E123" i="1"/>
  <c r="B123" i="1"/>
  <c r="F121" i="1"/>
  <c r="E121" i="1"/>
  <c r="C121" i="1"/>
  <c r="B121" i="1"/>
  <c r="F120" i="1"/>
  <c r="E120" i="1"/>
  <c r="C120" i="1"/>
  <c r="B120" i="1"/>
  <c r="F119" i="1"/>
  <c r="E119" i="1"/>
  <c r="C119" i="1"/>
  <c r="B119" i="1"/>
  <c r="F118" i="1"/>
  <c r="E118" i="1"/>
  <c r="C118" i="1"/>
  <c r="B118" i="1"/>
  <c r="F117" i="1"/>
  <c r="E117" i="1"/>
  <c r="C117" i="1"/>
  <c r="B117" i="1"/>
  <c r="E116" i="1"/>
  <c r="B116" i="1"/>
  <c r="E114" i="1"/>
  <c r="B114" i="1"/>
  <c r="C112" i="1"/>
  <c r="B112" i="1"/>
  <c r="C111" i="1"/>
  <c r="B111" i="1"/>
  <c r="C110" i="1"/>
  <c r="B110" i="1"/>
  <c r="B108" i="1"/>
  <c r="B107" i="1"/>
  <c r="B106" i="1"/>
  <c r="R102" i="1"/>
  <c r="Q102" i="1"/>
  <c r="O102" i="1"/>
  <c r="N102" i="1"/>
  <c r="R101" i="1"/>
  <c r="Q101" i="1"/>
  <c r="O101" i="1"/>
  <c r="N101" i="1"/>
  <c r="R100" i="1"/>
  <c r="Q100" i="1"/>
  <c r="O100" i="1"/>
  <c r="N100" i="1"/>
  <c r="R99" i="1"/>
  <c r="Q99" i="1"/>
  <c r="O99" i="1"/>
  <c r="N99" i="1"/>
  <c r="R98" i="1"/>
  <c r="Q98" i="1"/>
  <c r="O98" i="1"/>
  <c r="N98" i="1"/>
  <c r="Q97" i="1"/>
  <c r="N97" i="1"/>
  <c r="R95" i="1"/>
  <c r="Q95" i="1"/>
  <c r="O95" i="1"/>
  <c r="N95" i="1"/>
  <c r="R94" i="1"/>
  <c r="Q94" i="1"/>
  <c r="O94" i="1"/>
  <c r="N94" i="1"/>
  <c r="R93" i="1"/>
  <c r="Q93" i="1"/>
  <c r="O93" i="1"/>
  <c r="N93" i="1"/>
  <c r="R92" i="1"/>
  <c r="Q92" i="1"/>
  <c r="O92" i="1"/>
  <c r="N92" i="1"/>
  <c r="R91" i="1"/>
  <c r="Q91" i="1"/>
  <c r="O91" i="1"/>
  <c r="N91" i="1"/>
  <c r="Q90" i="1"/>
  <c r="N90" i="1"/>
  <c r="Q88" i="1"/>
  <c r="N88" i="1"/>
  <c r="O86" i="1"/>
  <c r="N86" i="1"/>
  <c r="O85" i="1"/>
  <c r="N85" i="1"/>
  <c r="O84" i="1"/>
  <c r="N84" i="1"/>
  <c r="N82" i="1"/>
  <c r="N81" i="1"/>
  <c r="N80" i="1"/>
  <c r="L102" i="1"/>
  <c r="K102" i="1"/>
  <c r="I102" i="1"/>
  <c r="H102" i="1"/>
  <c r="L101" i="1"/>
  <c r="K101" i="1"/>
  <c r="I101" i="1"/>
  <c r="H101" i="1"/>
  <c r="L100" i="1"/>
  <c r="K100" i="1"/>
  <c r="I100" i="1"/>
  <c r="H100" i="1"/>
  <c r="L99" i="1"/>
  <c r="K99" i="1"/>
  <c r="I99" i="1"/>
  <c r="H99" i="1"/>
  <c r="L98" i="1"/>
  <c r="K98" i="1"/>
  <c r="I98" i="1"/>
  <c r="H98" i="1"/>
  <c r="K97" i="1"/>
  <c r="H97" i="1"/>
  <c r="L95" i="1"/>
  <c r="K95" i="1"/>
  <c r="I95" i="1"/>
  <c r="H95" i="1"/>
  <c r="L94" i="1"/>
  <c r="K94" i="1"/>
  <c r="I94" i="1"/>
  <c r="H94" i="1"/>
  <c r="L93" i="1"/>
  <c r="K93" i="1"/>
  <c r="I93" i="1"/>
  <c r="H93" i="1"/>
  <c r="L92" i="1"/>
  <c r="K92" i="1"/>
  <c r="I92" i="1"/>
  <c r="H92" i="1"/>
  <c r="L91" i="1"/>
  <c r="K91" i="1"/>
  <c r="I91" i="1"/>
  <c r="H91" i="1"/>
  <c r="K90" i="1"/>
  <c r="H90" i="1"/>
  <c r="K88" i="1"/>
  <c r="H88" i="1"/>
  <c r="I86" i="1"/>
  <c r="H86" i="1"/>
  <c r="I85" i="1"/>
  <c r="H85" i="1"/>
  <c r="I84" i="1"/>
  <c r="H84" i="1"/>
  <c r="H82" i="1"/>
  <c r="H81" i="1"/>
  <c r="H80" i="1"/>
  <c r="F102" i="1"/>
  <c r="E102" i="1"/>
  <c r="C102" i="1"/>
  <c r="B102" i="1"/>
  <c r="F101" i="1"/>
  <c r="E101" i="1"/>
  <c r="C101" i="1"/>
  <c r="B101" i="1"/>
  <c r="F100" i="1"/>
  <c r="E100" i="1"/>
  <c r="C100" i="1"/>
  <c r="B100" i="1"/>
  <c r="F99" i="1"/>
  <c r="E99" i="1"/>
  <c r="C99" i="1"/>
  <c r="B99" i="1"/>
  <c r="F98" i="1"/>
  <c r="E98" i="1"/>
  <c r="C98" i="1"/>
  <c r="B98" i="1"/>
  <c r="E97" i="1"/>
  <c r="B97" i="1"/>
  <c r="F95" i="1"/>
  <c r="E95" i="1"/>
  <c r="C95" i="1"/>
  <c r="B95" i="1"/>
  <c r="F94" i="1"/>
  <c r="E94" i="1"/>
  <c r="C94" i="1"/>
  <c r="B94" i="1"/>
  <c r="F93" i="1"/>
  <c r="E93" i="1"/>
  <c r="C93" i="1"/>
  <c r="B93" i="1"/>
  <c r="F92" i="1"/>
  <c r="E92" i="1"/>
  <c r="C92" i="1"/>
  <c r="B92" i="1"/>
  <c r="F91" i="1"/>
  <c r="E91" i="1"/>
  <c r="C91" i="1"/>
  <c r="B91" i="1"/>
  <c r="E90" i="1"/>
  <c r="B90" i="1"/>
  <c r="E88" i="1"/>
  <c r="B88" i="1"/>
  <c r="C86" i="1"/>
  <c r="B86" i="1"/>
  <c r="C85" i="1"/>
  <c r="B85" i="1"/>
  <c r="C84" i="1"/>
  <c r="B84" i="1"/>
  <c r="B82" i="1"/>
  <c r="B81" i="1"/>
  <c r="B80" i="1"/>
  <c r="R76" i="1"/>
  <c r="Q76" i="1"/>
  <c r="O76" i="1"/>
  <c r="N76" i="1"/>
  <c r="R75" i="1"/>
  <c r="Q75" i="1"/>
  <c r="O75" i="1"/>
  <c r="N75" i="1"/>
  <c r="R74" i="1"/>
  <c r="Q74" i="1"/>
  <c r="O74" i="1"/>
  <c r="N74" i="1"/>
  <c r="R73" i="1"/>
  <c r="Q73" i="1"/>
  <c r="O73" i="1"/>
  <c r="N73" i="1"/>
  <c r="R72" i="1"/>
  <c r="Q72" i="1"/>
  <c r="O72" i="1"/>
  <c r="N72" i="1"/>
  <c r="Q71" i="1"/>
  <c r="N71" i="1"/>
  <c r="R69" i="1"/>
  <c r="Q69" i="1"/>
  <c r="O69" i="1"/>
  <c r="N69" i="1"/>
  <c r="R68" i="1"/>
  <c r="Q68" i="1"/>
  <c r="O68" i="1"/>
  <c r="N68" i="1"/>
  <c r="R67" i="1"/>
  <c r="Q67" i="1"/>
  <c r="O67" i="1"/>
  <c r="N67" i="1"/>
  <c r="R66" i="1"/>
  <c r="Q66" i="1"/>
  <c r="O66" i="1"/>
  <c r="N66" i="1"/>
  <c r="R65" i="1"/>
  <c r="Q65" i="1"/>
  <c r="O65" i="1"/>
  <c r="N65" i="1"/>
  <c r="Q64" i="1"/>
  <c r="N64" i="1"/>
  <c r="Q62" i="1"/>
  <c r="N62" i="1"/>
  <c r="O60" i="1"/>
  <c r="N60" i="1"/>
  <c r="O59" i="1"/>
  <c r="N59" i="1"/>
  <c r="O58" i="1"/>
  <c r="N58" i="1"/>
  <c r="N56" i="1"/>
  <c r="N55" i="1"/>
  <c r="N54" i="1"/>
  <c r="L76" i="1"/>
  <c r="K76" i="1"/>
  <c r="I76" i="1"/>
  <c r="H76" i="1"/>
  <c r="L75" i="1"/>
  <c r="K75" i="1"/>
  <c r="I75" i="1"/>
  <c r="H75" i="1"/>
  <c r="L74" i="1"/>
  <c r="K74" i="1"/>
  <c r="I74" i="1"/>
  <c r="H74" i="1"/>
  <c r="L73" i="1"/>
  <c r="K73" i="1"/>
  <c r="I73" i="1"/>
  <c r="H73" i="1"/>
  <c r="L72" i="1"/>
  <c r="K72" i="1"/>
  <c r="I72" i="1"/>
  <c r="H72" i="1"/>
  <c r="K71" i="1"/>
  <c r="H71" i="1"/>
  <c r="L69" i="1"/>
  <c r="K69" i="1"/>
  <c r="I69" i="1"/>
  <c r="H69" i="1"/>
  <c r="L68" i="1"/>
  <c r="K68" i="1"/>
  <c r="I68" i="1"/>
  <c r="H68" i="1"/>
  <c r="L67" i="1"/>
  <c r="K67" i="1"/>
  <c r="I67" i="1"/>
  <c r="H67" i="1"/>
  <c r="L66" i="1"/>
  <c r="K66" i="1"/>
  <c r="I66" i="1"/>
  <c r="H66" i="1"/>
  <c r="L65" i="1"/>
  <c r="K65" i="1"/>
  <c r="I65" i="1"/>
  <c r="H65" i="1"/>
  <c r="K64" i="1"/>
  <c r="H64" i="1"/>
  <c r="K62" i="1"/>
  <c r="H62" i="1"/>
  <c r="I60" i="1"/>
  <c r="H60" i="1"/>
  <c r="I59" i="1"/>
  <c r="H59" i="1"/>
  <c r="I58" i="1"/>
  <c r="H58" i="1"/>
  <c r="H56" i="1"/>
  <c r="H55" i="1"/>
  <c r="H54" i="1"/>
  <c r="F76" i="1"/>
  <c r="E76" i="1"/>
  <c r="C76" i="1"/>
  <c r="B76" i="1"/>
  <c r="F75" i="1"/>
  <c r="E75" i="1"/>
  <c r="C75" i="1"/>
  <c r="B75" i="1"/>
  <c r="F74" i="1"/>
  <c r="E74" i="1"/>
  <c r="C74" i="1"/>
  <c r="B74" i="1"/>
  <c r="F73" i="1"/>
  <c r="E73" i="1"/>
  <c r="C73" i="1"/>
  <c r="B73" i="1"/>
  <c r="F72" i="1"/>
  <c r="E72" i="1"/>
  <c r="C72" i="1"/>
  <c r="B72" i="1"/>
  <c r="E71" i="1"/>
  <c r="B71" i="1"/>
  <c r="F69" i="1"/>
  <c r="E69" i="1"/>
  <c r="C69" i="1"/>
  <c r="B69" i="1"/>
  <c r="F68" i="1"/>
  <c r="E68" i="1"/>
  <c r="C68" i="1"/>
  <c r="B68" i="1"/>
  <c r="F67" i="1"/>
  <c r="E67" i="1"/>
  <c r="C67" i="1"/>
  <c r="B67" i="1"/>
  <c r="F66" i="1"/>
  <c r="E66" i="1"/>
  <c r="C66" i="1"/>
  <c r="B66" i="1"/>
  <c r="F65" i="1"/>
  <c r="E65" i="1"/>
  <c r="C65" i="1"/>
  <c r="B65" i="1"/>
  <c r="E64" i="1"/>
  <c r="B64" i="1"/>
  <c r="E62" i="1"/>
  <c r="B62" i="1"/>
  <c r="C60" i="1"/>
  <c r="B60" i="1"/>
  <c r="C59" i="1"/>
  <c r="B59" i="1"/>
  <c r="C58" i="1"/>
  <c r="B58" i="1"/>
  <c r="B56" i="1"/>
  <c r="B55" i="1"/>
  <c r="B54" i="1"/>
  <c r="R24" i="1"/>
  <c r="Q24" i="1"/>
  <c r="O24" i="1"/>
  <c r="N24" i="1"/>
  <c r="R23" i="1"/>
  <c r="Q23" i="1"/>
  <c r="O23" i="1"/>
  <c r="N23" i="1"/>
  <c r="R22" i="1"/>
  <c r="Q22" i="1"/>
  <c r="O22" i="1"/>
  <c r="N22" i="1"/>
  <c r="R21" i="1"/>
  <c r="Q21" i="1"/>
  <c r="O21" i="1"/>
  <c r="N21" i="1"/>
  <c r="R20" i="1"/>
  <c r="Q20" i="1"/>
  <c r="O20" i="1"/>
  <c r="N20" i="1"/>
  <c r="Q19" i="1"/>
  <c r="N19" i="1"/>
  <c r="R17" i="1"/>
  <c r="Q17" i="1"/>
  <c r="O17" i="1"/>
  <c r="N17" i="1"/>
  <c r="R16" i="1"/>
  <c r="Q16" i="1"/>
  <c r="O16" i="1"/>
  <c r="N16" i="1"/>
  <c r="R15" i="1"/>
  <c r="Q15" i="1"/>
  <c r="O15" i="1"/>
  <c r="N15" i="1"/>
  <c r="R14" i="1"/>
  <c r="Q14" i="1"/>
  <c r="O14" i="1"/>
  <c r="N14" i="1"/>
  <c r="R13" i="1"/>
  <c r="Q13" i="1"/>
  <c r="O13" i="1"/>
  <c r="N13" i="1"/>
  <c r="Q12" i="1"/>
  <c r="N12" i="1"/>
  <c r="Q10" i="1"/>
  <c r="N10" i="1"/>
  <c r="O8" i="1"/>
  <c r="N8" i="1"/>
  <c r="O7" i="1"/>
  <c r="N7" i="1"/>
  <c r="O6" i="1"/>
  <c r="N6" i="1"/>
  <c r="N4" i="1"/>
  <c r="N3" i="1"/>
  <c r="N2" i="1"/>
  <c r="L24" i="1"/>
  <c r="K24" i="1"/>
  <c r="I24" i="1"/>
  <c r="H24" i="1"/>
  <c r="L23" i="1"/>
  <c r="K23" i="1"/>
  <c r="I23" i="1"/>
  <c r="H23" i="1"/>
  <c r="L22" i="1"/>
  <c r="K22" i="1"/>
  <c r="I22" i="1"/>
  <c r="H22" i="1"/>
  <c r="L21" i="1"/>
  <c r="K21" i="1"/>
  <c r="I21" i="1"/>
  <c r="H21" i="1"/>
  <c r="L20" i="1"/>
  <c r="K20" i="1"/>
  <c r="I20" i="1"/>
  <c r="H20" i="1"/>
  <c r="K19" i="1"/>
  <c r="H19" i="1"/>
  <c r="L17" i="1"/>
  <c r="K17" i="1"/>
  <c r="I17" i="1"/>
  <c r="H17" i="1"/>
  <c r="L16" i="1"/>
  <c r="K16" i="1"/>
  <c r="I16" i="1"/>
  <c r="H16" i="1"/>
  <c r="L15" i="1"/>
  <c r="K15" i="1"/>
  <c r="I15" i="1"/>
  <c r="H15" i="1"/>
  <c r="L14" i="1"/>
  <c r="K14" i="1"/>
  <c r="I14" i="1"/>
  <c r="H14" i="1"/>
  <c r="L13" i="1"/>
  <c r="K13" i="1"/>
  <c r="I13" i="1"/>
  <c r="H13" i="1"/>
  <c r="K12" i="1"/>
  <c r="H12" i="1"/>
  <c r="K10" i="1"/>
  <c r="H10" i="1"/>
  <c r="I8" i="1"/>
  <c r="H8" i="1"/>
  <c r="I7" i="1"/>
  <c r="H7" i="1"/>
  <c r="I6" i="1"/>
  <c r="H6" i="1"/>
  <c r="H4" i="1"/>
  <c r="H3" i="1"/>
  <c r="H2" i="1"/>
  <c r="F24" i="1"/>
  <c r="E24" i="1"/>
  <c r="C24" i="1"/>
  <c r="B24" i="1"/>
  <c r="F23" i="1"/>
  <c r="E23" i="1"/>
  <c r="C23" i="1"/>
  <c r="B23" i="1"/>
  <c r="F22" i="1"/>
  <c r="E22" i="1"/>
  <c r="C22" i="1"/>
  <c r="B22" i="1"/>
  <c r="F21" i="1"/>
  <c r="E21" i="1"/>
  <c r="C21" i="1"/>
  <c r="B21" i="1"/>
  <c r="F20" i="1"/>
  <c r="E20" i="1"/>
  <c r="C20" i="1"/>
  <c r="B20" i="1"/>
  <c r="E19" i="1"/>
  <c r="B19" i="1"/>
  <c r="F17" i="1"/>
  <c r="E17" i="1"/>
  <c r="C17" i="1"/>
  <c r="B17" i="1"/>
  <c r="F16" i="1"/>
  <c r="E16" i="1"/>
  <c r="C16" i="1"/>
  <c r="B16" i="1"/>
  <c r="F15" i="1"/>
  <c r="E15" i="1"/>
  <c r="C15" i="1"/>
  <c r="B15" i="1"/>
  <c r="F14" i="1"/>
  <c r="E14" i="1"/>
  <c r="C14" i="1"/>
  <c r="B14" i="1"/>
  <c r="F13" i="1"/>
  <c r="E13" i="1"/>
  <c r="C13" i="1"/>
  <c r="B13" i="1"/>
  <c r="E12" i="1"/>
  <c r="B12" i="1"/>
  <c r="E10" i="1"/>
  <c r="B10" i="1"/>
  <c r="C8" i="1"/>
  <c r="B8" i="1"/>
  <c r="C7" i="1"/>
  <c r="B7" i="1"/>
  <c r="C6" i="1"/>
  <c r="B6" i="1"/>
  <c r="B4" i="1"/>
  <c r="B3" i="1"/>
  <c r="B2" i="1"/>
</calcChain>
</file>

<file path=xl/sharedStrings.xml><?xml version="1.0" encoding="utf-8"?>
<sst xmlns="http://schemas.openxmlformats.org/spreadsheetml/2006/main" count="165" uniqueCount="60">
  <si>
    <t>MASS BALANCE CALCULATION: MONTE CARLO METHOD</t>
  </si>
  <si>
    <t>Version 2.5</t>
  </si>
  <si>
    <t>Calculations done on 28/11/2024 at 14.45</t>
  </si>
  <si>
    <t>Name of discharge</t>
  </si>
  <si>
    <t>Muntons Trade Effluent - Current Data</t>
  </si>
  <si>
    <t>Name of river</t>
  </si>
  <si>
    <t>River Gipping</t>
  </si>
  <si>
    <t>Name of determinand</t>
  </si>
  <si>
    <t>BOD</t>
  </si>
  <si>
    <t>RESULTS</t>
  </si>
  <si>
    <t>INPUT DATA</t>
  </si>
  <si>
    <t>RIVER DOWNSTREAM OF DISCHARGE</t>
  </si>
  <si>
    <t>UPSTREAM RIVER DATA</t>
  </si>
  <si>
    <t>Mean quality</t>
  </si>
  <si>
    <t xml:space="preserve"> 3.16 </t>
  </si>
  <si>
    <t>Mean flow</t>
  </si>
  <si>
    <t xml:space="preserve"> 0.63 </t>
  </si>
  <si>
    <t>Standard deviation of quality</t>
  </si>
  <si>
    <t xml:space="preserve"> 2.10 </t>
  </si>
  <si>
    <t>95% exceedence flow</t>
  </si>
  <si>
    <t xml:space="preserve"> 0.09 </t>
  </si>
  <si>
    <t>90-percentile quality</t>
  </si>
  <si>
    <t xml:space="preserve"> 5.53 </t>
  </si>
  <si>
    <t xml:space="preserve"> 3.14 </t>
  </si>
  <si>
    <t>95-percentile quality</t>
  </si>
  <si>
    <t xml:space="preserve"> 7.05 </t>
  </si>
  <si>
    <t xml:space="preserve"> 2.17 </t>
  </si>
  <si>
    <t>99-percentile quality</t>
  </si>
  <si>
    <t xml:space="preserve"> 10.13 </t>
  </si>
  <si>
    <t xml:space="preserve">             90-percentile</t>
  </si>
  <si>
    <t xml:space="preserve"> 5.75 </t>
  </si>
  <si>
    <t>DISCHARGE QUALITY</t>
  </si>
  <si>
    <t>DISCHARGE DATA</t>
  </si>
  <si>
    <t xml:space="preserve"> 3.03 </t>
  </si>
  <si>
    <t xml:space="preserve">Mean flow </t>
  </si>
  <si>
    <t xml:space="preserve"> 0.02 </t>
  </si>
  <si>
    <t xml:space="preserve"> 0.82 </t>
  </si>
  <si>
    <t>Standard deviation of flow</t>
  </si>
  <si>
    <t xml:space="preserve"> 0.00 </t>
  </si>
  <si>
    <t xml:space="preserve"> 4.52 </t>
  </si>
  <si>
    <t xml:space="preserve">Mean quality </t>
  </si>
  <si>
    <t xml:space="preserve"> 3.00 </t>
  </si>
  <si>
    <t xml:space="preserve"> 5.35 </t>
  </si>
  <si>
    <t>99.5-percentile quality</t>
  </si>
  <si>
    <t xml:space="preserve"> 5.60 </t>
  </si>
  <si>
    <t xml:space="preserve">   ... or 95-percentile</t>
  </si>
  <si>
    <t xml:space="preserve"> 4.50 </t>
  </si>
  <si>
    <t>Calculations done on 28/11/2024 at 14.49</t>
  </si>
  <si>
    <t>Muntons Trade Effluent - Current Maximum Discharge (1500m3/24hr)</t>
  </si>
  <si>
    <t xml:space="preserve"> 2.08 </t>
  </si>
  <si>
    <t xml:space="preserve"> 7.03 </t>
  </si>
  <si>
    <t xml:space="preserve"> 9.97 </t>
  </si>
  <si>
    <t>Calculations done on 28/11/2024 at 14.52</t>
  </si>
  <si>
    <t>Muntons Trade Effluent - Current Maximum Discharge (2500m3/24hr)</t>
  </si>
  <si>
    <t xml:space="preserve"> 3.15 </t>
  </si>
  <si>
    <t xml:space="preserve"> 2.00 </t>
  </si>
  <si>
    <t xml:space="preserve"> 5.39 </t>
  </si>
  <si>
    <t xml:space="preserve"> 6.94 </t>
  </si>
  <si>
    <t xml:space="preserve"> 9.82 </t>
  </si>
  <si>
    <t xml:space="preserve"> 0.03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</si>
</sst>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2" borderId="0" xfId="0" applyFont="1" applyFill="1"/>
    <xf numFmtId="0" fontId="0" fillId="2" borderId="0" xfId="0" applyFill="1"/>
    <xf numFmtId="0" fontId="2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D37A6-2D5A-4BCA-84D2-526630FD5344}">
  <dimension ref="A1:S130"/>
  <sheetViews>
    <sheetView tabSelected="1" topLeftCell="C24" workbookViewId="0">
      <selection activeCell="N40" sqref="N40"/>
    </sheetView>
  </sheetViews>
  <sheetFormatPr defaultRowHeight="15" x14ac:dyDescent="0.25"/>
  <cols>
    <col min="1" max="1" width="2.7109375" customWidth="1"/>
    <col min="2" max="2" width="28.7109375" customWidth="1"/>
    <col min="3" max="3" width="6.5703125" customWidth="1"/>
    <col min="4" max="4" width="2.7109375" customWidth="1"/>
    <col min="5" max="5" width="28.140625" customWidth="1"/>
    <col min="6" max="6" width="6.5703125" customWidth="1"/>
    <col min="7" max="7" width="2.7109375" customWidth="1"/>
    <col min="8" max="8" width="28.7109375" customWidth="1"/>
    <col min="10" max="10" width="2.7109375" customWidth="1"/>
    <col min="11" max="11" width="29" bestFit="1" customWidth="1"/>
    <col min="13" max="13" width="2.7109375" customWidth="1"/>
    <col min="14" max="14" width="28.7109375" customWidth="1"/>
    <col min="16" max="16" width="2.7109375" customWidth="1"/>
    <col min="17" max="17" width="29" bestFit="1" customWidth="1"/>
    <col min="19" max="19" width="2.7109375" customWidth="1"/>
  </cols>
  <sheetData>
    <row r="1" spans="1:19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19" ht="11.25" customHeight="1" x14ac:dyDescent="0.25">
      <c r="A2" s="6"/>
      <c r="B2" s="1" t="str">
        <f>"MASS BALANCE CALCULATION: MONTE CARLO METHOD"</f>
        <v>MASS BALANCE CALCULATION: MONTE CARLO METHOD</v>
      </c>
      <c r="C2" s="2"/>
      <c r="D2" s="2"/>
      <c r="E2" s="2"/>
      <c r="F2" s="2"/>
      <c r="G2" s="6"/>
      <c r="H2" s="1" t="str">
        <f>"MASS BALANCE CALCULATION: MONTE CARLO METHOD"</f>
        <v>MASS BALANCE CALCULATION: MONTE CARLO METHOD</v>
      </c>
      <c r="I2" s="2"/>
      <c r="J2" s="2"/>
      <c r="K2" s="2"/>
      <c r="L2" s="2"/>
      <c r="M2" s="6"/>
      <c r="N2" s="1" t="str">
        <f>"MASS BALANCE CALCULATION: MONTE CARLO METHOD"</f>
        <v>MASS BALANCE CALCULATION: MONTE CARLO METHOD</v>
      </c>
      <c r="O2" s="2"/>
      <c r="P2" s="2"/>
      <c r="Q2" s="2"/>
      <c r="R2" s="2"/>
      <c r="S2" s="6"/>
    </row>
    <row r="3" spans="1:19" ht="11.25" customHeight="1" x14ac:dyDescent="0.25">
      <c r="A3" s="6"/>
      <c r="B3" s="3" t="str">
        <f>"Version 2.5"</f>
        <v>Version 2.5</v>
      </c>
      <c r="C3" s="2"/>
      <c r="D3" s="2"/>
      <c r="E3" s="2"/>
      <c r="F3" s="2"/>
      <c r="G3" s="6"/>
      <c r="H3" s="3" t="str">
        <f>"Version 2.5"</f>
        <v>Version 2.5</v>
      </c>
      <c r="I3" s="2"/>
      <c r="J3" s="2"/>
      <c r="K3" s="2"/>
      <c r="L3" s="2"/>
      <c r="M3" s="6"/>
      <c r="N3" s="3" t="str">
        <f>"Version 2.5"</f>
        <v>Version 2.5</v>
      </c>
      <c r="O3" s="2"/>
      <c r="P3" s="2"/>
      <c r="Q3" s="2"/>
      <c r="R3" s="2"/>
      <c r="S3" s="6"/>
    </row>
    <row r="4" spans="1:19" ht="11.25" customHeight="1" x14ac:dyDescent="0.25">
      <c r="A4" s="6"/>
      <c r="B4" s="3" t="str">
        <f>"Calculations done on 28/11/2024 at 10.45"</f>
        <v>Calculations done on 28/11/2024 at 10.45</v>
      </c>
      <c r="C4" s="2"/>
      <c r="D4" s="2"/>
      <c r="E4" s="2"/>
      <c r="F4" s="2"/>
      <c r="G4" s="6"/>
      <c r="H4" s="3" t="str">
        <f>"Calculations done on 28/11/2024 at 11.33"</f>
        <v>Calculations done on 28/11/2024 at 11.33</v>
      </c>
      <c r="I4" s="2"/>
      <c r="J4" s="2"/>
      <c r="K4" s="2"/>
      <c r="L4" s="2"/>
      <c r="M4" s="6"/>
      <c r="N4" s="3" t="str">
        <f>"Calculations done on 28/11/2024 at 11.50"</f>
        <v>Calculations done on 28/11/2024 at 11.50</v>
      </c>
      <c r="O4" s="2"/>
      <c r="P4" s="2"/>
      <c r="Q4" s="2"/>
      <c r="R4" s="2"/>
      <c r="S4" s="6"/>
    </row>
    <row r="5" spans="1:19" ht="11.25" customHeight="1" x14ac:dyDescent="0.25">
      <c r="A5" s="6"/>
      <c r="B5" s="2"/>
      <c r="C5" s="2"/>
      <c r="D5" s="2"/>
      <c r="E5" s="2"/>
      <c r="F5" s="2"/>
      <c r="G5" s="6"/>
      <c r="H5" s="2"/>
      <c r="I5" s="2"/>
      <c r="J5" s="2"/>
      <c r="K5" s="2"/>
      <c r="L5" s="2"/>
      <c r="M5" s="6"/>
      <c r="N5" s="2"/>
      <c r="O5" s="2"/>
      <c r="P5" s="2"/>
      <c r="Q5" s="2"/>
      <c r="R5" s="2"/>
      <c r="S5" s="6"/>
    </row>
    <row r="6" spans="1:19" ht="11.25" customHeight="1" x14ac:dyDescent="0.25">
      <c r="A6" s="6"/>
      <c r="B6" s="3" t="str">
        <f>"Name of discharge"</f>
        <v>Name of discharge</v>
      </c>
      <c r="C6" s="3" t="str">
        <f>"Muntons Trade Effluent - Current discharge"</f>
        <v>Muntons Trade Effluent - Current discharge</v>
      </c>
      <c r="D6" s="2"/>
      <c r="E6" s="2"/>
      <c r="F6" s="2"/>
      <c r="G6" s="6"/>
      <c r="H6" s="3" t="str">
        <f>"Name of discharge"</f>
        <v>Name of discharge</v>
      </c>
      <c r="I6" s="3" t="str">
        <f>"Muntons Trade Effluent - Current Maximum Discharge (1500m3/24hr)"</f>
        <v>Muntons Trade Effluent - Current Maximum Discharge (1500m3/24hr)</v>
      </c>
      <c r="J6" s="2"/>
      <c r="K6" s="2"/>
      <c r="L6" s="2"/>
      <c r="M6" s="6"/>
      <c r="N6" s="3" t="str">
        <f>"Name of discharge"</f>
        <v>Name of discharge</v>
      </c>
      <c r="O6" s="3" t="str">
        <f>"Muntons Trade Effluent - Maximum Proposed Discharge (2500m3/24hr)"</f>
        <v>Muntons Trade Effluent - Maximum Proposed Discharge (2500m3/24hr)</v>
      </c>
      <c r="P6" s="2"/>
      <c r="Q6" s="2"/>
      <c r="R6" s="2"/>
      <c r="S6" s="6"/>
    </row>
    <row r="7" spans="1:19" ht="11.25" customHeight="1" x14ac:dyDescent="0.25">
      <c r="A7" s="6"/>
      <c r="B7" s="3" t="str">
        <f>"Name of river"</f>
        <v>Name of river</v>
      </c>
      <c r="C7" s="3" t="str">
        <f>"River Gipping"</f>
        <v>River Gipping</v>
      </c>
      <c r="D7" s="2"/>
      <c r="E7" s="2"/>
      <c r="F7" s="2"/>
      <c r="G7" s="6"/>
      <c r="H7" s="3" t="str">
        <f>"Name of river"</f>
        <v>Name of river</v>
      </c>
      <c r="I7" s="3" t="str">
        <f>"River Gipping"</f>
        <v>River Gipping</v>
      </c>
      <c r="J7" s="2"/>
      <c r="K7" s="2"/>
      <c r="L7" s="2"/>
      <c r="M7" s="6"/>
      <c r="N7" s="3" t="str">
        <f>"Name of river"</f>
        <v>Name of river</v>
      </c>
      <c r="O7" s="3" t="str">
        <f>"River Gipping"</f>
        <v>River Gipping</v>
      </c>
      <c r="P7" s="2"/>
      <c r="Q7" s="2"/>
      <c r="R7" s="2"/>
      <c r="S7" s="6"/>
    </row>
    <row r="8" spans="1:19" ht="11.25" customHeight="1" x14ac:dyDescent="0.25">
      <c r="A8" s="6"/>
      <c r="B8" s="3" t="str">
        <f>"Name of determinand"</f>
        <v>Name of determinand</v>
      </c>
      <c r="C8" s="1" t="str">
        <f>"Ammoniacal Nitrogen"</f>
        <v>Ammoniacal Nitrogen</v>
      </c>
      <c r="D8" s="2"/>
      <c r="E8" s="2"/>
      <c r="F8" s="2"/>
      <c r="G8" s="6"/>
      <c r="H8" s="3" t="str">
        <f>"Name of determinand"</f>
        <v>Name of determinand</v>
      </c>
      <c r="I8" s="1" t="str">
        <f>"Ammoniacal Nitrogen"</f>
        <v>Ammoniacal Nitrogen</v>
      </c>
      <c r="J8" s="2"/>
      <c r="K8" s="2"/>
      <c r="L8" s="2"/>
      <c r="M8" s="6"/>
      <c r="N8" s="3" t="str">
        <f>"Name of determinand"</f>
        <v>Name of determinand</v>
      </c>
      <c r="O8" s="1" t="str">
        <f>"Ammoniacal Nitrogen"</f>
        <v>Ammoniacal Nitrogen</v>
      </c>
      <c r="P8" s="2"/>
      <c r="Q8" s="2"/>
      <c r="R8" s="2"/>
      <c r="S8" s="6"/>
    </row>
    <row r="9" spans="1:19" ht="11.25" customHeight="1" x14ac:dyDescent="0.25">
      <c r="A9" s="6"/>
      <c r="B9" s="2"/>
      <c r="C9" s="2"/>
      <c r="D9" s="2"/>
      <c r="E9" s="2"/>
      <c r="F9" s="2"/>
      <c r="G9" s="6"/>
      <c r="H9" s="2"/>
      <c r="I9" s="2"/>
      <c r="J9" s="2"/>
      <c r="K9" s="2"/>
      <c r="L9" s="2"/>
      <c r="M9" s="6"/>
      <c r="N9" s="2"/>
      <c r="O9" s="2"/>
      <c r="P9" s="2"/>
      <c r="Q9" s="2"/>
      <c r="R9" s="2"/>
      <c r="S9" s="6"/>
    </row>
    <row r="10" spans="1:19" ht="11.25" customHeight="1" x14ac:dyDescent="0.25">
      <c r="A10" s="6"/>
      <c r="B10" s="1" t="str">
        <f>"INPUT DATA"</f>
        <v>INPUT DATA</v>
      </c>
      <c r="C10" s="2"/>
      <c r="D10" s="2"/>
      <c r="E10" s="1" t="str">
        <f>"RESULTS"</f>
        <v>RESULTS</v>
      </c>
      <c r="F10" s="2"/>
      <c r="G10" s="6"/>
      <c r="H10" s="1" t="str">
        <f>"INPUT DATA"</f>
        <v>INPUT DATA</v>
      </c>
      <c r="I10" s="2"/>
      <c r="J10" s="2"/>
      <c r="K10" s="1" t="str">
        <f>"RESULTS"</f>
        <v>RESULTS</v>
      </c>
      <c r="L10" s="2"/>
      <c r="M10" s="6"/>
      <c r="N10" s="1" t="str">
        <f>"INPUT DATA"</f>
        <v>INPUT DATA</v>
      </c>
      <c r="O10" s="2"/>
      <c r="P10" s="2"/>
      <c r="Q10" s="1" t="str">
        <f>"RESULTS"</f>
        <v>RESULTS</v>
      </c>
      <c r="R10" s="2"/>
      <c r="S10" s="6"/>
    </row>
    <row r="11" spans="1:19" ht="11.25" customHeight="1" x14ac:dyDescent="0.25">
      <c r="A11" s="6"/>
      <c r="B11" s="2"/>
      <c r="C11" s="2"/>
      <c r="D11" s="2"/>
      <c r="E11" s="2"/>
      <c r="F11" s="2"/>
      <c r="G11" s="6"/>
      <c r="H11" s="2"/>
      <c r="I11" s="2"/>
      <c r="J11" s="2"/>
      <c r="K11" s="2"/>
      <c r="L11" s="2"/>
      <c r="M11" s="6"/>
      <c r="N11" s="2"/>
      <c r="O11" s="2"/>
      <c r="P11" s="2"/>
      <c r="Q11" s="2"/>
      <c r="R11" s="2"/>
      <c r="S11" s="6"/>
    </row>
    <row r="12" spans="1:19" ht="11.25" customHeight="1" x14ac:dyDescent="0.25">
      <c r="A12" s="6"/>
      <c r="B12" s="1" t="str">
        <f>"UPSTREAM RIVER DATA"</f>
        <v>UPSTREAM RIVER DATA</v>
      </c>
      <c r="C12" s="2"/>
      <c r="D12" s="2"/>
      <c r="E12" s="1" t="str">
        <f>"RIVER DOWNSTREAM OF DISCHARGE"</f>
        <v>RIVER DOWNSTREAM OF DISCHARGE</v>
      </c>
      <c r="F12" s="2"/>
      <c r="G12" s="6"/>
      <c r="H12" s="1" t="str">
        <f>"UPSTREAM RIVER DATA"</f>
        <v>UPSTREAM RIVER DATA</v>
      </c>
      <c r="I12" s="2"/>
      <c r="J12" s="2"/>
      <c r="K12" s="1" t="str">
        <f>"RIVER DOWNSTREAM OF DISCHARGE"</f>
        <v>RIVER DOWNSTREAM OF DISCHARGE</v>
      </c>
      <c r="L12" s="2"/>
      <c r="M12" s="6"/>
      <c r="N12" s="1" t="str">
        <f>"UPSTREAM RIVER DATA"</f>
        <v>UPSTREAM RIVER DATA</v>
      </c>
      <c r="O12" s="2"/>
      <c r="P12" s="2"/>
      <c r="Q12" s="1" t="str">
        <f>"RIVER DOWNSTREAM OF DISCHARGE"</f>
        <v>RIVER DOWNSTREAM OF DISCHARGE</v>
      </c>
      <c r="R12" s="2"/>
      <c r="S12" s="6"/>
    </row>
    <row r="13" spans="1:19" ht="11.25" customHeight="1" x14ac:dyDescent="0.25">
      <c r="A13" s="6"/>
      <c r="B13" s="3" t="str">
        <f>"Mean flow"</f>
        <v>Mean flow</v>
      </c>
      <c r="C13" s="4" t="str">
        <f>" 0.63 "</f>
        <v xml:space="preserve"> 0.63 </v>
      </c>
      <c r="D13" s="2"/>
      <c r="E13" s="3" t="str">
        <f>"Mean quality"</f>
        <v>Mean quality</v>
      </c>
      <c r="F13" s="4" t="str">
        <f>" 0.13 "</f>
        <v xml:space="preserve"> 0.13 </v>
      </c>
      <c r="G13" s="6"/>
      <c r="H13" s="3" t="str">
        <f>"Mean flow"</f>
        <v>Mean flow</v>
      </c>
      <c r="I13" s="4" t="str">
        <f>" 0.63 "</f>
        <v xml:space="preserve"> 0.63 </v>
      </c>
      <c r="J13" s="2"/>
      <c r="K13" s="3" t="str">
        <f>"Mean quality"</f>
        <v>Mean quality</v>
      </c>
      <c r="L13" s="4" t="str">
        <f>" 0.14 "</f>
        <v xml:space="preserve"> 0.14 </v>
      </c>
      <c r="M13" s="6"/>
      <c r="N13" s="3" t="str">
        <f>"Mean flow"</f>
        <v>Mean flow</v>
      </c>
      <c r="O13" s="4" t="str">
        <f>" 0.63 "</f>
        <v xml:space="preserve"> 0.63 </v>
      </c>
      <c r="P13" s="2"/>
      <c r="Q13" s="3" t="str">
        <f>"Mean quality"</f>
        <v>Mean quality</v>
      </c>
      <c r="R13" s="4" t="str">
        <f>" 0.14 "</f>
        <v xml:space="preserve"> 0.14 </v>
      </c>
      <c r="S13" s="6"/>
    </row>
    <row r="14" spans="1:19" ht="11.25" customHeight="1" x14ac:dyDescent="0.25">
      <c r="A14" s="6"/>
      <c r="B14" s="3" t="str">
        <f>"95% exceedence flow"</f>
        <v>95% exceedence flow</v>
      </c>
      <c r="C14" s="4" t="str">
        <f>" 0.09 "</f>
        <v xml:space="preserve"> 0.09 </v>
      </c>
      <c r="D14" s="2"/>
      <c r="E14" s="3" t="str">
        <f>"Standard deviation of quality"</f>
        <v>Standard deviation of quality</v>
      </c>
      <c r="F14" s="4" t="str">
        <f>" 0.09 "</f>
        <v xml:space="preserve"> 0.09 </v>
      </c>
      <c r="G14" s="6"/>
      <c r="H14" s="3" t="str">
        <f>"95% exceedence flow"</f>
        <v>95% exceedence flow</v>
      </c>
      <c r="I14" s="4" t="str">
        <f>" 0.09 "</f>
        <v xml:space="preserve"> 0.09 </v>
      </c>
      <c r="J14" s="2"/>
      <c r="K14" s="3" t="str">
        <f>"Standard deviation of quality"</f>
        <v>Standard deviation of quality</v>
      </c>
      <c r="L14" s="4" t="str">
        <f>" 0.09 "</f>
        <v xml:space="preserve"> 0.09 </v>
      </c>
      <c r="M14" s="6"/>
      <c r="N14" s="3" t="str">
        <f>"95% exceedence flow"</f>
        <v>95% exceedence flow</v>
      </c>
      <c r="O14" s="4" t="str">
        <f>" 0.09 "</f>
        <v xml:space="preserve"> 0.09 </v>
      </c>
      <c r="P14" s="2"/>
      <c r="Q14" s="3" t="str">
        <f>"Standard deviation of quality"</f>
        <v>Standard deviation of quality</v>
      </c>
      <c r="R14" s="4" t="str">
        <f>" 0.12 "</f>
        <v xml:space="preserve"> 0.12 </v>
      </c>
      <c r="S14" s="6"/>
    </row>
    <row r="15" spans="1:19" ht="11.25" customHeight="1" x14ac:dyDescent="0.25">
      <c r="A15" s="6"/>
      <c r="B15" s="3" t="str">
        <f>"Mean quality"</f>
        <v>Mean quality</v>
      </c>
      <c r="C15" s="4" t="str">
        <f>" 0.12 "</f>
        <v xml:space="preserve"> 0.12 </v>
      </c>
      <c r="D15" s="2"/>
      <c r="E15" s="3" t="str">
        <f>"90-percentile quality"</f>
        <v>90-percentile quality</v>
      </c>
      <c r="F15" s="4" t="str">
        <f>" 0.23 "</f>
        <v xml:space="preserve"> 0.23 </v>
      </c>
      <c r="G15" s="6"/>
      <c r="H15" s="3" t="str">
        <f>"Mean quality"</f>
        <v>Mean quality</v>
      </c>
      <c r="I15" s="4" t="str">
        <f>" 0.12 "</f>
        <v xml:space="preserve"> 0.12 </v>
      </c>
      <c r="J15" s="2"/>
      <c r="K15" s="3" t="str">
        <f>"90-percentile quality"</f>
        <v>90-percentile quality</v>
      </c>
      <c r="L15" s="4" t="str">
        <f>" 0.23 "</f>
        <v xml:space="preserve"> 0.23 </v>
      </c>
      <c r="M15" s="6"/>
      <c r="N15" s="3" t="str">
        <f>"Mean quality"</f>
        <v>Mean quality</v>
      </c>
      <c r="O15" s="4" t="str">
        <f>" 0.12 "</f>
        <v xml:space="preserve"> 0.12 </v>
      </c>
      <c r="P15" s="2"/>
      <c r="Q15" s="3" t="str">
        <f>"90-percentile quality"</f>
        <v>90-percentile quality</v>
      </c>
      <c r="R15" s="4" t="str">
        <f>" 0.24 "</f>
        <v xml:space="preserve"> 0.24 </v>
      </c>
      <c r="S15" s="6"/>
    </row>
    <row r="16" spans="1:19" ht="11.25" customHeight="1" x14ac:dyDescent="0.25">
      <c r="A16" s="6"/>
      <c r="B16" s="3" t="str">
        <f>"Standard deviation of quality"</f>
        <v>Standard deviation of quality</v>
      </c>
      <c r="C16" s="4" t="str">
        <f>" 0.07 "</f>
        <v xml:space="preserve"> 0.07 </v>
      </c>
      <c r="D16" s="2"/>
      <c r="E16" s="3" t="str">
        <f>"95-percentile quality"</f>
        <v>95-percentile quality</v>
      </c>
      <c r="F16" s="4" t="str">
        <f>" 0.28 "</f>
        <v xml:space="preserve"> 0.28 </v>
      </c>
      <c r="G16" s="6"/>
      <c r="H16" s="3" t="str">
        <f>"Standard deviation of quality"</f>
        <v>Standard deviation of quality</v>
      </c>
      <c r="I16" s="4" t="str">
        <f>" 0.07 "</f>
        <v xml:space="preserve"> 0.07 </v>
      </c>
      <c r="J16" s="2"/>
      <c r="K16" s="3" t="str">
        <f>"95-percentile quality"</f>
        <v>95-percentile quality</v>
      </c>
      <c r="L16" s="4" t="str">
        <f>" 0.29 "</f>
        <v xml:space="preserve"> 0.29 </v>
      </c>
      <c r="M16" s="6"/>
      <c r="N16" s="3" t="str">
        <f>"Standard deviation of quality"</f>
        <v>Standard deviation of quality</v>
      </c>
      <c r="O16" s="4" t="str">
        <f>" 0.07 "</f>
        <v xml:space="preserve"> 0.07 </v>
      </c>
      <c r="P16" s="2"/>
      <c r="Q16" s="3" t="str">
        <f>"95-percentile quality"</f>
        <v>95-percentile quality</v>
      </c>
      <c r="R16" s="4" t="str">
        <f>" 0.30 "</f>
        <v xml:space="preserve"> 0.30 </v>
      </c>
      <c r="S16" s="6"/>
    </row>
    <row r="17" spans="1:19" ht="11.25" customHeight="1" x14ac:dyDescent="0.25">
      <c r="A17" s="6"/>
      <c r="B17" s="3" t="str">
        <f>"             90-percentile"</f>
        <v xml:space="preserve">             90-percentile</v>
      </c>
      <c r="C17" s="4" t="str">
        <f>" 0.21 "</f>
        <v xml:space="preserve"> 0.21 </v>
      </c>
      <c r="D17" s="2"/>
      <c r="E17" s="3" t="str">
        <f>"99-percentile quality"</f>
        <v>99-percentile quality</v>
      </c>
      <c r="F17" s="4" t="str">
        <f>" 0.45 "</f>
        <v xml:space="preserve"> 0.45 </v>
      </c>
      <c r="G17" s="6"/>
      <c r="H17" s="3" t="str">
        <f>"             90-percentile"</f>
        <v xml:space="preserve">             90-percentile</v>
      </c>
      <c r="I17" s="4" t="str">
        <f>" 0.21 "</f>
        <v xml:space="preserve"> 0.21 </v>
      </c>
      <c r="J17" s="2"/>
      <c r="K17" s="3" t="str">
        <f>"99-percentile quality"</f>
        <v>99-percentile quality</v>
      </c>
      <c r="L17" s="4" t="str">
        <f>" 0.47 "</f>
        <v xml:space="preserve"> 0.47 </v>
      </c>
      <c r="M17" s="6"/>
      <c r="N17" s="3" t="str">
        <f>"             90-percentile"</f>
        <v xml:space="preserve">             90-percentile</v>
      </c>
      <c r="O17" s="4" t="str">
        <f>" 0.21 "</f>
        <v xml:space="preserve"> 0.21 </v>
      </c>
      <c r="P17" s="2"/>
      <c r="Q17" s="3" t="str">
        <f>"99-percentile quality"</f>
        <v>99-percentile quality</v>
      </c>
      <c r="R17" s="4" t="str">
        <f>" 0.54 "</f>
        <v xml:space="preserve"> 0.54 </v>
      </c>
      <c r="S17" s="6"/>
    </row>
    <row r="18" spans="1:19" ht="11.25" customHeight="1" x14ac:dyDescent="0.25">
      <c r="A18" s="6"/>
      <c r="B18" s="2"/>
      <c r="C18" s="2"/>
      <c r="D18" s="2"/>
      <c r="E18" s="2"/>
      <c r="F18" s="2"/>
      <c r="G18" s="6"/>
      <c r="H18" s="2"/>
      <c r="I18" s="2"/>
      <c r="J18" s="2"/>
      <c r="K18" s="2"/>
      <c r="L18" s="2"/>
      <c r="M18" s="6"/>
      <c r="N18" s="2"/>
      <c r="O18" s="2"/>
      <c r="P18" s="2"/>
      <c r="Q18" s="2"/>
      <c r="R18" s="2"/>
      <c r="S18" s="6"/>
    </row>
    <row r="19" spans="1:19" ht="11.25" customHeight="1" x14ac:dyDescent="0.25">
      <c r="A19" s="6"/>
      <c r="B19" s="1" t="str">
        <f>"DISCHARGE DATA"</f>
        <v>DISCHARGE DATA</v>
      </c>
      <c r="C19" s="2"/>
      <c r="D19" s="2"/>
      <c r="E19" s="1" t="str">
        <f>"DISCHARGE QUALITY"</f>
        <v>DISCHARGE QUALITY</v>
      </c>
      <c r="F19" s="2"/>
      <c r="G19" s="6"/>
      <c r="H19" s="1" t="str">
        <f>"DISCHARGE DATA"</f>
        <v>DISCHARGE DATA</v>
      </c>
      <c r="I19" s="2"/>
      <c r="J19" s="2"/>
      <c r="K19" s="1" t="str">
        <f>"DISCHARGE QUALITY"</f>
        <v>DISCHARGE QUALITY</v>
      </c>
      <c r="L19" s="2"/>
      <c r="M19" s="6"/>
      <c r="N19" s="1" t="str">
        <f>"DISCHARGE DATA"</f>
        <v>DISCHARGE DATA</v>
      </c>
      <c r="O19" s="2"/>
      <c r="P19" s="2"/>
      <c r="Q19" s="1" t="str">
        <f>"DISCHARGE QUALITY"</f>
        <v>DISCHARGE QUALITY</v>
      </c>
      <c r="R19" s="2"/>
      <c r="S19" s="6"/>
    </row>
    <row r="20" spans="1:19" ht="11.25" customHeight="1" x14ac:dyDescent="0.25">
      <c r="A20" s="6"/>
      <c r="B20" s="3" t="str">
        <f>"Mean flow "</f>
        <v xml:space="preserve">Mean flow </v>
      </c>
      <c r="C20" s="4" t="str">
        <f>" 0.02 "</f>
        <v xml:space="preserve"> 0.02 </v>
      </c>
      <c r="D20" s="2"/>
      <c r="E20" s="3" t="str">
        <f>"Mean quality"</f>
        <v>Mean quality</v>
      </c>
      <c r="F20" s="4" t="str">
        <f>" 0.32 "</f>
        <v xml:space="preserve"> 0.32 </v>
      </c>
      <c r="G20" s="6"/>
      <c r="H20" s="3" t="str">
        <f>"Mean flow "</f>
        <v xml:space="preserve">Mean flow </v>
      </c>
      <c r="I20" s="4" t="str">
        <f>" 0.02 "</f>
        <v xml:space="preserve"> 0.02 </v>
      </c>
      <c r="J20" s="2"/>
      <c r="K20" s="3" t="str">
        <f>"Mean quality"</f>
        <v>Mean quality</v>
      </c>
      <c r="L20" s="4" t="str">
        <f>" 0.32 "</f>
        <v xml:space="preserve"> 0.32 </v>
      </c>
      <c r="M20" s="6"/>
      <c r="N20" s="3" t="str">
        <f>"Mean flow "</f>
        <v xml:space="preserve">Mean flow </v>
      </c>
      <c r="O20" s="4" t="str">
        <f>" 0.03 "</f>
        <v xml:space="preserve"> 0.03 </v>
      </c>
      <c r="P20" s="2"/>
      <c r="Q20" s="3" t="str">
        <f>"Mean quality"</f>
        <v>Mean quality</v>
      </c>
      <c r="R20" s="4" t="str">
        <f>" 0.32 "</f>
        <v xml:space="preserve"> 0.32 </v>
      </c>
      <c r="S20" s="6"/>
    </row>
    <row r="21" spans="1:19" ht="11.25" customHeight="1" x14ac:dyDescent="0.25">
      <c r="A21" s="6"/>
      <c r="B21" s="3" t="str">
        <f>"Standard deviation of flow"</f>
        <v>Standard deviation of flow</v>
      </c>
      <c r="C21" s="4" t="str">
        <f>" 0.00 "</f>
        <v xml:space="preserve"> 0.00 </v>
      </c>
      <c r="D21" s="2"/>
      <c r="E21" s="3" t="str">
        <f>"Standard deviation of quality"</f>
        <v>Standard deviation of quality</v>
      </c>
      <c r="F21" s="4" t="str">
        <f>" 0.85 "</f>
        <v xml:space="preserve"> 0.85 </v>
      </c>
      <c r="G21" s="6"/>
      <c r="H21" s="3" t="str">
        <f>"Standard deviation of flow"</f>
        <v>Standard deviation of flow</v>
      </c>
      <c r="I21" s="4" t="str">
        <f>" 0.00 "</f>
        <v xml:space="preserve"> 0.00 </v>
      </c>
      <c r="J21" s="2"/>
      <c r="K21" s="3" t="str">
        <f>"Standard deviation of quality"</f>
        <v>Standard deviation of quality</v>
      </c>
      <c r="L21" s="4" t="str">
        <f>" 0.85 "</f>
        <v xml:space="preserve"> 0.85 </v>
      </c>
      <c r="M21" s="6"/>
      <c r="N21" s="3" t="str">
        <f>"Standard deviation of flow"</f>
        <v>Standard deviation of flow</v>
      </c>
      <c r="O21" s="4" t="str">
        <f>" 0.00 "</f>
        <v xml:space="preserve"> 0.00 </v>
      </c>
      <c r="P21" s="2"/>
      <c r="Q21" s="3" t="str">
        <f>"Standard deviation of quality"</f>
        <v>Standard deviation of quality</v>
      </c>
      <c r="R21" s="4" t="str">
        <f>" 0.85 "</f>
        <v xml:space="preserve"> 0.85 </v>
      </c>
      <c r="S21" s="6"/>
    </row>
    <row r="22" spans="1:19" ht="11.25" customHeight="1" x14ac:dyDescent="0.25">
      <c r="A22" s="6"/>
      <c r="B22" s="3" t="str">
        <f>"Mean quality "</f>
        <v xml:space="preserve">Mean quality </v>
      </c>
      <c r="C22" s="4" t="str">
        <f>" 0.33 "</f>
        <v xml:space="preserve"> 0.33 </v>
      </c>
      <c r="D22" s="2"/>
      <c r="E22" s="3" t="str">
        <f>"95-percentile quality"</f>
        <v>95-percentile quality</v>
      </c>
      <c r="F22" s="4" t="str">
        <f>" 1.31 "</f>
        <v xml:space="preserve"> 1.31 </v>
      </c>
      <c r="G22" s="6"/>
      <c r="H22" s="3" t="str">
        <f>"Mean quality "</f>
        <v xml:space="preserve">Mean quality </v>
      </c>
      <c r="I22" s="4" t="str">
        <f>" 0.33 "</f>
        <v xml:space="preserve"> 0.33 </v>
      </c>
      <c r="J22" s="2"/>
      <c r="K22" s="3" t="str">
        <f>"95-percentile quality"</f>
        <v>95-percentile quality</v>
      </c>
      <c r="L22" s="4" t="str">
        <f>" 1.31 "</f>
        <v xml:space="preserve"> 1.31 </v>
      </c>
      <c r="M22" s="6"/>
      <c r="N22" s="3" t="str">
        <f>"Mean quality "</f>
        <v xml:space="preserve">Mean quality </v>
      </c>
      <c r="O22" s="4" t="str">
        <f>" 0.33 "</f>
        <v xml:space="preserve"> 0.33 </v>
      </c>
      <c r="P22" s="2"/>
      <c r="Q22" s="3" t="str">
        <f>"95-percentile quality"</f>
        <v>95-percentile quality</v>
      </c>
      <c r="R22" s="4" t="str">
        <f>" 1.31 "</f>
        <v xml:space="preserve"> 1.31 </v>
      </c>
      <c r="S22" s="6"/>
    </row>
    <row r="23" spans="1:19" ht="11.25" customHeight="1" x14ac:dyDescent="0.25">
      <c r="A23" s="6"/>
      <c r="B23" s="3" t="str">
        <f>"Standard deviation of quality"</f>
        <v>Standard deviation of quality</v>
      </c>
      <c r="C23" s="4" t="str">
        <f>" 1.56 "</f>
        <v xml:space="preserve"> 1.56 </v>
      </c>
      <c r="D23" s="2"/>
      <c r="E23" s="3" t="str">
        <f>"99-percentile quality"</f>
        <v>99-percentile quality</v>
      </c>
      <c r="F23" s="4" t="str">
        <f>" 3.97 "</f>
        <v xml:space="preserve"> 3.97 </v>
      </c>
      <c r="G23" s="6"/>
      <c r="H23" s="3" t="str">
        <f>"Standard deviation of quality"</f>
        <v>Standard deviation of quality</v>
      </c>
      <c r="I23" s="4" t="str">
        <f>" 1.56 "</f>
        <v xml:space="preserve"> 1.56 </v>
      </c>
      <c r="J23" s="2"/>
      <c r="K23" s="3" t="str">
        <f>"99-percentile quality"</f>
        <v>99-percentile quality</v>
      </c>
      <c r="L23" s="4" t="str">
        <f>" 3.97 "</f>
        <v xml:space="preserve"> 3.97 </v>
      </c>
      <c r="M23" s="6"/>
      <c r="N23" s="3" t="str">
        <f>"Standard deviation of quality"</f>
        <v>Standard deviation of quality</v>
      </c>
      <c r="O23" s="4" t="str">
        <f>" 1.56 "</f>
        <v xml:space="preserve"> 1.56 </v>
      </c>
      <c r="P23" s="2"/>
      <c r="Q23" s="3" t="str">
        <f>"99-percentile quality"</f>
        <v>99-percentile quality</v>
      </c>
      <c r="R23" s="4" t="str">
        <f>" 3.97 "</f>
        <v xml:space="preserve"> 3.97 </v>
      </c>
      <c r="S23" s="6"/>
    </row>
    <row r="24" spans="1:19" ht="11.25" customHeight="1" x14ac:dyDescent="0.25">
      <c r="A24" s="6"/>
      <c r="B24" s="3" t="str">
        <f>"   ... or 95-percentile"</f>
        <v xml:space="preserve">   ... or 95-percentile</v>
      </c>
      <c r="C24" s="4" t="str">
        <f>" 1.26 "</f>
        <v xml:space="preserve"> 1.26 </v>
      </c>
      <c r="D24" s="2"/>
      <c r="E24" s="3" t="str">
        <f>"99.5-percentile quality"</f>
        <v>99.5-percentile quality</v>
      </c>
      <c r="F24" s="4" t="str">
        <f>" 5.37 "</f>
        <v xml:space="preserve"> 5.37 </v>
      </c>
      <c r="G24" s="6"/>
      <c r="H24" s="3" t="str">
        <f>"   ... or 95-percentile"</f>
        <v xml:space="preserve">   ... or 95-percentile</v>
      </c>
      <c r="I24" s="4" t="str">
        <f>" 1.26 "</f>
        <v xml:space="preserve"> 1.26 </v>
      </c>
      <c r="J24" s="2"/>
      <c r="K24" s="3" t="str">
        <f>"99.5-percentile quality"</f>
        <v>99.5-percentile quality</v>
      </c>
      <c r="L24" s="4" t="str">
        <f>" 5.37 "</f>
        <v xml:space="preserve"> 5.37 </v>
      </c>
      <c r="M24" s="6"/>
      <c r="N24" s="3" t="str">
        <f>"   ... or 95-percentile"</f>
        <v xml:space="preserve">   ... or 95-percentile</v>
      </c>
      <c r="O24" s="4" t="str">
        <f>" 1.26 "</f>
        <v xml:space="preserve"> 1.26 </v>
      </c>
      <c r="P24" s="2"/>
      <c r="Q24" s="3" t="str">
        <f>"99.5-percentile quality"</f>
        <v>99.5-percentile quality</v>
      </c>
      <c r="R24" s="4" t="str">
        <f>" 5.37 "</f>
        <v xml:space="preserve"> 5.37 </v>
      </c>
      <c r="S24" s="6"/>
    </row>
    <row r="25" spans="1:19" ht="11.25" customHeight="1" x14ac:dyDescent="0.25">
      <c r="A25" s="6"/>
      <c r="B25" s="2"/>
      <c r="C25" s="2"/>
      <c r="D25" s="2"/>
      <c r="E25" s="2"/>
      <c r="F25" s="2"/>
      <c r="G25" s="6"/>
      <c r="M25" s="6"/>
      <c r="S25" s="6"/>
    </row>
    <row r="26" spans="1:19" ht="11.25" customHeight="1" x14ac:dyDescent="0.25">
      <c r="A26" s="6"/>
      <c r="B26" s="5"/>
      <c r="C26" s="5"/>
      <c r="D26" s="5"/>
      <c r="E26" s="5"/>
      <c r="F26" s="5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</row>
    <row r="27" spans="1:19" ht="11.25" customHeight="1" x14ac:dyDescent="0.25">
      <c r="A27" s="6"/>
      <c r="G27" s="6"/>
      <c r="M27" s="6"/>
      <c r="S27" s="6"/>
    </row>
    <row r="28" spans="1:19" ht="11.25" customHeight="1" x14ac:dyDescent="0.25">
      <c r="A28" s="6"/>
      <c r="B28" s="8" t="s">
        <v>0</v>
      </c>
      <c r="C28" s="7"/>
      <c r="D28" s="7"/>
      <c r="E28" s="7"/>
      <c r="F28" s="7"/>
      <c r="G28" s="6"/>
      <c r="H28" s="12" t="s">
        <v>0</v>
      </c>
      <c r="I28" s="11"/>
      <c r="J28" s="11"/>
      <c r="K28" s="11"/>
      <c r="L28" s="11"/>
      <c r="M28" s="6"/>
      <c r="N28" s="16" t="s">
        <v>0</v>
      </c>
      <c r="O28" s="15"/>
      <c r="P28" s="15"/>
      <c r="Q28" s="15"/>
      <c r="R28" s="15"/>
      <c r="S28" s="6"/>
    </row>
    <row r="29" spans="1:19" ht="11.25" customHeight="1" x14ac:dyDescent="0.25">
      <c r="A29" s="6"/>
      <c r="B29" s="9" t="s">
        <v>1</v>
      </c>
      <c r="C29" s="7"/>
      <c r="D29" s="7"/>
      <c r="E29" s="7"/>
      <c r="F29" s="7"/>
      <c r="G29" s="6"/>
      <c r="H29" s="13" t="s">
        <v>1</v>
      </c>
      <c r="I29" s="11"/>
      <c r="J29" s="11"/>
      <c r="K29" s="11"/>
      <c r="L29" s="11"/>
      <c r="M29" s="6"/>
      <c r="N29" s="17" t="s">
        <v>1</v>
      </c>
      <c r="O29" s="15"/>
      <c r="P29" s="15"/>
      <c r="Q29" s="15"/>
      <c r="R29" s="15"/>
      <c r="S29" s="6"/>
    </row>
    <row r="30" spans="1:19" ht="11.25" customHeight="1" x14ac:dyDescent="0.25">
      <c r="A30" s="6"/>
      <c r="B30" s="9" t="s">
        <v>2</v>
      </c>
      <c r="C30" s="7"/>
      <c r="D30" s="7"/>
      <c r="E30" s="7"/>
      <c r="F30" s="7"/>
      <c r="G30" s="6"/>
      <c r="H30" s="13" t="s">
        <v>47</v>
      </c>
      <c r="I30" s="11"/>
      <c r="J30" s="11"/>
      <c r="K30" s="11"/>
      <c r="L30" s="11"/>
      <c r="M30" s="6"/>
      <c r="N30" s="17" t="s">
        <v>52</v>
      </c>
      <c r="O30" s="15"/>
      <c r="P30" s="15"/>
      <c r="Q30" s="15"/>
      <c r="R30" s="15"/>
      <c r="S30" s="6"/>
    </row>
    <row r="31" spans="1:19" ht="11.25" customHeight="1" x14ac:dyDescent="0.25">
      <c r="A31" s="6"/>
      <c r="B31" s="7"/>
      <c r="C31" s="7"/>
      <c r="D31" s="7"/>
      <c r="E31" s="7"/>
      <c r="F31" s="7"/>
      <c r="G31" s="6"/>
      <c r="H31" s="11"/>
      <c r="I31" s="11"/>
      <c r="J31" s="11"/>
      <c r="K31" s="11"/>
      <c r="L31" s="11"/>
      <c r="M31" s="6"/>
      <c r="N31" s="15"/>
      <c r="O31" s="15"/>
      <c r="P31" s="15"/>
      <c r="Q31" s="15"/>
      <c r="R31" s="15"/>
      <c r="S31" s="6"/>
    </row>
    <row r="32" spans="1:19" ht="11.25" customHeight="1" x14ac:dyDescent="0.25">
      <c r="A32" s="6"/>
      <c r="B32" s="9" t="s">
        <v>3</v>
      </c>
      <c r="C32" s="9" t="s">
        <v>4</v>
      </c>
      <c r="D32" s="7"/>
      <c r="E32" s="7"/>
      <c r="F32" s="7"/>
      <c r="G32" s="6"/>
      <c r="H32" s="13" t="s">
        <v>3</v>
      </c>
      <c r="I32" s="13" t="s">
        <v>48</v>
      </c>
      <c r="J32" s="11"/>
      <c r="K32" s="11"/>
      <c r="L32" s="11"/>
      <c r="M32" s="6"/>
      <c r="N32" s="17" t="s">
        <v>3</v>
      </c>
      <c r="O32" s="17" t="s">
        <v>53</v>
      </c>
      <c r="P32" s="15"/>
      <c r="Q32" s="15"/>
      <c r="R32" s="15"/>
      <c r="S32" s="6"/>
    </row>
    <row r="33" spans="1:19" ht="11.25" customHeight="1" x14ac:dyDescent="0.25">
      <c r="A33" s="6"/>
      <c r="B33" s="9" t="s">
        <v>5</v>
      </c>
      <c r="C33" s="9" t="s">
        <v>6</v>
      </c>
      <c r="D33" s="7"/>
      <c r="E33" s="7"/>
      <c r="F33" s="7"/>
      <c r="G33" s="6"/>
      <c r="H33" s="13" t="s">
        <v>5</v>
      </c>
      <c r="I33" s="13" t="s">
        <v>6</v>
      </c>
      <c r="J33" s="11"/>
      <c r="K33" s="11"/>
      <c r="L33" s="11"/>
      <c r="M33" s="6"/>
      <c r="N33" s="17" t="s">
        <v>5</v>
      </c>
      <c r="O33" s="17" t="s">
        <v>6</v>
      </c>
      <c r="P33" s="15"/>
      <c r="Q33" s="15"/>
      <c r="R33" s="15"/>
      <c r="S33" s="6"/>
    </row>
    <row r="34" spans="1:19" ht="11.25" customHeight="1" x14ac:dyDescent="0.25">
      <c r="A34" s="6"/>
      <c r="B34" s="9" t="s">
        <v>7</v>
      </c>
      <c r="C34" s="8" t="s">
        <v>8</v>
      </c>
      <c r="D34" s="7"/>
      <c r="E34" s="7"/>
      <c r="F34" s="7"/>
      <c r="G34" s="6"/>
      <c r="H34" s="13" t="s">
        <v>7</v>
      </c>
      <c r="I34" s="12" t="s">
        <v>8</v>
      </c>
      <c r="J34" s="11"/>
      <c r="K34" s="11"/>
      <c r="L34" s="11"/>
      <c r="M34" s="6"/>
      <c r="N34" s="17" t="s">
        <v>7</v>
      </c>
      <c r="O34" s="16" t="s">
        <v>8</v>
      </c>
      <c r="P34" s="15"/>
      <c r="Q34" s="15"/>
      <c r="R34" s="15"/>
      <c r="S34" s="6"/>
    </row>
    <row r="35" spans="1:19" ht="11.25" customHeight="1" x14ac:dyDescent="0.25">
      <c r="A35" s="6"/>
      <c r="B35" s="7"/>
      <c r="C35" s="7"/>
      <c r="D35" s="7"/>
      <c r="E35" s="7"/>
      <c r="F35" s="7"/>
      <c r="G35" s="6"/>
      <c r="H35" s="11"/>
      <c r="J35" s="11"/>
      <c r="K35" s="11"/>
      <c r="L35" s="11"/>
      <c r="M35" s="6"/>
      <c r="N35" s="15"/>
      <c r="P35" s="15"/>
      <c r="Q35" s="15"/>
      <c r="R35" s="15"/>
      <c r="S35" s="6"/>
    </row>
    <row r="36" spans="1:19" ht="11.25" customHeight="1" x14ac:dyDescent="0.25">
      <c r="A36" s="6"/>
      <c r="B36" s="8" t="s">
        <v>10</v>
      </c>
      <c r="C36" s="7"/>
      <c r="D36" s="7"/>
      <c r="E36" s="8" t="s">
        <v>9</v>
      </c>
      <c r="F36" s="7"/>
      <c r="G36" s="6"/>
      <c r="H36" s="12" t="s">
        <v>10</v>
      </c>
      <c r="I36" s="11"/>
      <c r="J36" s="11"/>
      <c r="K36" s="12" t="s">
        <v>9</v>
      </c>
      <c r="L36" s="11"/>
      <c r="M36" s="6"/>
      <c r="N36" s="16" t="s">
        <v>10</v>
      </c>
      <c r="O36" s="15"/>
      <c r="P36" s="15"/>
      <c r="Q36" s="16" t="s">
        <v>9</v>
      </c>
      <c r="R36" s="15"/>
      <c r="S36" s="6"/>
    </row>
    <row r="37" spans="1:19" ht="11.25" customHeight="1" x14ac:dyDescent="0.25">
      <c r="A37" s="6"/>
      <c r="B37" s="7"/>
      <c r="C37" s="7"/>
      <c r="D37" s="7"/>
      <c r="E37" s="7"/>
      <c r="F37" s="7"/>
      <c r="G37" s="6"/>
      <c r="H37" s="11"/>
      <c r="I37" s="11"/>
      <c r="J37" s="11"/>
      <c r="K37" s="11"/>
      <c r="L37" s="11"/>
      <c r="M37" s="6"/>
      <c r="N37" s="15"/>
      <c r="O37" s="15"/>
      <c r="P37" s="15"/>
      <c r="Q37" s="15"/>
      <c r="R37" s="15"/>
      <c r="S37" s="6"/>
    </row>
    <row r="38" spans="1:19" ht="11.25" customHeight="1" x14ac:dyDescent="0.25">
      <c r="A38" s="6"/>
      <c r="B38" s="8" t="s">
        <v>12</v>
      </c>
      <c r="C38" s="7"/>
      <c r="D38" s="7"/>
      <c r="E38" s="8" t="s">
        <v>11</v>
      </c>
      <c r="F38" s="7"/>
      <c r="G38" s="6"/>
      <c r="H38" s="12" t="s">
        <v>12</v>
      </c>
      <c r="I38" s="11"/>
      <c r="J38" s="11"/>
      <c r="K38" s="12" t="s">
        <v>11</v>
      </c>
      <c r="L38" s="11"/>
      <c r="M38" s="6"/>
      <c r="N38" s="16" t="s">
        <v>12</v>
      </c>
      <c r="O38" s="15"/>
      <c r="P38" s="15"/>
      <c r="Q38" s="16" t="s">
        <v>11</v>
      </c>
      <c r="R38" s="15"/>
      <c r="S38" s="6"/>
    </row>
    <row r="39" spans="1:19" ht="11.25" customHeight="1" x14ac:dyDescent="0.25">
      <c r="A39" s="6"/>
      <c r="B39" s="9" t="s">
        <v>15</v>
      </c>
      <c r="C39" s="10" t="s">
        <v>16</v>
      </c>
      <c r="D39" s="7"/>
      <c r="E39" s="9" t="s">
        <v>13</v>
      </c>
      <c r="F39" s="10" t="s">
        <v>14</v>
      </c>
      <c r="G39" s="6"/>
      <c r="H39" s="13" t="s">
        <v>15</v>
      </c>
      <c r="I39" s="14" t="s">
        <v>16</v>
      </c>
      <c r="J39" s="11"/>
      <c r="K39" s="13" t="s">
        <v>13</v>
      </c>
      <c r="L39" s="14" t="s">
        <v>14</v>
      </c>
      <c r="M39" s="6"/>
      <c r="N39" s="17" t="s">
        <v>15</v>
      </c>
      <c r="O39" s="18" t="s">
        <v>16</v>
      </c>
      <c r="P39" s="15"/>
      <c r="Q39" s="17" t="s">
        <v>13</v>
      </c>
      <c r="R39" s="18" t="s">
        <v>54</v>
      </c>
      <c r="S39" s="6"/>
    </row>
    <row r="40" spans="1:19" ht="11.25" customHeight="1" x14ac:dyDescent="0.25">
      <c r="A40" s="6"/>
      <c r="B40" s="9" t="s">
        <v>19</v>
      </c>
      <c r="C40" s="10" t="s">
        <v>20</v>
      </c>
      <c r="D40" s="7"/>
      <c r="E40" s="9" t="s">
        <v>17</v>
      </c>
      <c r="F40" s="10" t="s">
        <v>18</v>
      </c>
      <c r="G40" s="6"/>
      <c r="H40" s="13" t="s">
        <v>19</v>
      </c>
      <c r="I40" s="14" t="s">
        <v>20</v>
      </c>
      <c r="J40" s="11"/>
      <c r="K40" s="13" t="s">
        <v>17</v>
      </c>
      <c r="L40" s="14" t="s">
        <v>49</v>
      </c>
      <c r="M40" s="6"/>
      <c r="N40" s="17" t="s">
        <v>19</v>
      </c>
      <c r="O40" s="18" t="s">
        <v>20</v>
      </c>
      <c r="P40" s="15"/>
      <c r="Q40" s="17" t="s">
        <v>17</v>
      </c>
      <c r="R40" s="18" t="s">
        <v>55</v>
      </c>
      <c r="S40" s="6"/>
    </row>
    <row r="41" spans="1:19" ht="11.25" customHeight="1" x14ac:dyDescent="0.25">
      <c r="A41" s="6"/>
      <c r="B41" s="9" t="s">
        <v>13</v>
      </c>
      <c r="C41" s="10" t="s">
        <v>23</v>
      </c>
      <c r="D41" s="7"/>
      <c r="E41" s="9" t="s">
        <v>21</v>
      </c>
      <c r="F41" s="10" t="s">
        <v>22</v>
      </c>
      <c r="G41" s="6"/>
      <c r="H41" s="13" t="s">
        <v>13</v>
      </c>
      <c r="I41" s="14" t="s">
        <v>23</v>
      </c>
      <c r="J41" s="11"/>
      <c r="K41" s="13" t="s">
        <v>21</v>
      </c>
      <c r="L41" s="14" t="s">
        <v>22</v>
      </c>
      <c r="M41" s="6"/>
      <c r="N41" s="17" t="s">
        <v>13</v>
      </c>
      <c r="O41" s="18" t="s">
        <v>23</v>
      </c>
      <c r="P41" s="15"/>
      <c r="Q41" s="17" t="s">
        <v>21</v>
      </c>
      <c r="R41" s="18" t="s">
        <v>56</v>
      </c>
      <c r="S41" s="6"/>
    </row>
    <row r="42" spans="1:19" ht="11.25" customHeight="1" x14ac:dyDescent="0.25">
      <c r="A42" s="6"/>
      <c r="B42" s="9" t="s">
        <v>17</v>
      </c>
      <c r="C42" s="10" t="s">
        <v>26</v>
      </c>
      <c r="D42" s="7"/>
      <c r="E42" s="9" t="s">
        <v>24</v>
      </c>
      <c r="F42" s="10" t="s">
        <v>25</v>
      </c>
      <c r="G42" s="6"/>
      <c r="H42" s="13" t="s">
        <v>17</v>
      </c>
      <c r="I42" s="14" t="s">
        <v>26</v>
      </c>
      <c r="J42" s="11"/>
      <c r="K42" s="13" t="s">
        <v>24</v>
      </c>
      <c r="L42" s="14" t="s">
        <v>50</v>
      </c>
      <c r="M42" s="6"/>
      <c r="N42" s="17" t="s">
        <v>17</v>
      </c>
      <c r="O42" s="18" t="s">
        <v>26</v>
      </c>
      <c r="P42" s="15"/>
      <c r="Q42" s="17" t="s">
        <v>24</v>
      </c>
      <c r="R42" s="18" t="s">
        <v>57</v>
      </c>
      <c r="S42" s="6"/>
    </row>
    <row r="43" spans="1:19" ht="11.25" customHeight="1" x14ac:dyDescent="0.25">
      <c r="A43" s="6"/>
      <c r="B43" s="9" t="s">
        <v>29</v>
      </c>
      <c r="C43" s="10" t="s">
        <v>30</v>
      </c>
      <c r="D43" s="7"/>
      <c r="E43" s="9" t="s">
        <v>27</v>
      </c>
      <c r="F43" s="10" t="s">
        <v>28</v>
      </c>
      <c r="G43" s="6"/>
      <c r="H43" s="13" t="s">
        <v>29</v>
      </c>
      <c r="I43" s="14" t="s">
        <v>30</v>
      </c>
      <c r="J43" s="11"/>
      <c r="K43" s="13" t="s">
        <v>27</v>
      </c>
      <c r="L43" s="14" t="s">
        <v>51</v>
      </c>
      <c r="M43" s="6"/>
      <c r="N43" s="17" t="s">
        <v>29</v>
      </c>
      <c r="O43" s="18" t="s">
        <v>30</v>
      </c>
      <c r="P43" s="15"/>
      <c r="Q43" s="17" t="s">
        <v>27</v>
      </c>
      <c r="R43" s="18" t="s">
        <v>58</v>
      </c>
      <c r="S43" s="6"/>
    </row>
    <row r="44" spans="1:19" ht="11.25" customHeight="1" x14ac:dyDescent="0.25">
      <c r="A44" s="6"/>
      <c r="B44" s="7"/>
      <c r="C44" s="7"/>
      <c r="D44" s="7"/>
      <c r="E44" s="7"/>
      <c r="F44" s="7"/>
      <c r="G44" s="6"/>
      <c r="H44" s="11"/>
      <c r="I44" s="11"/>
      <c r="J44" s="11"/>
      <c r="K44" s="11"/>
      <c r="L44" s="11"/>
      <c r="M44" s="6"/>
      <c r="N44" s="15"/>
      <c r="O44" s="15"/>
      <c r="P44" s="15"/>
      <c r="Q44" s="15"/>
      <c r="R44" s="15"/>
      <c r="S44" s="6"/>
    </row>
    <row r="45" spans="1:19" ht="11.25" customHeight="1" x14ac:dyDescent="0.25">
      <c r="A45" s="6"/>
      <c r="B45" s="8" t="s">
        <v>32</v>
      </c>
      <c r="C45" s="7"/>
      <c r="D45" s="7"/>
      <c r="E45" s="8" t="s">
        <v>31</v>
      </c>
      <c r="F45" s="7"/>
      <c r="G45" s="6"/>
      <c r="H45" s="12" t="s">
        <v>32</v>
      </c>
      <c r="I45" s="11"/>
      <c r="J45" s="11"/>
      <c r="K45" s="12" t="s">
        <v>31</v>
      </c>
      <c r="L45" s="11"/>
      <c r="M45" s="6"/>
      <c r="N45" s="16" t="s">
        <v>32</v>
      </c>
      <c r="O45" s="15"/>
      <c r="P45" s="15"/>
      <c r="Q45" s="16" t="s">
        <v>31</v>
      </c>
      <c r="R45" s="15"/>
      <c r="S45" s="6"/>
    </row>
    <row r="46" spans="1:19" ht="11.25" customHeight="1" x14ac:dyDescent="0.25">
      <c r="A46" s="6"/>
      <c r="B46" s="9" t="s">
        <v>34</v>
      </c>
      <c r="C46" s="10" t="s">
        <v>35</v>
      </c>
      <c r="D46" s="7"/>
      <c r="E46" s="9" t="s">
        <v>13</v>
      </c>
      <c r="F46" s="10" t="s">
        <v>33</v>
      </c>
      <c r="G46" s="6"/>
      <c r="H46" s="13" t="s">
        <v>34</v>
      </c>
      <c r="I46" s="14" t="s">
        <v>35</v>
      </c>
      <c r="J46" s="11"/>
      <c r="K46" s="13" t="s">
        <v>13</v>
      </c>
      <c r="L46" s="14" t="s">
        <v>33</v>
      </c>
      <c r="M46" s="6"/>
      <c r="N46" s="17" t="s">
        <v>34</v>
      </c>
      <c r="O46" s="18" t="s">
        <v>59</v>
      </c>
      <c r="P46" s="15"/>
      <c r="Q46" s="17" t="s">
        <v>13</v>
      </c>
      <c r="R46" s="18" t="s">
        <v>33</v>
      </c>
      <c r="S46" s="6"/>
    </row>
    <row r="47" spans="1:19" ht="11.25" customHeight="1" x14ac:dyDescent="0.25">
      <c r="A47" s="6"/>
      <c r="B47" s="9" t="s">
        <v>37</v>
      </c>
      <c r="C47" s="10" t="s">
        <v>38</v>
      </c>
      <c r="D47" s="7"/>
      <c r="E47" s="9" t="s">
        <v>17</v>
      </c>
      <c r="F47" s="10" t="s">
        <v>36</v>
      </c>
      <c r="G47" s="6"/>
      <c r="H47" s="13" t="s">
        <v>37</v>
      </c>
      <c r="I47" s="14" t="s">
        <v>38</v>
      </c>
      <c r="J47" s="11"/>
      <c r="K47" s="13" t="s">
        <v>17</v>
      </c>
      <c r="L47" s="14" t="s">
        <v>36</v>
      </c>
      <c r="M47" s="6"/>
      <c r="N47" s="17" t="s">
        <v>37</v>
      </c>
      <c r="O47" s="18" t="s">
        <v>38</v>
      </c>
      <c r="P47" s="15"/>
      <c r="Q47" s="17" t="s">
        <v>17</v>
      </c>
      <c r="R47" s="18" t="s">
        <v>36</v>
      </c>
      <c r="S47" s="6"/>
    </row>
    <row r="48" spans="1:19" ht="11.25" customHeight="1" x14ac:dyDescent="0.25">
      <c r="A48" s="6"/>
      <c r="B48" s="9" t="s">
        <v>40</v>
      </c>
      <c r="C48" s="10" t="s">
        <v>41</v>
      </c>
      <c r="D48" s="7"/>
      <c r="E48" s="9" t="s">
        <v>24</v>
      </c>
      <c r="F48" s="10" t="s">
        <v>39</v>
      </c>
      <c r="G48" s="6"/>
      <c r="H48" s="13" t="s">
        <v>40</v>
      </c>
      <c r="I48" s="14" t="s">
        <v>41</v>
      </c>
      <c r="J48" s="11"/>
      <c r="K48" s="13" t="s">
        <v>24</v>
      </c>
      <c r="L48" s="14" t="s">
        <v>39</v>
      </c>
      <c r="M48" s="6"/>
      <c r="N48" s="17" t="s">
        <v>40</v>
      </c>
      <c r="O48" s="18" t="s">
        <v>41</v>
      </c>
      <c r="P48" s="15"/>
      <c r="Q48" s="17" t="s">
        <v>24</v>
      </c>
      <c r="R48" s="18" t="s">
        <v>39</v>
      </c>
      <c r="S48" s="6"/>
    </row>
    <row r="49" spans="1:19" ht="11.25" customHeight="1" x14ac:dyDescent="0.25">
      <c r="A49" s="6"/>
      <c r="B49" s="9" t="s">
        <v>17</v>
      </c>
      <c r="C49" s="10" t="s">
        <v>36</v>
      </c>
      <c r="D49" s="7"/>
      <c r="E49" s="9" t="s">
        <v>27</v>
      </c>
      <c r="F49" s="10" t="s">
        <v>42</v>
      </c>
      <c r="G49" s="6"/>
      <c r="H49" s="13" t="s">
        <v>17</v>
      </c>
      <c r="I49" s="14" t="s">
        <v>36</v>
      </c>
      <c r="J49" s="11"/>
      <c r="K49" s="13" t="s">
        <v>27</v>
      </c>
      <c r="L49" s="14" t="s">
        <v>42</v>
      </c>
      <c r="M49" s="6"/>
      <c r="N49" s="17" t="s">
        <v>17</v>
      </c>
      <c r="O49" s="18" t="s">
        <v>36</v>
      </c>
      <c r="P49" s="15"/>
      <c r="Q49" s="17" t="s">
        <v>27</v>
      </c>
      <c r="R49" s="18" t="s">
        <v>42</v>
      </c>
      <c r="S49" s="6"/>
    </row>
    <row r="50" spans="1:19" ht="11.25" customHeight="1" x14ac:dyDescent="0.25">
      <c r="A50" s="6"/>
      <c r="B50" s="9" t="s">
        <v>45</v>
      </c>
      <c r="C50" s="10" t="s">
        <v>46</v>
      </c>
      <c r="D50" s="7"/>
      <c r="E50" s="9" t="s">
        <v>43</v>
      </c>
      <c r="F50" s="10" t="s">
        <v>44</v>
      </c>
      <c r="G50" s="6"/>
      <c r="H50" s="13" t="s">
        <v>45</v>
      </c>
      <c r="I50" s="14" t="s">
        <v>46</v>
      </c>
      <c r="J50" s="11"/>
      <c r="K50" s="13" t="s">
        <v>43</v>
      </c>
      <c r="L50" s="14" t="s">
        <v>44</v>
      </c>
      <c r="M50" s="6"/>
      <c r="N50" s="17" t="s">
        <v>45</v>
      </c>
      <c r="O50" s="18" t="s">
        <v>46</v>
      </c>
      <c r="P50" s="15"/>
      <c r="Q50" s="17" t="s">
        <v>43</v>
      </c>
      <c r="R50" s="18" t="s">
        <v>44</v>
      </c>
      <c r="S50" s="6"/>
    </row>
    <row r="51" spans="1:19" ht="11.25" customHeight="1" x14ac:dyDescent="0.25">
      <c r="A51" s="6"/>
      <c r="D51" s="7"/>
      <c r="E51" s="7"/>
      <c r="F51" s="7"/>
      <c r="G51" s="6"/>
      <c r="J51" s="11"/>
      <c r="K51" s="11"/>
      <c r="L51" s="11"/>
      <c r="M51" s="6"/>
      <c r="P51" s="15"/>
      <c r="Q51" s="15"/>
      <c r="R51" s="15"/>
      <c r="S51" s="6"/>
    </row>
    <row r="52" spans="1:19" ht="11.25" customHeight="1" x14ac:dyDescent="0.25">
      <c r="A52" s="6"/>
      <c r="B52" s="5"/>
      <c r="C52" s="5"/>
      <c r="D52" s="5"/>
      <c r="E52" s="5"/>
      <c r="F52" s="5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</row>
    <row r="53" spans="1:19" ht="11.25" customHeight="1" x14ac:dyDescent="0.25">
      <c r="A53" s="6"/>
      <c r="B53" s="2"/>
      <c r="C53" s="2"/>
      <c r="D53" s="2"/>
      <c r="E53" s="2"/>
      <c r="F53" s="2"/>
      <c r="G53" s="6"/>
      <c r="M53" s="6"/>
      <c r="S53" s="6"/>
    </row>
    <row r="54" spans="1:19" ht="11.25" customHeight="1" x14ac:dyDescent="0.25">
      <c r="A54" s="6"/>
      <c r="B54" s="1" t="str">
        <f>"MASS BALANCE CALCULATION: MONTE CARLO METHOD"</f>
        <v>MASS BALANCE CALCULATION: MONTE CARLO METHOD</v>
      </c>
      <c r="C54" s="2"/>
      <c r="D54" s="2"/>
      <c r="E54" s="2"/>
      <c r="F54" s="2"/>
      <c r="G54" s="6"/>
      <c r="H54" s="1" t="str">
        <f>"MASS BALANCE CALCULATION: MONTE CARLO METHOD"</f>
        <v>MASS BALANCE CALCULATION: MONTE CARLO METHOD</v>
      </c>
      <c r="I54" s="2"/>
      <c r="J54" s="2"/>
      <c r="K54" s="2"/>
      <c r="L54" s="2"/>
      <c r="M54" s="6"/>
      <c r="N54" s="1" t="str">
        <f>"MASS BALANCE CALCULATION: MONTE CARLO METHOD"</f>
        <v>MASS BALANCE CALCULATION: MONTE CARLO METHOD</v>
      </c>
      <c r="O54" s="2"/>
      <c r="P54" s="2"/>
      <c r="Q54" s="2"/>
      <c r="R54" s="2"/>
      <c r="S54" s="6"/>
    </row>
    <row r="55" spans="1:19" ht="11.25" customHeight="1" x14ac:dyDescent="0.25">
      <c r="A55" s="6"/>
      <c r="B55" s="3" t="str">
        <f>"Version 2.5"</f>
        <v>Version 2.5</v>
      </c>
      <c r="C55" s="2"/>
      <c r="D55" s="2"/>
      <c r="E55" s="2"/>
      <c r="F55" s="2"/>
      <c r="G55" s="6"/>
      <c r="H55" s="3" t="str">
        <f>"Version 2.5"</f>
        <v>Version 2.5</v>
      </c>
      <c r="I55" s="2"/>
      <c r="J55" s="2"/>
      <c r="K55" s="2"/>
      <c r="L55" s="2"/>
      <c r="M55" s="6"/>
      <c r="N55" s="3" t="str">
        <f>"Version 2.5"</f>
        <v>Version 2.5</v>
      </c>
      <c r="O55" s="2"/>
      <c r="P55" s="2"/>
      <c r="Q55" s="2"/>
      <c r="R55" s="2"/>
      <c r="S55" s="6"/>
    </row>
    <row r="56" spans="1:19" ht="11.25" customHeight="1" x14ac:dyDescent="0.25">
      <c r="A56" s="6"/>
      <c r="B56" s="3" t="str">
        <f>"Calculations done on 28/11/2024 at 11.02"</f>
        <v>Calculations done on 28/11/2024 at 11.02</v>
      </c>
      <c r="C56" s="2"/>
      <c r="D56" s="2"/>
      <c r="E56" s="2"/>
      <c r="F56" s="2"/>
      <c r="G56" s="6"/>
      <c r="H56" s="3" t="str">
        <f>"Calculations done on 28/11/2024 at 11.44"</f>
        <v>Calculations done on 28/11/2024 at 11.44</v>
      </c>
      <c r="I56" s="2"/>
      <c r="J56" s="2"/>
      <c r="K56" s="2"/>
      <c r="L56" s="2"/>
      <c r="M56" s="6"/>
      <c r="N56" s="3" t="str">
        <f>"Calculations done on 28/11/2024 at 11.58"</f>
        <v>Calculations done on 28/11/2024 at 11.58</v>
      </c>
      <c r="O56" s="2"/>
      <c r="P56" s="2"/>
      <c r="Q56" s="2"/>
      <c r="R56" s="2"/>
      <c r="S56" s="6"/>
    </row>
    <row r="57" spans="1:19" ht="11.25" customHeight="1" x14ac:dyDescent="0.25">
      <c r="A57" s="6"/>
      <c r="B57" s="2"/>
      <c r="C57" s="2"/>
      <c r="D57" s="2"/>
      <c r="E57" s="2"/>
      <c r="F57" s="2"/>
      <c r="G57" s="6"/>
      <c r="H57" s="2"/>
      <c r="I57" s="2"/>
      <c r="J57" s="2"/>
      <c r="K57" s="2"/>
      <c r="L57" s="2"/>
      <c r="M57" s="6"/>
      <c r="N57" s="2"/>
      <c r="O57" s="2"/>
      <c r="P57" s="2"/>
      <c r="Q57" s="2"/>
      <c r="R57" s="2"/>
      <c r="S57" s="6"/>
    </row>
    <row r="58" spans="1:19" ht="11.25" customHeight="1" x14ac:dyDescent="0.25">
      <c r="A58" s="6"/>
      <c r="B58" s="3" t="str">
        <f>"Name of discharge"</f>
        <v>Name of discharge</v>
      </c>
      <c r="C58" s="3" t="str">
        <f>"Muntons Trade Effluent - Current Discharge"</f>
        <v>Muntons Trade Effluent - Current Discharge</v>
      </c>
      <c r="D58" s="2"/>
      <c r="E58" s="2"/>
      <c r="F58" s="2"/>
      <c r="G58" s="6"/>
      <c r="H58" s="3" t="str">
        <f>"Name of discharge"</f>
        <v>Name of discharge</v>
      </c>
      <c r="I58" s="3" t="str">
        <f>"Muntons Trade Effluent - Current Maximum Discharge (1500m3/24hr)"</f>
        <v>Muntons Trade Effluent - Current Maximum Discharge (1500m3/24hr)</v>
      </c>
      <c r="J58" s="2"/>
      <c r="K58" s="2"/>
      <c r="L58" s="2"/>
      <c r="M58" s="6"/>
      <c r="N58" s="3" t="str">
        <f>"Name of discharge"</f>
        <v>Name of discharge</v>
      </c>
      <c r="O58" s="3" t="str">
        <f>"Muntons Trade Effluent - Maximum Proposed Discharge (2500m3/24hr)"</f>
        <v>Muntons Trade Effluent - Maximum Proposed Discharge (2500m3/24hr)</v>
      </c>
      <c r="P58" s="2"/>
      <c r="Q58" s="2"/>
      <c r="R58" s="2"/>
      <c r="S58" s="6"/>
    </row>
    <row r="59" spans="1:19" ht="11.25" customHeight="1" x14ac:dyDescent="0.25">
      <c r="A59" s="6"/>
      <c r="B59" s="3" t="str">
        <f>"Name of river"</f>
        <v>Name of river</v>
      </c>
      <c r="C59" s="3" t="str">
        <f>"River Gipping"</f>
        <v>River Gipping</v>
      </c>
      <c r="D59" s="2"/>
      <c r="E59" s="2"/>
      <c r="F59" s="2"/>
      <c r="G59" s="6"/>
      <c r="H59" s="3" t="str">
        <f>"Name of river"</f>
        <v>Name of river</v>
      </c>
      <c r="I59" s="3" t="str">
        <f>"River Gipping"</f>
        <v>River Gipping</v>
      </c>
      <c r="J59" s="2"/>
      <c r="K59" s="2"/>
      <c r="L59" s="2"/>
      <c r="M59" s="6"/>
      <c r="N59" s="3" t="str">
        <f>"Name of river"</f>
        <v>Name of river</v>
      </c>
      <c r="O59" s="3" t="str">
        <f>"River Gipping"</f>
        <v>River Gipping</v>
      </c>
      <c r="P59" s="2"/>
      <c r="Q59" s="2"/>
      <c r="R59" s="2"/>
      <c r="S59" s="6"/>
    </row>
    <row r="60" spans="1:19" ht="11.25" customHeight="1" x14ac:dyDescent="0.25">
      <c r="A60" s="6"/>
      <c r="B60" s="3" t="str">
        <f>"Name of determinand"</f>
        <v>Name of determinand</v>
      </c>
      <c r="C60" s="1" t="str">
        <f>"pH"</f>
        <v>pH</v>
      </c>
      <c r="D60" s="2"/>
      <c r="E60" s="2"/>
      <c r="F60" s="2"/>
      <c r="G60" s="6"/>
      <c r="H60" s="3" t="str">
        <f>"Name of determinand"</f>
        <v>Name of determinand</v>
      </c>
      <c r="I60" s="1" t="str">
        <f>"pH"</f>
        <v>pH</v>
      </c>
      <c r="J60" s="2"/>
      <c r="K60" s="2"/>
      <c r="L60" s="2"/>
      <c r="M60" s="6"/>
      <c r="N60" s="3" t="str">
        <f>"Name of determinand"</f>
        <v>Name of determinand</v>
      </c>
      <c r="O60" s="1" t="str">
        <f>"pH"</f>
        <v>pH</v>
      </c>
      <c r="P60" s="2"/>
      <c r="Q60" s="2"/>
      <c r="R60" s="2"/>
      <c r="S60" s="6"/>
    </row>
    <row r="61" spans="1:19" ht="11.25" customHeight="1" x14ac:dyDescent="0.25">
      <c r="A61" s="6"/>
      <c r="B61" s="2"/>
      <c r="C61" s="2"/>
      <c r="D61" s="2"/>
      <c r="E61" s="2"/>
      <c r="F61" s="2"/>
      <c r="G61" s="6"/>
      <c r="H61" s="2"/>
      <c r="I61" s="2"/>
      <c r="J61" s="2"/>
      <c r="K61" s="2"/>
      <c r="L61" s="2"/>
      <c r="M61" s="6"/>
      <c r="N61" s="2"/>
      <c r="O61" s="2"/>
      <c r="P61" s="2"/>
      <c r="Q61" s="2"/>
      <c r="R61" s="2"/>
      <c r="S61" s="6"/>
    </row>
    <row r="62" spans="1:19" ht="11.25" customHeight="1" x14ac:dyDescent="0.25">
      <c r="A62" s="6"/>
      <c r="B62" s="1" t="str">
        <f>"INPUT DATA"</f>
        <v>INPUT DATA</v>
      </c>
      <c r="C62" s="2"/>
      <c r="D62" s="2"/>
      <c r="E62" s="1" t="str">
        <f>"RESULTS"</f>
        <v>RESULTS</v>
      </c>
      <c r="F62" s="2"/>
      <c r="G62" s="6"/>
      <c r="H62" s="1" t="str">
        <f>"INPUT DATA"</f>
        <v>INPUT DATA</v>
      </c>
      <c r="I62" s="2"/>
      <c r="J62" s="2"/>
      <c r="K62" s="1" t="str">
        <f>"RESULTS"</f>
        <v>RESULTS</v>
      </c>
      <c r="L62" s="2"/>
      <c r="M62" s="6"/>
      <c r="N62" s="1" t="str">
        <f>"INPUT DATA"</f>
        <v>INPUT DATA</v>
      </c>
      <c r="O62" s="2"/>
      <c r="P62" s="2"/>
      <c r="Q62" s="1" t="str">
        <f>"RESULTS"</f>
        <v>RESULTS</v>
      </c>
      <c r="R62" s="2"/>
      <c r="S62" s="6"/>
    </row>
    <row r="63" spans="1:19" ht="11.25" customHeight="1" x14ac:dyDescent="0.25">
      <c r="A63" s="6"/>
      <c r="B63" s="2"/>
      <c r="C63" s="2"/>
      <c r="D63" s="2"/>
      <c r="E63" s="2"/>
      <c r="F63" s="2"/>
      <c r="G63" s="6"/>
      <c r="H63" s="2"/>
      <c r="I63" s="2"/>
      <c r="J63" s="2"/>
      <c r="K63" s="2"/>
      <c r="L63" s="2"/>
      <c r="M63" s="6"/>
      <c r="N63" s="2"/>
      <c r="O63" s="2"/>
      <c r="P63" s="2"/>
      <c r="Q63" s="2"/>
      <c r="R63" s="2"/>
      <c r="S63" s="6"/>
    </row>
    <row r="64" spans="1:19" ht="11.25" customHeight="1" x14ac:dyDescent="0.25">
      <c r="A64" s="6"/>
      <c r="B64" s="1" t="str">
        <f>"UPSTREAM RIVER DATA"</f>
        <v>UPSTREAM RIVER DATA</v>
      </c>
      <c r="C64" s="2"/>
      <c r="D64" s="2"/>
      <c r="E64" s="1" t="str">
        <f>"RIVER DOWNSTREAM OF DISCHARGE"</f>
        <v>RIVER DOWNSTREAM OF DISCHARGE</v>
      </c>
      <c r="F64" s="2"/>
      <c r="G64" s="6"/>
      <c r="H64" s="1" t="str">
        <f>"UPSTREAM RIVER DATA"</f>
        <v>UPSTREAM RIVER DATA</v>
      </c>
      <c r="I64" s="2"/>
      <c r="J64" s="2"/>
      <c r="K64" s="1" t="str">
        <f>"RIVER DOWNSTREAM OF DISCHARGE"</f>
        <v>RIVER DOWNSTREAM OF DISCHARGE</v>
      </c>
      <c r="L64" s="2"/>
      <c r="M64" s="6"/>
      <c r="N64" s="1" t="str">
        <f>"UPSTREAM RIVER DATA"</f>
        <v>UPSTREAM RIVER DATA</v>
      </c>
      <c r="O64" s="2"/>
      <c r="P64" s="2"/>
      <c r="Q64" s="1" t="str">
        <f>"RIVER DOWNSTREAM OF DISCHARGE"</f>
        <v>RIVER DOWNSTREAM OF DISCHARGE</v>
      </c>
      <c r="R64" s="2"/>
      <c r="S64" s="6"/>
    </row>
    <row r="65" spans="1:19" ht="11.25" customHeight="1" x14ac:dyDescent="0.25">
      <c r="A65" s="6"/>
      <c r="B65" s="3" t="str">
        <f>"Mean flow"</f>
        <v>Mean flow</v>
      </c>
      <c r="C65" s="4" t="str">
        <f>" 0.63 "</f>
        <v xml:space="preserve"> 0.63 </v>
      </c>
      <c r="D65" s="2"/>
      <c r="E65" s="3" t="str">
        <f>"Mean quality"</f>
        <v>Mean quality</v>
      </c>
      <c r="F65" s="4" t="str">
        <f>" 7.79 "</f>
        <v xml:space="preserve"> 7.79 </v>
      </c>
      <c r="G65" s="6"/>
      <c r="H65" s="3" t="str">
        <f>"Mean flow"</f>
        <v>Mean flow</v>
      </c>
      <c r="I65" s="4" t="str">
        <f>" 0.63 "</f>
        <v xml:space="preserve"> 0.63 </v>
      </c>
      <c r="J65" s="2"/>
      <c r="K65" s="3" t="str">
        <f>"Mean quality"</f>
        <v>Mean quality</v>
      </c>
      <c r="L65" s="4" t="str">
        <f>" 7.79 "</f>
        <v xml:space="preserve"> 7.79 </v>
      </c>
      <c r="M65" s="6"/>
      <c r="N65" s="3" t="str">
        <f>"Mean flow"</f>
        <v>Mean flow</v>
      </c>
      <c r="O65" s="4" t="str">
        <f>" 0.63 "</f>
        <v xml:space="preserve"> 0.63 </v>
      </c>
      <c r="P65" s="2"/>
      <c r="Q65" s="3" t="str">
        <f>"Mean quality"</f>
        <v>Mean quality</v>
      </c>
      <c r="R65" s="4" t="str">
        <f>" 7.79 "</f>
        <v xml:space="preserve"> 7.79 </v>
      </c>
      <c r="S65" s="6"/>
    </row>
    <row r="66" spans="1:19" ht="11.25" customHeight="1" x14ac:dyDescent="0.25">
      <c r="A66" s="6"/>
      <c r="B66" s="3" t="str">
        <f>"95% exceedence flow"</f>
        <v>95% exceedence flow</v>
      </c>
      <c r="C66" s="4" t="str">
        <f>" 0.09 "</f>
        <v xml:space="preserve"> 0.09 </v>
      </c>
      <c r="D66" s="2"/>
      <c r="E66" s="3" t="str">
        <f>"Standard deviation of quality"</f>
        <v>Standard deviation of quality</v>
      </c>
      <c r="F66" s="4" t="str">
        <f>" 0.16 "</f>
        <v xml:space="preserve"> 0.16 </v>
      </c>
      <c r="G66" s="6"/>
      <c r="H66" s="3" t="str">
        <f>"95% exceedence flow"</f>
        <v>95% exceedence flow</v>
      </c>
      <c r="I66" s="4" t="str">
        <f>" 0.09 "</f>
        <v xml:space="preserve"> 0.09 </v>
      </c>
      <c r="J66" s="2"/>
      <c r="K66" s="3" t="str">
        <f>"Standard deviation of quality"</f>
        <v>Standard deviation of quality</v>
      </c>
      <c r="L66" s="4" t="str">
        <f>" 0.16 "</f>
        <v xml:space="preserve"> 0.16 </v>
      </c>
      <c r="M66" s="6"/>
      <c r="N66" s="3" t="str">
        <f>"95% exceedence flow"</f>
        <v>95% exceedence flow</v>
      </c>
      <c r="O66" s="4" t="str">
        <f>" 0.09 "</f>
        <v xml:space="preserve"> 0.09 </v>
      </c>
      <c r="P66" s="2"/>
      <c r="Q66" s="3" t="str">
        <f>"Standard deviation of quality"</f>
        <v>Standard deviation of quality</v>
      </c>
      <c r="R66" s="4" t="str">
        <f>" 0.15 "</f>
        <v xml:space="preserve"> 0.15 </v>
      </c>
      <c r="S66" s="6"/>
    </row>
    <row r="67" spans="1:19" ht="11.25" customHeight="1" x14ac:dyDescent="0.25">
      <c r="A67" s="6"/>
      <c r="B67" s="3" t="str">
        <f>"Mean quality"</f>
        <v>Mean quality</v>
      </c>
      <c r="C67" s="4" t="str">
        <f>" 7.79 "</f>
        <v xml:space="preserve"> 7.79 </v>
      </c>
      <c r="D67" s="2"/>
      <c r="E67" s="3" t="str">
        <f>"90-percentile quality"</f>
        <v>90-percentile quality</v>
      </c>
      <c r="F67" s="4" t="str">
        <f>" 7.99 "</f>
        <v xml:space="preserve"> 7.99 </v>
      </c>
      <c r="G67" s="6"/>
      <c r="H67" s="3" t="str">
        <f>"Mean quality"</f>
        <v>Mean quality</v>
      </c>
      <c r="I67" s="4" t="str">
        <f>" 7.79 "</f>
        <v xml:space="preserve"> 7.79 </v>
      </c>
      <c r="J67" s="2"/>
      <c r="K67" s="3" t="str">
        <f>"90-percentile quality"</f>
        <v>90-percentile quality</v>
      </c>
      <c r="L67" s="4" t="str">
        <f>" 7.99 "</f>
        <v xml:space="preserve"> 7.99 </v>
      </c>
      <c r="M67" s="6"/>
      <c r="N67" s="3" t="str">
        <f>"Mean quality"</f>
        <v>Mean quality</v>
      </c>
      <c r="O67" s="4" t="str">
        <f>" 7.79 "</f>
        <v xml:space="preserve"> 7.79 </v>
      </c>
      <c r="P67" s="2"/>
      <c r="Q67" s="3" t="str">
        <f>"90-percentile quality"</f>
        <v>90-percentile quality</v>
      </c>
      <c r="R67" s="4" t="str">
        <f>" 7.98 "</f>
        <v xml:space="preserve"> 7.98 </v>
      </c>
      <c r="S67" s="6"/>
    </row>
    <row r="68" spans="1:19" ht="11.25" customHeight="1" x14ac:dyDescent="0.25">
      <c r="A68" s="6"/>
      <c r="B68" s="3" t="str">
        <f>"Standard deviation of quality"</f>
        <v>Standard deviation of quality</v>
      </c>
      <c r="C68" s="4" t="str">
        <f>" 0.17 "</f>
        <v xml:space="preserve"> 0.17 </v>
      </c>
      <c r="D68" s="2"/>
      <c r="E68" s="3" t="str">
        <f>"95-percentile quality"</f>
        <v>95-percentile quality</v>
      </c>
      <c r="F68" s="4" t="str">
        <f>" 8.06 "</f>
        <v xml:space="preserve"> 8.06 </v>
      </c>
      <c r="G68" s="6"/>
      <c r="H68" s="3" t="str">
        <f>"Standard deviation of quality"</f>
        <v>Standard deviation of quality</v>
      </c>
      <c r="I68" s="4" t="str">
        <f>" 0.17 "</f>
        <v xml:space="preserve"> 0.17 </v>
      </c>
      <c r="J68" s="2"/>
      <c r="K68" s="3" t="str">
        <f>"95-percentile quality"</f>
        <v>95-percentile quality</v>
      </c>
      <c r="L68" s="4" t="str">
        <f>" 8.05 "</f>
        <v xml:space="preserve"> 8.05 </v>
      </c>
      <c r="M68" s="6"/>
      <c r="N68" s="3" t="str">
        <f>"Standard deviation of quality"</f>
        <v>Standard deviation of quality</v>
      </c>
      <c r="O68" s="4" t="str">
        <f>" 0.17 "</f>
        <v xml:space="preserve"> 0.17 </v>
      </c>
      <c r="P68" s="2"/>
      <c r="Q68" s="3" t="str">
        <f>"95-percentile quality"</f>
        <v>95-percentile quality</v>
      </c>
      <c r="R68" s="4" t="str">
        <f>" 8.04 "</f>
        <v xml:space="preserve"> 8.04 </v>
      </c>
      <c r="S68" s="6"/>
    </row>
    <row r="69" spans="1:19" ht="11.25" customHeight="1" x14ac:dyDescent="0.25">
      <c r="A69" s="6"/>
      <c r="B69" s="3" t="str">
        <f>"             90-percentile"</f>
        <v xml:space="preserve">             90-percentile</v>
      </c>
      <c r="C69" s="4" t="str">
        <f>" 8.01 "</f>
        <v xml:space="preserve"> 8.01 </v>
      </c>
      <c r="D69" s="2"/>
      <c r="E69" s="3" t="str">
        <f>"99-percentile quality"</f>
        <v>99-percentile quality</v>
      </c>
      <c r="F69" s="4" t="str">
        <f>" 8.15 "</f>
        <v xml:space="preserve"> 8.15 </v>
      </c>
      <c r="G69" s="6"/>
      <c r="H69" s="3" t="str">
        <f>"             90-percentile"</f>
        <v xml:space="preserve">             90-percentile</v>
      </c>
      <c r="I69" s="4" t="str">
        <f>" 8.01 "</f>
        <v xml:space="preserve"> 8.01 </v>
      </c>
      <c r="J69" s="2"/>
      <c r="K69" s="3" t="str">
        <f>"99-percentile quality"</f>
        <v>99-percentile quality</v>
      </c>
      <c r="L69" s="4" t="str">
        <f>" 8.15 "</f>
        <v xml:space="preserve"> 8.15 </v>
      </c>
      <c r="M69" s="6"/>
      <c r="N69" s="3" t="str">
        <f>"             90-percentile"</f>
        <v xml:space="preserve">             90-percentile</v>
      </c>
      <c r="O69" s="4" t="str">
        <f>" 8.01 "</f>
        <v xml:space="preserve"> 8.01 </v>
      </c>
      <c r="P69" s="2"/>
      <c r="Q69" s="3" t="str">
        <f>"99-percentile quality"</f>
        <v>99-percentile quality</v>
      </c>
      <c r="R69" s="4" t="str">
        <f>" 8.15 "</f>
        <v xml:space="preserve"> 8.15 </v>
      </c>
      <c r="S69" s="6"/>
    </row>
    <row r="70" spans="1:19" ht="11.25" customHeight="1" x14ac:dyDescent="0.25">
      <c r="A70" s="6"/>
      <c r="B70" s="2"/>
      <c r="C70" s="2"/>
      <c r="D70" s="2"/>
      <c r="E70" s="2"/>
      <c r="F70" s="2"/>
      <c r="G70" s="6"/>
      <c r="H70" s="2"/>
      <c r="I70" s="2"/>
      <c r="J70" s="2"/>
      <c r="K70" s="2"/>
      <c r="L70" s="2"/>
      <c r="M70" s="6"/>
      <c r="N70" s="2"/>
      <c r="O70" s="2"/>
      <c r="P70" s="2"/>
      <c r="Q70" s="2"/>
      <c r="R70" s="2"/>
      <c r="S70" s="6"/>
    </row>
    <row r="71" spans="1:19" ht="11.25" customHeight="1" x14ac:dyDescent="0.25">
      <c r="A71" s="6"/>
      <c r="B71" s="1" t="str">
        <f>"DISCHARGE DATA"</f>
        <v>DISCHARGE DATA</v>
      </c>
      <c r="C71" s="2"/>
      <c r="D71" s="2"/>
      <c r="E71" s="1" t="str">
        <f>"DISCHARGE QUALITY"</f>
        <v>DISCHARGE QUALITY</v>
      </c>
      <c r="F71" s="2"/>
      <c r="G71" s="6"/>
      <c r="H71" s="1" t="str">
        <f>"DISCHARGE DATA"</f>
        <v>DISCHARGE DATA</v>
      </c>
      <c r="I71" s="2"/>
      <c r="J71" s="2"/>
      <c r="K71" s="1" t="str">
        <f>"DISCHARGE QUALITY"</f>
        <v>DISCHARGE QUALITY</v>
      </c>
      <c r="L71" s="2"/>
      <c r="M71" s="6"/>
      <c r="N71" s="1" t="str">
        <f>"DISCHARGE DATA"</f>
        <v>DISCHARGE DATA</v>
      </c>
      <c r="O71" s="2"/>
      <c r="P71" s="2"/>
      <c r="Q71" s="1" t="str">
        <f>"DISCHARGE QUALITY"</f>
        <v>DISCHARGE QUALITY</v>
      </c>
      <c r="R71" s="2"/>
      <c r="S71" s="6"/>
    </row>
    <row r="72" spans="1:19" ht="11.25" customHeight="1" x14ac:dyDescent="0.25">
      <c r="A72" s="6"/>
      <c r="B72" s="3" t="str">
        <f>"Mean flow "</f>
        <v xml:space="preserve">Mean flow </v>
      </c>
      <c r="C72" s="4" t="str">
        <f>" 0.02 "</f>
        <v xml:space="preserve"> 0.02 </v>
      </c>
      <c r="D72" s="2"/>
      <c r="E72" s="3" t="str">
        <f>"Mean quality"</f>
        <v>Mean quality</v>
      </c>
      <c r="F72" s="4" t="str">
        <f>" 7.75 "</f>
        <v xml:space="preserve"> 7.75 </v>
      </c>
      <c r="G72" s="6"/>
      <c r="H72" s="3" t="str">
        <f>"Mean flow "</f>
        <v xml:space="preserve">Mean flow </v>
      </c>
      <c r="I72" s="4" t="str">
        <f>" 0.02 "</f>
        <v xml:space="preserve"> 0.02 </v>
      </c>
      <c r="J72" s="2"/>
      <c r="K72" s="3" t="str">
        <f>"Mean quality"</f>
        <v>Mean quality</v>
      </c>
      <c r="L72" s="4" t="str">
        <f>" 7.75 "</f>
        <v xml:space="preserve"> 7.75 </v>
      </c>
      <c r="M72" s="6"/>
      <c r="N72" s="3" t="str">
        <f>"Mean flow "</f>
        <v xml:space="preserve">Mean flow </v>
      </c>
      <c r="O72" s="4" t="str">
        <f>" 0.03 "</f>
        <v xml:space="preserve"> 0.03 </v>
      </c>
      <c r="P72" s="2"/>
      <c r="Q72" s="3" t="str">
        <f>"Mean quality"</f>
        <v>Mean quality</v>
      </c>
      <c r="R72" s="4" t="str">
        <f>" 7.75 "</f>
        <v xml:space="preserve"> 7.75 </v>
      </c>
      <c r="S72" s="6"/>
    </row>
    <row r="73" spans="1:19" ht="11.25" customHeight="1" x14ac:dyDescent="0.25">
      <c r="A73" s="6"/>
      <c r="B73" s="3" t="str">
        <f>"Standard deviation of flow"</f>
        <v>Standard deviation of flow</v>
      </c>
      <c r="C73" s="4" t="str">
        <f>" 0.00 "</f>
        <v xml:space="preserve"> 0.00 </v>
      </c>
      <c r="D73" s="2"/>
      <c r="E73" s="3" t="str">
        <f>"Standard deviation of quality"</f>
        <v>Standard deviation of quality</v>
      </c>
      <c r="F73" s="4" t="str">
        <f>" 0.18 "</f>
        <v xml:space="preserve"> 0.18 </v>
      </c>
      <c r="G73" s="6"/>
      <c r="H73" s="3" t="str">
        <f>"Standard deviation of flow"</f>
        <v>Standard deviation of flow</v>
      </c>
      <c r="I73" s="4" t="str">
        <f>" 0.00 "</f>
        <v xml:space="preserve"> 0.00 </v>
      </c>
      <c r="J73" s="2"/>
      <c r="K73" s="3" t="str">
        <f>"Standard deviation of quality"</f>
        <v>Standard deviation of quality</v>
      </c>
      <c r="L73" s="4" t="str">
        <f>" 0.18 "</f>
        <v xml:space="preserve"> 0.18 </v>
      </c>
      <c r="M73" s="6"/>
      <c r="N73" s="3" t="str">
        <f>"Standard deviation of flow"</f>
        <v>Standard deviation of flow</v>
      </c>
      <c r="O73" s="4" t="str">
        <f>" 0.00 "</f>
        <v xml:space="preserve"> 0.00 </v>
      </c>
      <c r="P73" s="2"/>
      <c r="Q73" s="3" t="str">
        <f>"Standard deviation of quality"</f>
        <v>Standard deviation of quality</v>
      </c>
      <c r="R73" s="4" t="str">
        <f>" 0.18 "</f>
        <v xml:space="preserve"> 0.18 </v>
      </c>
      <c r="S73" s="6"/>
    </row>
    <row r="74" spans="1:19" ht="11.25" customHeight="1" x14ac:dyDescent="0.25">
      <c r="A74" s="6"/>
      <c r="B74" s="3" t="str">
        <f>"Mean quality "</f>
        <v xml:space="preserve">Mean quality </v>
      </c>
      <c r="C74" s="4" t="str">
        <f>" 7.75 "</f>
        <v xml:space="preserve"> 7.75 </v>
      </c>
      <c r="D74" s="2"/>
      <c r="E74" s="3" t="str">
        <f>"95-percentile quality"</f>
        <v>95-percentile quality</v>
      </c>
      <c r="F74" s="4" t="str">
        <f>" 8.05 "</f>
        <v xml:space="preserve"> 8.05 </v>
      </c>
      <c r="G74" s="6"/>
      <c r="H74" s="3" t="str">
        <f>"Mean quality "</f>
        <v xml:space="preserve">Mean quality </v>
      </c>
      <c r="I74" s="4" t="str">
        <f>" 7.75 "</f>
        <v xml:space="preserve"> 7.75 </v>
      </c>
      <c r="J74" s="2"/>
      <c r="K74" s="3" t="str">
        <f>"95-percentile quality"</f>
        <v>95-percentile quality</v>
      </c>
      <c r="L74" s="4" t="str">
        <f>" 8.05 "</f>
        <v xml:space="preserve"> 8.05 </v>
      </c>
      <c r="M74" s="6"/>
      <c r="N74" s="3" t="str">
        <f>"Mean quality "</f>
        <v xml:space="preserve">Mean quality </v>
      </c>
      <c r="O74" s="4" t="str">
        <f>" 7.75 "</f>
        <v xml:space="preserve"> 7.75 </v>
      </c>
      <c r="P74" s="2"/>
      <c r="Q74" s="3" t="str">
        <f>"95-percentile quality"</f>
        <v>95-percentile quality</v>
      </c>
      <c r="R74" s="4" t="str">
        <f>" 8.05 "</f>
        <v xml:space="preserve"> 8.05 </v>
      </c>
      <c r="S74" s="6"/>
    </row>
    <row r="75" spans="1:19" ht="11.25" customHeight="1" x14ac:dyDescent="0.25">
      <c r="A75" s="6"/>
      <c r="B75" s="3" t="str">
        <f>"Standard deviation of quality"</f>
        <v>Standard deviation of quality</v>
      </c>
      <c r="C75" s="4" t="str">
        <f>" 0.18 "</f>
        <v xml:space="preserve"> 0.18 </v>
      </c>
      <c r="D75" s="2"/>
      <c r="E75" s="3" t="str">
        <f>"99-percentile quality"</f>
        <v>99-percentile quality</v>
      </c>
      <c r="F75" s="4" t="str">
        <f>" 8.16 "</f>
        <v xml:space="preserve"> 8.16 </v>
      </c>
      <c r="G75" s="6"/>
      <c r="H75" s="3" t="str">
        <f>"Standard deviation of quality"</f>
        <v>Standard deviation of quality</v>
      </c>
      <c r="I75" s="4" t="str">
        <f>" 0.18 "</f>
        <v xml:space="preserve"> 0.18 </v>
      </c>
      <c r="J75" s="2"/>
      <c r="K75" s="3" t="str">
        <f>"99-percentile quality"</f>
        <v>99-percentile quality</v>
      </c>
      <c r="L75" s="4" t="str">
        <f>" 8.16 "</f>
        <v xml:space="preserve"> 8.16 </v>
      </c>
      <c r="M75" s="6"/>
      <c r="N75" s="3" t="str">
        <f>"Standard deviation of quality"</f>
        <v>Standard deviation of quality</v>
      </c>
      <c r="O75" s="4" t="str">
        <f>" 0.18 "</f>
        <v xml:space="preserve"> 0.18 </v>
      </c>
      <c r="P75" s="2"/>
      <c r="Q75" s="3" t="str">
        <f>"99-percentile quality"</f>
        <v>99-percentile quality</v>
      </c>
      <c r="R75" s="4" t="str">
        <f>" 8.16 "</f>
        <v xml:space="preserve"> 8.16 </v>
      </c>
      <c r="S75" s="6"/>
    </row>
    <row r="76" spans="1:19" ht="11.25" customHeight="1" x14ac:dyDescent="0.25">
      <c r="A76" s="6"/>
      <c r="B76" s="3" t="str">
        <f>"   ... or 95-percentile"</f>
        <v xml:space="preserve">   ... or 95-percentile</v>
      </c>
      <c r="C76" s="4" t="str">
        <f>" 8.04 "</f>
        <v xml:space="preserve"> 8.04 </v>
      </c>
      <c r="D76" s="2"/>
      <c r="E76" s="3" t="str">
        <f>"99.5-percentile quality"</f>
        <v>99.5-percentile quality</v>
      </c>
      <c r="F76" s="4" t="str">
        <f>" 8.20 "</f>
        <v xml:space="preserve"> 8.20 </v>
      </c>
      <c r="G76" s="6"/>
      <c r="H76" s="3" t="str">
        <f>"   ... or 95-percentile"</f>
        <v xml:space="preserve">   ... or 95-percentile</v>
      </c>
      <c r="I76" s="4" t="str">
        <f>" 8.04 "</f>
        <v xml:space="preserve"> 8.04 </v>
      </c>
      <c r="J76" s="2"/>
      <c r="K76" s="3" t="str">
        <f>"99.5-percentile quality"</f>
        <v>99.5-percentile quality</v>
      </c>
      <c r="L76" s="4" t="str">
        <f>" 8.20 "</f>
        <v xml:space="preserve"> 8.20 </v>
      </c>
      <c r="M76" s="6"/>
      <c r="N76" s="3" t="str">
        <f>"   ... or 95-percentile"</f>
        <v xml:space="preserve">   ... or 95-percentile</v>
      </c>
      <c r="O76" s="4" t="str">
        <f>" 8.04 "</f>
        <v xml:space="preserve"> 8.04 </v>
      </c>
      <c r="P76" s="2"/>
      <c r="Q76" s="3" t="str">
        <f>"99.5-percentile quality"</f>
        <v>99.5-percentile quality</v>
      </c>
      <c r="R76" s="4" t="str">
        <f>" 8.20 "</f>
        <v xml:space="preserve"> 8.20 </v>
      </c>
      <c r="S76" s="6"/>
    </row>
    <row r="77" spans="1:19" ht="11.25" customHeight="1" x14ac:dyDescent="0.25">
      <c r="A77" s="6"/>
      <c r="B77" s="2"/>
      <c r="C77" s="2"/>
      <c r="D77" s="2"/>
      <c r="E77" s="2"/>
      <c r="F77" s="2"/>
      <c r="G77" s="6"/>
      <c r="M77" s="6"/>
      <c r="S77" s="6"/>
    </row>
    <row r="78" spans="1:19" ht="11.25" customHeight="1" x14ac:dyDescent="0.25">
      <c r="A78" s="6"/>
      <c r="B78" s="5"/>
      <c r="C78" s="5"/>
      <c r="D78" s="5"/>
      <c r="E78" s="5"/>
      <c r="F78" s="5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</row>
    <row r="79" spans="1:19" ht="11.25" customHeight="1" x14ac:dyDescent="0.25">
      <c r="A79" s="6"/>
      <c r="B79" s="2"/>
      <c r="C79" s="2"/>
      <c r="D79" s="2"/>
      <c r="E79" s="2"/>
      <c r="F79" s="2"/>
      <c r="G79" s="6"/>
      <c r="M79" s="6"/>
      <c r="S79" s="6"/>
    </row>
    <row r="80" spans="1:19" ht="11.25" customHeight="1" x14ac:dyDescent="0.25">
      <c r="A80" s="6"/>
      <c r="B80" s="1" t="str">
        <f>"MASS BALANCE CALCULATION: MONTE CARLO METHOD"</f>
        <v>MASS BALANCE CALCULATION: MONTE CARLO METHOD</v>
      </c>
      <c r="C80" s="2"/>
      <c r="D80" s="2"/>
      <c r="E80" s="2"/>
      <c r="F80" s="2"/>
      <c r="G80" s="6"/>
      <c r="H80" s="1" t="str">
        <f>"MASS BALANCE CALCULATION: MONTE CARLO METHOD"</f>
        <v>MASS BALANCE CALCULATION: MONTE CARLO METHOD</v>
      </c>
      <c r="I80" s="2"/>
      <c r="J80" s="2"/>
      <c r="K80" s="2"/>
      <c r="L80" s="2"/>
      <c r="M80" s="6"/>
      <c r="N80" s="1" t="str">
        <f>"MASS BALANCE CALCULATION: MONTE CARLO METHOD"</f>
        <v>MASS BALANCE CALCULATION: MONTE CARLO METHOD</v>
      </c>
      <c r="O80" s="2"/>
      <c r="P80" s="2"/>
      <c r="Q80" s="2"/>
      <c r="R80" s="2"/>
      <c r="S80" s="6"/>
    </row>
    <row r="81" spans="1:19" ht="11.25" customHeight="1" x14ac:dyDescent="0.25">
      <c r="A81" s="6"/>
      <c r="B81" s="3" t="str">
        <f>"Version 2.5"</f>
        <v>Version 2.5</v>
      </c>
      <c r="C81" s="2"/>
      <c r="D81" s="2"/>
      <c r="E81" s="2"/>
      <c r="F81" s="2"/>
      <c r="G81" s="6"/>
      <c r="H81" s="3" t="str">
        <f>"Version 2.5"</f>
        <v>Version 2.5</v>
      </c>
      <c r="I81" s="2"/>
      <c r="J81" s="2"/>
      <c r="K81" s="2"/>
      <c r="L81" s="2"/>
      <c r="M81" s="6"/>
      <c r="N81" s="3" t="str">
        <f>"Version 2.5"</f>
        <v>Version 2.5</v>
      </c>
      <c r="O81" s="2"/>
      <c r="P81" s="2"/>
      <c r="Q81" s="2"/>
      <c r="R81" s="2"/>
      <c r="S81" s="6"/>
    </row>
    <row r="82" spans="1:19" ht="11.25" customHeight="1" x14ac:dyDescent="0.25">
      <c r="A82" s="6"/>
      <c r="B82" s="3" t="str">
        <f>"Calculations done on 28/11/2024 at 11.05"</f>
        <v>Calculations done on 28/11/2024 at 11.05</v>
      </c>
      <c r="C82" s="2"/>
      <c r="D82" s="2"/>
      <c r="E82" s="2"/>
      <c r="F82" s="2"/>
      <c r="G82" s="6"/>
      <c r="H82" s="3" t="str">
        <f>"Calculations done on 28/11/2024 at 11.46"</f>
        <v>Calculations done on 28/11/2024 at 11.46</v>
      </c>
      <c r="I82" s="2"/>
      <c r="J82" s="2"/>
      <c r="K82" s="2"/>
      <c r="L82" s="2"/>
      <c r="M82" s="6"/>
      <c r="N82" s="3" t="str">
        <f>"Calculations done on 28/11/2024 at 12.00"</f>
        <v>Calculations done on 28/11/2024 at 12.00</v>
      </c>
      <c r="O82" s="2"/>
      <c r="P82" s="2"/>
      <c r="Q82" s="2"/>
      <c r="R82" s="2"/>
      <c r="S82" s="6"/>
    </row>
    <row r="83" spans="1:19" ht="11.25" customHeight="1" x14ac:dyDescent="0.25">
      <c r="A83" s="6"/>
      <c r="B83" s="2"/>
      <c r="C83" s="2"/>
      <c r="D83" s="2"/>
      <c r="E83" s="2"/>
      <c r="F83" s="2"/>
      <c r="G83" s="6"/>
      <c r="H83" s="2"/>
      <c r="I83" s="2"/>
      <c r="J83" s="2"/>
      <c r="K83" s="2"/>
      <c r="L83" s="2"/>
      <c r="M83" s="6"/>
      <c r="N83" s="2"/>
      <c r="O83" s="2"/>
      <c r="P83" s="2"/>
      <c r="Q83" s="2"/>
      <c r="R83" s="2"/>
      <c r="S83" s="6"/>
    </row>
    <row r="84" spans="1:19" ht="11.25" customHeight="1" x14ac:dyDescent="0.25">
      <c r="A84" s="6"/>
      <c r="B84" s="3" t="str">
        <f>"Name of discharge"</f>
        <v>Name of discharge</v>
      </c>
      <c r="C84" s="3" t="str">
        <f>"Muntons Trade Effluent - Current Discharge"</f>
        <v>Muntons Trade Effluent - Current Discharge</v>
      </c>
      <c r="D84" s="2"/>
      <c r="E84" s="2"/>
      <c r="F84" s="2"/>
      <c r="G84" s="6"/>
      <c r="H84" s="3" t="str">
        <f>"Name of discharge"</f>
        <v>Name of discharge</v>
      </c>
      <c r="I84" s="3" t="str">
        <f>"Muntons Trade Effluent - Current Maximum Discharge (1500m3/24hr)"</f>
        <v>Muntons Trade Effluent - Current Maximum Discharge (1500m3/24hr)</v>
      </c>
      <c r="J84" s="2"/>
      <c r="K84" s="2"/>
      <c r="L84" s="2"/>
      <c r="M84" s="6"/>
      <c r="N84" s="3" t="str">
        <f>"Name of discharge"</f>
        <v>Name of discharge</v>
      </c>
      <c r="O84" s="3" t="str">
        <f>"Muntons Trade Effluent - Maximum Proposed Discharge (2500m3/24hr)"</f>
        <v>Muntons Trade Effluent - Maximum Proposed Discharge (2500m3/24hr)</v>
      </c>
      <c r="P84" s="2"/>
      <c r="Q84" s="2"/>
      <c r="R84" s="2"/>
      <c r="S84" s="6"/>
    </row>
    <row r="85" spans="1:19" ht="11.25" customHeight="1" x14ac:dyDescent="0.25">
      <c r="A85" s="6"/>
      <c r="B85" s="3" t="str">
        <f>"Name of river"</f>
        <v>Name of river</v>
      </c>
      <c r="C85" s="3" t="str">
        <f>"River Gipping"</f>
        <v>River Gipping</v>
      </c>
      <c r="D85" s="2"/>
      <c r="E85" s="2"/>
      <c r="F85" s="2"/>
      <c r="G85" s="6"/>
      <c r="H85" s="3" t="str">
        <f>"Name of river"</f>
        <v>Name of river</v>
      </c>
      <c r="I85" s="3" t="str">
        <f>"River Gipping"</f>
        <v>River Gipping</v>
      </c>
      <c r="J85" s="2"/>
      <c r="K85" s="2"/>
      <c r="L85" s="2"/>
      <c r="M85" s="6"/>
      <c r="N85" s="3" t="str">
        <f>"Name of river"</f>
        <v>Name of river</v>
      </c>
      <c r="O85" s="3" t="str">
        <f>"River Gipping"</f>
        <v>River Gipping</v>
      </c>
      <c r="P85" s="2"/>
      <c r="Q85" s="2"/>
      <c r="R85" s="2"/>
      <c r="S85" s="6"/>
    </row>
    <row r="86" spans="1:19" ht="11.25" customHeight="1" x14ac:dyDescent="0.25">
      <c r="A86" s="6"/>
      <c r="B86" s="3" t="str">
        <f>"Name of determinand"</f>
        <v>Name of determinand</v>
      </c>
      <c r="C86" s="3" t="str">
        <f>"Temperature"</f>
        <v>Temperature</v>
      </c>
      <c r="D86" s="2"/>
      <c r="E86" s="2"/>
      <c r="F86" s="2"/>
      <c r="G86" s="6"/>
      <c r="H86" s="3" t="str">
        <f>"Name of determinand"</f>
        <v>Name of determinand</v>
      </c>
      <c r="I86" s="3" t="str">
        <f>"Temperature"</f>
        <v>Temperature</v>
      </c>
      <c r="J86" s="2"/>
      <c r="K86" s="2"/>
      <c r="L86" s="2"/>
      <c r="M86" s="6"/>
      <c r="N86" s="3" t="str">
        <f>"Name of determinand"</f>
        <v>Name of determinand</v>
      </c>
      <c r="O86" s="3" t="str">
        <f>"Temperature"</f>
        <v>Temperature</v>
      </c>
      <c r="P86" s="2"/>
      <c r="Q86" s="2"/>
      <c r="R86" s="2"/>
      <c r="S86" s="6"/>
    </row>
    <row r="87" spans="1:19" ht="11.25" customHeight="1" x14ac:dyDescent="0.25">
      <c r="A87" s="6"/>
      <c r="B87" s="2"/>
      <c r="C87" s="2"/>
      <c r="D87" s="2"/>
      <c r="E87" s="2"/>
      <c r="F87" s="2"/>
      <c r="G87" s="6"/>
      <c r="H87" s="2"/>
      <c r="I87" s="2"/>
      <c r="J87" s="2"/>
      <c r="K87" s="2"/>
      <c r="L87" s="2"/>
      <c r="M87" s="6"/>
      <c r="N87" s="2"/>
      <c r="O87" s="2"/>
      <c r="P87" s="2"/>
      <c r="Q87" s="2"/>
      <c r="R87" s="2"/>
      <c r="S87" s="6"/>
    </row>
    <row r="88" spans="1:19" ht="11.25" customHeight="1" x14ac:dyDescent="0.25">
      <c r="A88" s="6"/>
      <c r="B88" s="1" t="str">
        <f>"INPUT DATA"</f>
        <v>INPUT DATA</v>
      </c>
      <c r="C88" s="2"/>
      <c r="D88" s="2"/>
      <c r="E88" s="1" t="str">
        <f>"RESULTS"</f>
        <v>RESULTS</v>
      </c>
      <c r="F88" s="2"/>
      <c r="G88" s="6"/>
      <c r="H88" s="1" t="str">
        <f>"INPUT DATA"</f>
        <v>INPUT DATA</v>
      </c>
      <c r="I88" s="2"/>
      <c r="J88" s="2"/>
      <c r="K88" s="1" t="str">
        <f>"RESULTS"</f>
        <v>RESULTS</v>
      </c>
      <c r="L88" s="2"/>
      <c r="M88" s="6"/>
      <c r="N88" s="1" t="str">
        <f>"INPUT DATA"</f>
        <v>INPUT DATA</v>
      </c>
      <c r="O88" s="2"/>
      <c r="P88" s="2"/>
      <c r="Q88" s="1" t="str">
        <f>"RESULTS"</f>
        <v>RESULTS</v>
      </c>
      <c r="R88" s="2"/>
      <c r="S88" s="6"/>
    </row>
    <row r="89" spans="1:19" ht="11.25" customHeight="1" x14ac:dyDescent="0.25">
      <c r="A89" s="6"/>
      <c r="B89" s="2"/>
      <c r="C89" s="2"/>
      <c r="D89" s="2"/>
      <c r="E89" s="2"/>
      <c r="F89" s="2"/>
      <c r="G89" s="6"/>
      <c r="H89" s="2"/>
      <c r="I89" s="2"/>
      <c r="J89" s="2"/>
      <c r="K89" s="2"/>
      <c r="L89" s="2"/>
      <c r="M89" s="6"/>
      <c r="N89" s="2"/>
      <c r="O89" s="2"/>
      <c r="P89" s="2"/>
      <c r="Q89" s="2"/>
      <c r="R89" s="2"/>
      <c r="S89" s="6"/>
    </row>
    <row r="90" spans="1:19" ht="11.25" customHeight="1" x14ac:dyDescent="0.25">
      <c r="A90" s="6"/>
      <c r="B90" s="1" t="str">
        <f>"UPSTREAM RIVER DATA"</f>
        <v>UPSTREAM RIVER DATA</v>
      </c>
      <c r="C90" s="2"/>
      <c r="D90" s="2"/>
      <c r="E90" s="1" t="str">
        <f>"RIVER DOWNSTREAM OF DISCHARGE"</f>
        <v>RIVER DOWNSTREAM OF DISCHARGE</v>
      </c>
      <c r="F90" s="2"/>
      <c r="G90" s="6"/>
      <c r="H90" s="1" t="str">
        <f>"UPSTREAM RIVER DATA"</f>
        <v>UPSTREAM RIVER DATA</v>
      </c>
      <c r="I90" s="2"/>
      <c r="J90" s="2"/>
      <c r="K90" s="1" t="str">
        <f>"RIVER DOWNSTREAM OF DISCHARGE"</f>
        <v>RIVER DOWNSTREAM OF DISCHARGE</v>
      </c>
      <c r="L90" s="2"/>
      <c r="M90" s="6"/>
      <c r="N90" s="1" t="str">
        <f>"UPSTREAM RIVER DATA"</f>
        <v>UPSTREAM RIVER DATA</v>
      </c>
      <c r="O90" s="2"/>
      <c r="P90" s="2"/>
      <c r="Q90" s="1" t="str">
        <f>"RIVER DOWNSTREAM OF DISCHARGE"</f>
        <v>RIVER DOWNSTREAM OF DISCHARGE</v>
      </c>
      <c r="R90" s="2"/>
      <c r="S90" s="6"/>
    </row>
    <row r="91" spans="1:19" ht="11.25" customHeight="1" x14ac:dyDescent="0.25">
      <c r="A91" s="6"/>
      <c r="B91" s="3" t="str">
        <f>"Mean flow"</f>
        <v>Mean flow</v>
      </c>
      <c r="C91" s="4" t="str">
        <f>" 0.63 "</f>
        <v xml:space="preserve"> 0.63 </v>
      </c>
      <c r="D91" s="2"/>
      <c r="E91" s="3" t="str">
        <f>"Mean quality"</f>
        <v>Mean quality</v>
      </c>
      <c r="F91" s="4" t="str">
        <f>" 17.45 "</f>
        <v xml:space="preserve"> 17.45 </v>
      </c>
      <c r="G91" s="6"/>
      <c r="H91" s="3" t="str">
        <f>"Mean flow"</f>
        <v>Mean flow</v>
      </c>
      <c r="I91" s="4" t="str">
        <f>" 0.63 "</f>
        <v xml:space="preserve"> 0.63 </v>
      </c>
      <c r="J91" s="2"/>
      <c r="K91" s="3" t="str">
        <f>"Mean quality"</f>
        <v>Mean quality</v>
      </c>
      <c r="L91" s="4" t="str">
        <f>" 17.47 "</f>
        <v xml:space="preserve"> 17.47 </v>
      </c>
      <c r="M91" s="6"/>
      <c r="N91" s="3" t="str">
        <f>"Mean flow"</f>
        <v>Mean flow</v>
      </c>
      <c r="O91" s="4" t="str">
        <f>" 0.63 "</f>
        <v xml:space="preserve"> 0.63 </v>
      </c>
      <c r="P91" s="2"/>
      <c r="Q91" s="3" t="str">
        <f>"Mean quality"</f>
        <v>Mean quality</v>
      </c>
      <c r="R91" s="4" t="str">
        <f>" 17.56 "</f>
        <v xml:space="preserve"> 17.56 </v>
      </c>
      <c r="S91" s="6"/>
    </row>
    <row r="92" spans="1:19" ht="11.25" customHeight="1" x14ac:dyDescent="0.25">
      <c r="A92" s="6"/>
      <c r="B92" s="3" t="str">
        <f>"95% exceedence flow"</f>
        <v>95% exceedence flow</v>
      </c>
      <c r="C92" s="4" t="str">
        <f>" 0.09 "</f>
        <v xml:space="preserve"> 0.09 </v>
      </c>
      <c r="D92" s="2"/>
      <c r="E92" s="3" t="str">
        <f>"Standard deviation of quality"</f>
        <v>Standard deviation of quality</v>
      </c>
      <c r="F92" s="4" t="str">
        <f>" 1.28 "</f>
        <v xml:space="preserve"> 1.28 </v>
      </c>
      <c r="G92" s="6"/>
      <c r="H92" s="3" t="str">
        <f>"95% exceedence flow"</f>
        <v>95% exceedence flow</v>
      </c>
      <c r="I92" s="4" t="str">
        <f>" 0.09 "</f>
        <v xml:space="preserve"> 0.09 </v>
      </c>
      <c r="J92" s="2"/>
      <c r="K92" s="3" t="str">
        <f>"Standard deviation of quality"</f>
        <v>Standard deviation of quality</v>
      </c>
      <c r="L92" s="4" t="str">
        <f>" 1.28 "</f>
        <v xml:space="preserve"> 1.28 </v>
      </c>
      <c r="M92" s="6"/>
      <c r="N92" s="3" t="str">
        <f>"95% exceedence flow"</f>
        <v>95% exceedence flow</v>
      </c>
      <c r="O92" s="4" t="str">
        <f>" 0.09 "</f>
        <v xml:space="preserve"> 0.09 </v>
      </c>
      <c r="P92" s="2"/>
      <c r="Q92" s="3" t="str">
        <f>"Standard deviation of quality"</f>
        <v>Standard deviation of quality</v>
      </c>
      <c r="R92" s="4" t="str">
        <f>" 1.27 "</f>
        <v xml:space="preserve"> 1.27 </v>
      </c>
      <c r="S92" s="6"/>
    </row>
    <row r="93" spans="1:19" ht="11.25" customHeight="1" x14ac:dyDescent="0.25">
      <c r="A93" s="6"/>
      <c r="B93" s="3" t="str">
        <f>"Mean quality"</f>
        <v>Mean quality</v>
      </c>
      <c r="C93" s="4" t="str">
        <f>" 17.30 "</f>
        <v xml:space="preserve"> 17.30 </v>
      </c>
      <c r="D93" s="2"/>
      <c r="E93" s="3" t="str">
        <f>"90-percentile quality"</f>
        <v>90-percentile quality</v>
      </c>
      <c r="F93" s="4" t="str">
        <f>" 19.12 "</f>
        <v xml:space="preserve"> 19.12 </v>
      </c>
      <c r="G93" s="6"/>
      <c r="H93" s="3" t="str">
        <f>"Mean quality"</f>
        <v>Mean quality</v>
      </c>
      <c r="I93" s="4" t="str">
        <f>" 17.30 "</f>
        <v xml:space="preserve"> 17.30 </v>
      </c>
      <c r="J93" s="2"/>
      <c r="K93" s="3" t="str">
        <f>"90-percentile quality"</f>
        <v>90-percentile quality</v>
      </c>
      <c r="L93" s="4" t="str">
        <f>" 19.13 "</f>
        <v xml:space="preserve"> 19.13 </v>
      </c>
      <c r="M93" s="6"/>
      <c r="N93" s="3" t="str">
        <f>"Mean quality"</f>
        <v>Mean quality</v>
      </c>
      <c r="O93" s="4" t="str">
        <f>" 17.30 "</f>
        <v xml:space="preserve"> 17.30 </v>
      </c>
      <c r="P93" s="2"/>
      <c r="Q93" s="3" t="str">
        <f>"90-percentile quality"</f>
        <v>90-percentile quality</v>
      </c>
      <c r="R93" s="4" t="str">
        <f>" 19.24 "</f>
        <v xml:space="preserve"> 19.24 </v>
      </c>
      <c r="S93" s="6"/>
    </row>
    <row r="94" spans="1:19" ht="11.25" customHeight="1" x14ac:dyDescent="0.25">
      <c r="A94" s="6"/>
      <c r="B94" s="3" t="str">
        <f>"Standard deviation of quality"</f>
        <v>Standard deviation of quality</v>
      </c>
      <c r="C94" s="4" t="str">
        <f>" 1.35 "</f>
        <v xml:space="preserve"> 1.35 </v>
      </c>
      <c r="D94" s="2"/>
      <c r="E94" s="3" t="str">
        <f>"95-percentile quality"</f>
        <v>95-percentile quality</v>
      </c>
      <c r="F94" s="4" t="str">
        <f>" 19.64 "</f>
        <v xml:space="preserve"> 19.64 </v>
      </c>
      <c r="G94" s="6"/>
      <c r="H94" s="3" t="str">
        <f>"Standard deviation of quality"</f>
        <v>Standard deviation of quality</v>
      </c>
      <c r="I94" s="4" t="str">
        <f>" 1.35 "</f>
        <v xml:space="preserve"> 1.35 </v>
      </c>
      <c r="J94" s="2"/>
      <c r="K94" s="3" t="str">
        <f>"95-percentile quality"</f>
        <v>95-percentile quality</v>
      </c>
      <c r="L94" s="4" t="str">
        <f>" 19.63 "</f>
        <v xml:space="preserve"> 19.63 </v>
      </c>
      <c r="M94" s="6"/>
      <c r="N94" s="3" t="str">
        <f>"Standard deviation of quality"</f>
        <v>Standard deviation of quality</v>
      </c>
      <c r="O94" s="4" t="str">
        <f>" 1.35 "</f>
        <v xml:space="preserve"> 1.35 </v>
      </c>
      <c r="P94" s="2"/>
      <c r="Q94" s="3" t="str">
        <f>"95-percentile quality"</f>
        <v>95-percentile quality</v>
      </c>
      <c r="R94" s="4" t="str">
        <f>" 19.73 "</f>
        <v xml:space="preserve"> 19.73 </v>
      </c>
      <c r="S94" s="6"/>
    </row>
    <row r="95" spans="1:19" ht="11.25" customHeight="1" x14ac:dyDescent="0.25">
      <c r="A95" s="6"/>
      <c r="B95" s="3" t="str">
        <f>"             90-percentile"</f>
        <v xml:space="preserve">             90-percentile</v>
      </c>
      <c r="C95" s="4" t="str">
        <f>" 19.05 "</f>
        <v xml:space="preserve"> 19.05 </v>
      </c>
      <c r="D95" s="2"/>
      <c r="E95" s="3" t="str">
        <f>"99-percentile quality"</f>
        <v>99-percentile quality</v>
      </c>
      <c r="F95" s="4" t="str">
        <f>" 20.39 "</f>
        <v xml:space="preserve"> 20.39 </v>
      </c>
      <c r="G95" s="6"/>
      <c r="H95" s="3" t="str">
        <f>"             90-percentile"</f>
        <v xml:space="preserve">             90-percentile</v>
      </c>
      <c r="I95" s="4" t="str">
        <f>" 19.05 "</f>
        <v xml:space="preserve"> 19.05 </v>
      </c>
      <c r="J95" s="2"/>
      <c r="K95" s="3" t="str">
        <f>"99-percentile quality"</f>
        <v>99-percentile quality</v>
      </c>
      <c r="L95" s="4" t="str">
        <f>" 20.43 "</f>
        <v xml:space="preserve"> 20.43 </v>
      </c>
      <c r="M95" s="6"/>
      <c r="N95" s="3" t="str">
        <f>"             90-percentile"</f>
        <v xml:space="preserve">             90-percentile</v>
      </c>
      <c r="O95" s="4" t="str">
        <f>" 19.05 "</f>
        <v xml:space="preserve"> 19.05 </v>
      </c>
      <c r="P95" s="2"/>
      <c r="Q95" s="3" t="str">
        <f>"99-percentile quality"</f>
        <v>99-percentile quality</v>
      </c>
      <c r="R95" s="4" t="str">
        <f>" 20.70 "</f>
        <v xml:space="preserve"> 20.70 </v>
      </c>
      <c r="S95" s="6"/>
    </row>
    <row r="96" spans="1:19" ht="11.25" customHeight="1" x14ac:dyDescent="0.25">
      <c r="A96" s="6"/>
      <c r="B96" s="2"/>
      <c r="C96" s="2"/>
      <c r="D96" s="2"/>
      <c r="E96" s="2"/>
      <c r="F96" s="2"/>
      <c r="G96" s="6"/>
      <c r="H96" s="2"/>
      <c r="I96" s="2"/>
      <c r="J96" s="2"/>
      <c r="K96" s="2"/>
      <c r="L96" s="2"/>
      <c r="M96" s="6"/>
      <c r="N96" s="2"/>
      <c r="O96" s="2"/>
      <c r="P96" s="2"/>
      <c r="Q96" s="2"/>
      <c r="R96" s="2"/>
      <c r="S96" s="6"/>
    </row>
    <row r="97" spans="1:19" ht="11.25" customHeight="1" x14ac:dyDescent="0.25">
      <c r="A97" s="6"/>
      <c r="B97" s="1" t="str">
        <f>"DISCHARGE DATA"</f>
        <v>DISCHARGE DATA</v>
      </c>
      <c r="C97" s="2"/>
      <c r="D97" s="2"/>
      <c r="E97" s="1" t="str">
        <f>"DISCHARGE QUALITY"</f>
        <v>DISCHARGE QUALITY</v>
      </c>
      <c r="F97" s="2"/>
      <c r="G97" s="6"/>
      <c r="H97" s="1" t="str">
        <f>"DISCHARGE DATA"</f>
        <v>DISCHARGE DATA</v>
      </c>
      <c r="I97" s="2"/>
      <c r="J97" s="2"/>
      <c r="K97" s="1" t="str">
        <f>"DISCHARGE QUALITY"</f>
        <v>DISCHARGE QUALITY</v>
      </c>
      <c r="L97" s="2"/>
      <c r="M97" s="6"/>
      <c r="N97" s="1" t="str">
        <f>"DISCHARGE DATA"</f>
        <v>DISCHARGE DATA</v>
      </c>
      <c r="O97" s="2"/>
      <c r="P97" s="2"/>
      <c r="Q97" s="1" t="str">
        <f>"DISCHARGE QUALITY"</f>
        <v>DISCHARGE QUALITY</v>
      </c>
      <c r="R97" s="2"/>
      <c r="S97" s="6"/>
    </row>
    <row r="98" spans="1:19" ht="11.25" customHeight="1" x14ac:dyDescent="0.25">
      <c r="A98" s="6"/>
      <c r="B98" s="3" t="str">
        <f>"Mean flow "</f>
        <v xml:space="preserve">Mean flow </v>
      </c>
      <c r="C98" s="4" t="str">
        <f>" 0.02 "</f>
        <v xml:space="preserve"> 0.02 </v>
      </c>
      <c r="D98" s="2"/>
      <c r="E98" s="3" t="str">
        <f>"Mean quality"</f>
        <v>Mean quality</v>
      </c>
      <c r="F98" s="4" t="str">
        <f>" 19.99 "</f>
        <v xml:space="preserve"> 19.99 </v>
      </c>
      <c r="G98" s="6"/>
      <c r="H98" s="3" t="str">
        <f>"Mean flow "</f>
        <v xml:space="preserve">Mean flow </v>
      </c>
      <c r="I98" s="4" t="str">
        <f>" 0.02 "</f>
        <v xml:space="preserve"> 0.02 </v>
      </c>
      <c r="J98" s="2"/>
      <c r="K98" s="3" t="str">
        <f>"Mean quality"</f>
        <v>Mean quality</v>
      </c>
      <c r="L98" s="4" t="str">
        <f>" 19.99 "</f>
        <v xml:space="preserve"> 19.99 </v>
      </c>
      <c r="M98" s="6"/>
      <c r="N98" s="3" t="str">
        <f>"Mean flow "</f>
        <v xml:space="preserve">Mean flow </v>
      </c>
      <c r="O98" s="4" t="str">
        <f>" 0.03 "</f>
        <v xml:space="preserve"> 0.03 </v>
      </c>
      <c r="P98" s="2"/>
      <c r="Q98" s="3" t="str">
        <f>"Mean quality"</f>
        <v>Mean quality</v>
      </c>
      <c r="R98" s="4" t="str">
        <f>" 19.99 "</f>
        <v xml:space="preserve"> 19.99 </v>
      </c>
      <c r="S98" s="6"/>
    </row>
    <row r="99" spans="1:19" ht="11.25" customHeight="1" x14ac:dyDescent="0.25">
      <c r="A99" s="6"/>
      <c r="B99" s="3" t="str">
        <f>"Standard deviation of flow"</f>
        <v>Standard deviation of flow</v>
      </c>
      <c r="C99" s="4" t="str">
        <f>" 0.00 "</f>
        <v xml:space="preserve"> 0.00 </v>
      </c>
      <c r="D99" s="2"/>
      <c r="E99" s="3" t="str">
        <f>"Standard deviation of quality"</f>
        <v>Standard deviation of quality</v>
      </c>
      <c r="F99" s="4" t="str">
        <f>" 3.00 "</f>
        <v xml:space="preserve"> 3.00 </v>
      </c>
      <c r="G99" s="6"/>
      <c r="H99" s="3" t="str">
        <f>"Standard deviation of flow"</f>
        <v>Standard deviation of flow</v>
      </c>
      <c r="I99" s="4" t="str">
        <f>" 0.00 "</f>
        <v xml:space="preserve"> 0.00 </v>
      </c>
      <c r="J99" s="2"/>
      <c r="K99" s="3" t="str">
        <f>"Standard deviation of quality"</f>
        <v>Standard deviation of quality</v>
      </c>
      <c r="L99" s="4" t="str">
        <f>" 3.00 "</f>
        <v xml:space="preserve"> 3.00 </v>
      </c>
      <c r="M99" s="6"/>
      <c r="N99" s="3" t="str">
        <f>"Standard deviation of flow"</f>
        <v>Standard deviation of flow</v>
      </c>
      <c r="O99" s="4" t="str">
        <f>" 0.00 "</f>
        <v xml:space="preserve"> 0.00 </v>
      </c>
      <c r="P99" s="2"/>
      <c r="Q99" s="3" t="str">
        <f>"Standard deviation of quality"</f>
        <v>Standard deviation of quality</v>
      </c>
      <c r="R99" s="4" t="str">
        <f>" 3.00 "</f>
        <v xml:space="preserve"> 3.00 </v>
      </c>
      <c r="S99" s="6"/>
    </row>
    <row r="100" spans="1:19" ht="11.25" customHeight="1" x14ac:dyDescent="0.25">
      <c r="A100" s="6"/>
      <c r="B100" s="3" t="str">
        <f>"Mean quality "</f>
        <v xml:space="preserve">Mean quality </v>
      </c>
      <c r="C100" s="4" t="str">
        <f>" 19.84 "</f>
        <v xml:space="preserve"> 19.84 </v>
      </c>
      <c r="D100" s="2"/>
      <c r="E100" s="3" t="str">
        <f>"95-percentile quality"</f>
        <v>95-percentile quality</v>
      </c>
      <c r="F100" s="4" t="str">
        <f>" 25.23 "</f>
        <v xml:space="preserve"> 25.23 </v>
      </c>
      <c r="G100" s="6"/>
      <c r="H100" s="3" t="str">
        <f>"Mean quality "</f>
        <v xml:space="preserve">Mean quality </v>
      </c>
      <c r="I100" s="4" t="str">
        <f>" 19.84 "</f>
        <v xml:space="preserve"> 19.84 </v>
      </c>
      <c r="J100" s="2"/>
      <c r="K100" s="3" t="str">
        <f>"95-percentile quality"</f>
        <v>95-percentile quality</v>
      </c>
      <c r="L100" s="4" t="str">
        <f>" 25.23 "</f>
        <v xml:space="preserve"> 25.23 </v>
      </c>
      <c r="M100" s="6"/>
      <c r="N100" s="3" t="str">
        <f>"Mean quality "</f>
        <v xml:space="preserve">Mean quality </v>
      </c>
      <c r="O100" s="4" t="str">
        <f>" 19.84 "</f>
        <v xml:space="preserve"> 19.84 </v>
      </c>
      <c r="P100" s="2"/>
      <c r="Q100" s="3" t="str">
        <f>"95-percentile quality"</f>
        <v>95-percentile quality</v>
      </c>
      <c r="R100" s="4" t="str">
        <f>" 25.23 "</f>
        <v xml:space="preserve"> 25.23 </v>
      </c>
      <c r="S100" s="6"/>
    </row>
    <row r="101" spans="1:19" ht="11.25" customHeight="1" x14ac:dyDescent="0.25">
      <c r="A101" s="6"/>
      <c r="B101" s="3" t="str">
        <f>"Standard deviation of quality"</f>
        <v>Standard deviation of quality</v>
      </c>
      <c r="C101" s="4" t="str">
        <f>" 3.01 "</f>
        <v xml:space="preserve"> 3.01 </v>
      </c>
      <c r="D101" s="2"/>
      <c r="E101" s="3" t="str">
        <f>"99-percentile quality"</f>
        <v>99-percentile quality</v>
      </c>
      <c r="F101" s="4" t="str">
        <f>" 27.73 "</f>
        <v xml:space="preserve"> 27.73 </v>
      </c>
      <c r="G101" s="6"/>
      <c r="H101" s="3" t="str">
        <f>"Standard deviation of quality"</f>
        <v>Standard deviation of quality</v>
      </c>
      <c r="I101" s="4" t="str">
        <f>" 3.01 "</f>
        <v xml:space="preserve"> 3.01 </v>
      </c>
      <c r="J101" s="2"/>
      <c r="K101" s="3" t="str">
        <f>"99-percentile quality"</f>
        <v>99-percentile quality</v>
      </c>
      <c r="L101" s="4" t="str">
        <f>" 27.73 "</f>
        <v xml:space="preserve"> 27.73 </v>
      </c>
      <c r="M101" s="6"/>
      <c r="N101" s="3" t="str">
        <f>"Standard deviation of quality"</f>
        <v>Standard deviation of quality</v>
      </c>
      <c r="O101" s="4" t="str">
        <f>" 3.01 "</f>
        <v xml:space="preserve"> 3.01 </v>
      </c>
      <c r="P101" s="2"/>
      <c r="Q101" s="3" t="str">
        <f>"99-percentile quality"</f>
        <v>99-percentile quality</v>
      </c>
      <c r="R101" s="4" t="str">
        <f>" 27.73 "</f>
        <v xml:space="preserve"> 27.73 </v>
      </c>
      <c r="S101" s="6"/>
    </row>
    <row r="102" spans="1:19" x14ac:dyDescent="0.25">
      <c r="A102" s="6"/>
      <c r="B102" s="3" t="str">
        <f>"   ... or 95-percentile"</f>
        <v xml:space="preserve">   ... or 95-percentile</v>
      </c>
      <c r="C102" s="4" t="str">
        <f>" 25.15 "</f>
        <v xml:space="preserve"> 25.15 </v>
      </c>
      <c r="D102" s="2"/>
      <c r="E102" s="3" t="str">
        <f>"99.5-percentile quality"</f>
        <v>99.5-percentile quality</v>
      </c>
      <c r="F102" s="4" t="str">
        <f>" 28.44 "</f>
        <v xml:space="preserve"> 28.44 </v>
      </c>
      <c r="G102" s="6"/>
      <c r="H102" s="3" t="str">
        <f>"   ... or 95-percentile"</f>
        <v xml:space="preserve">   ... or 95-percentile</v>
      </c>
      <c r="I102" s="4" t="str">
        <f>" 25.15 "</f>
        <v xml:space="preserve"> 25.15 </v>
      </c>
      <c r="J102" s="2"/>
      <c r="K102" s="3" t="str">
        <f>"99.5-percentile quality"</f>
        <v>99.5-percentile quality</v>
      </c>
      <c r="L102" s="4" t="str">
        <f>" 28.44 "</f>
        <v xml:space="preserve"> 28.44 </v>
      </c>
      <c r="M102" s="6"/>
      <c r="N102" s="3" t="str">
        <f>"   ... or 95-percentile"</f>
        <v xml:space="preserve">   ... or 95-percentile</v>
      </c>
      <c r="O102" s="4" t="str">
        <f>" 25.15 "</f>
        <v xml:space="preserve"> 25.15 </v>
      </c>
      <c r="P102" s="2"/>
      <c r="Q102" s="3" t="str">
        <f>"99.5-percentile quality"</f>
        <v>99.5-percentile quality</v>
      </c>
      <c r="R102" s="4" t="str">
        <f>" 28.44 "</f>
        <v xml:space="preserve"> 28.44 </v>
      </c>
      <c r="S102" s="6"/>
    </row>
    <row r="103" spans="1:19" x14ac:dyDescent="0.25">
      <c r="A103" s="6"/>
      <c r="G103" s="6"/>
      <c r="M103" s="6"/>
      <c r="S103" s="6"/>
    </row>
    <row r="104" spans="1:19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</row>
    <row r="105" spans="1:19" x14ac:dyDescent="0.25">
      <c r="A105" s="6"/>
      <c r="G105" s="6"/>
      <c r="M105" s="6"/>
      <c r="S105" s="6"/>
    </row>
    <row r="106" spans="1:19" x14ac:dyDescent="0.25">
      <c r="A106" s="6"/>
      <c r="B106" s="1" t="str">
        <f>"MASS BALANCE CALCULATION: MONTE CARLO METHOD"</f>
        <v>MASS BALANCE CALCULATION: MONTE CARLO METHOD</v>
      </c>
      <c r="C106" s="2"/>
      <c r="D106" s="2"/>
      <c r="E106" s="2"/>
      <c r="F106" s="2"/>
      <c r="G106" s="6"/>
      <c r="H106" s="1" t="str">
        <f>"MASS BALANCE CALCULATION: MONTE CARLO METHOD"</f>
        <v>MASS BALANCE CALCULATION: MONTE CARLO METHOD</v>
      </c>
      <c r="I106" s="2"/>
      <c r="J106" s="2"/>
      <c r="K106" s="2"/>
      <c r="L106" s="2"/>
      <c r="M106" s="6"/>
      <c r="N106" s="1" t="str">
        <f>"MASS BALANCE CALCULATION: MONTE CARLO METHOD"</f>
        <v>MASS BALANCE CALCULATION: MONTE CARLO METHOD</v>
      </c>
      <c r="O106" s="2"/>
      <c r="P106" s="2"/>
      <c r="Q106" s="2"/>
      <c r="R106" s="2"/>
      <c r="S106" s="6"/>
    </row>
    <row r="107" spans="1:19" x14ac:dyDescent="0.25">
      <c r="A107" s="6"/>
      <c r="B107" s="3" t="str">
        <f>"Version 2.5"</f>
        <v>Version 2.5</v>
      </c>
      <c r="C107" s="2"/>
      <c r="D107" s="2"/>
      <c r="E107" s="2"/>
      <c r="F107" s="2"/>
      <c r="G107" s="6"/>
      <c r="H107" s="3" t="str">
        <f>"Version 2.5"</f>
        <v>Version 2.5</v>
      </c>
      <c r="I107" s="2"/>
      <c r="J107" s="2"/>
      <c r="K107" s="2"/>
      <c r="L107" s="2"/>
      <c r="M107" s="6"/>
      <c r="N107" s="3" t="str">
        <f>"Version 2.5"</f>
        <v>Version 2.5</v>
      </c>
      <c r="O107" s="2"/>
      <c r="P107" s="2"/>
      <c r="Q107" s="2"/>
      <c r="R107" s="2"/>
      <c r="S107" s="6"/>
    </row>
    <row r="108" spans="1:19" x14ac:dyDescent="0.25">
      <c r="A108" s="6"/>
      <c r="B108" s="3" t="str">
        <f>"Calculations done on 28/11/2024 at 10.58"</f>
        <v>Calculations done on 28/11/2024 at 10.58</v>
      </c>
      <c r="C108" s="2"/>
      <c r="D108" s="2"/>
      <c r="E108" s="2"/>
      <c r="F108" s="2"/>
      <c r="G108" s="6"/>
      <c r="H108" s="3" t="str">
        <f>"Calculations done on 28/11/2024 at 11.41"</f>
        <v>Calculations done on 28/11/2024 at 11.41</v>
      </c>
      <c r="I108" s="2"/>
      <c r="J108" s="2"/>
      <c r="K108" s="2"/>
      <c r="L108" s="2"/>
      <c r="M108" s="6"/>
      <c r="N108" s="3" t="str">
        <f>"Calculations done on 28/11/2024 at 11.56"</f>
        <v>Calculations done on 28/11/2024 at 11.56</v>
      </c>
      <c r="O108" s="2"/>
      <c r="P108" s="2"/>
      <c r="Q108" s="2"/>
      <c r="R108" s="2"/>
      <c r="S108" s="6"/>
    </row>
    <row r="109" spans="1:19" x14ac:dyDescent="0.25">
      <c r="A109" s="6"/>
      <c r="B109" s="2"/>
      <c r="C109" s="2"/>
      <c r="D109" s="2"/>
      <c r="E109" s="2"/>
      <c r="F109" s="2"/>
      <c r="G109" s="6"/>
      <c r="H109" s="2"/>
      <c r="I109" s="2"/>
      <c r="J109" s="2"/>
      <c r="K109" s="2"/>
      <c r="L109" s="2"/>
      <c r="M109" s="6"/>
      <c r="N109" s="2"/>
      <c r="O109" s="2"/>
      <c r="P109" s="2"/>
      <c r="Q109" s="2"/>
      <c r="R109" s="2"/>
      <c r="S109" s="6"/>
    </row>
    <row r="110" spans="1:19" x14ac:dyDescent="0.25">
      <c r="A110" s="6"/>
      <c r="B110" s="3" t="str">
        <f>"Name of discharge"</f>
        <v>Name of discharge</v>
      </c>
      <c r="C110" s="3" t="str">
        <f>"Muntons Trade Effluent - Current Discharge"</f>
        <v>Muntons Trade Effluent - Current Discharge</v>
      </c>
      <c r="D110" s="2"/>
      <c r="E110" s="2"/>
      <c r="F110" s="2"/>
      <c r="G110" s="6"/>
      <c r="H110" s="3" t="str">
        <f>"Name of discharge"</f>
        <v>Name of discharge</v>
      </c>
      <c r="I110" s="3" t="str">
        <f>"Muntons Trade Effluent - Current Maximum Discharge (1500m3/24hr)"</f>
        <v>Muntons Trade Effluent - Current Maximum Discharge (1500m3/24hr)</v>
      </c>
      <c r="J110" s="2"/>
      <c r="K110" s="2"/>
      <c r="L110" s="2"/>
      <c r="M110" s="6"/>
      <c r="N110" s="3" t="str">
        <f>"Name of discharge"</f>
        <v>Name of discharge</v>
      </c>
      <c r="O110" s="3" t="str">
        <f>"Muntons Trade Effluent - Maximum Proposed Discharge (2500m3/24hr)"</f>
        <v>Muntons Trade Effluent - Maximum Proposed Discharge (2500m3/24hr)</v>
      </c>
      <c r="P110" s="2"/>
      <c r="Q110" s="2"/>
      <c r="R110" s="2"/>
      <c r="S110" s="6"/>
    </row>
    <row r="111" spans="1:19" x14ac:dyDescent="0.25">
      <c r="A111" s="6"/>
      <c r="B111" s="3" t="str">
        <f>"Name of river"</f>
        <v>Name of river</v>
      </c>
      <c r="C111" s="3" t="str">
        <f>"River Gipping"</f>
        <v>River Gipping</v>
      </c>
      <c r="D111" s="2"/>
      <c r="E111" s="2"/>
      <c r="F111" s="2"/>
      <c r="G111" s="6"/>
      <c r="H111" s="3" t="str">
        <f>"Name of river"</f>
        <v>Name of river</v>
      </c>
      <c r="I111" s="3" t="str">
        <f>"River Gipping"</f>
        <v>River Gipping</v>
      </c>
      <c r="J111" s="2"/>
      <c r="K111" s="2"/>
      <c r="L111" s="2"/>
      <c r="M111" s="6"/>
      <c r="N111" s="3" t="str">
        <f>"Name of river"</f>
        <v>Name of river</v>
      </c>
      <c r="O111" s="3" t="str">
        <f>"River Gipping"</f>
        <v>River Gipping</v>
      </c>
      <c r="P111" s="2"/>
      <c r="Q111" s="2"/>
      <c r="R111" s="2"/>
      <c r="S111" s="6"/>
    </row>
    <row r="112" spans="1:19" x14ac:dyDescent="0.25">
      <c r="A112" s="6"/>
      <c r="B112" s="3" t="str">
        <f>"Name of determinand"</f>
        <v>Name of determinand</v>
      </c>
      <c r="C112" s="3" t="str">
        <f>"Total Nitrogen"</f>
        <v>Total Nitrogen</v>
      </c>
      <c r="D112" s="2"/>
      <c r="E112" s="2"/>
      <c r="F112" s="2"/>
      <c r="G112" s="6"/>
      <c r="H112" s="3" t="str">
        <f>"Name of determinand"</f>
        <v>Name of determinand</v>
      </c>
      <c r="I112" s="3" t="str">
        <f>"Total Nitrogen"</f>
        <v>Total Nitrogen</v>
      </c>
      <c r="J112" s="2"/>
      <c r="K112" s="2"/>
      <c r="L112" s="2"/>
      <c r="M112" s="6"/>
      <c r="N112" s="3" t="str">
        <f>"Name of determinand"</f>
        <v>Name of determinand</v>
      </c>
      <c r="O112" s="3" t="str">
        <f>"Total Nitrogen"</f>
        <v>Total Nitrogen</v>
      </c>
      <c r="P112" s="2"/>
      <c r="Q112" s="2"/>
      <c r="R112" s="2"/>
      <c r="S112" s="6"/>
    </row>
    <row r="113" spans="1:19" x14ac:dyDescent="0.25">
      <c r="A113" s="6"/>
      <c r="B113" s="2"/>
      <c r="C113" s="2"/>
      <c r="D113" s="2"/>
      <c r="E113" s="2"/>
      <c r="F113" s="2"/>
      <c r="G113" s="6"/>
      <c r="H113" s="2"/>
      <c r="I113" s="2"/>
      <c r="J113" s="2"/>
      <c r="K113" s="2"/>
      <c r="L113" s="2"/>
      <c r="M113" s="6"/>
      <c r="N113" s="2"/>
      <c r="O113" s="2"/>
      <c r="P113" s="2"/>
      <c r="Q113" s="2"/>
      <c r="R113" s="2"/>
      <c r="S113" s="6"/>
    </row>
    <row r="114" spans="1:19" x14ac:dyDescent="0.25">
      <c r="A114" s="6"/>
      <c r="B114" s="1" t="str">
        <f>"INPUT DATA"</f>
        <v>INPUT DATA</v>
      </c>
      <c r="C114" s="2"/>
      <c r="D114" s="2"/>
      <c r="E114" s="1" t="str">
        <f>"RESULTS"</f>
        <v>RESULTS</v>
      </c>
      <c r="F114" s="2"/>
      <c r="G114" s="6"/>
      <c r="H114" s="1" t="str">
        <f>"INPUT DATA"</f>
        <v>INPUT DATA</v>
      </c>
      <c r="I114" s="2"/>
      <c r="J114" s="2"/>
      <c r="K114" s="1" t="str">
        <f>"RESULTS"</f>
        <v>RESULTS</v>
      </c>
      <c r="L114" s="2"/>
      <c r="M114" s="6"/>
      <c r="N114" s="1" t="str">
        <f>"INPUT DATA"</f>
        <v>INPUT DATA</v>
      </c>
      <c r="O114" s="2"/>
      <c r="P114" s="2"/>
      <c r="Q114" s="1" t="str">
        <f>"RESULTS"</f>
        <v>RESULTS</v>
      </c>
      <c r="R114" s="2"/>
      <c r="S114" s="6"/>
    </row>
    <row r="115" spans="1:19" x14ac:dyDescent="0.25">
      <c r="A115" s="6"/>
      <c r="B115" s="2"/>
      <c r="C115" s="2"/>
      <c r="D115" s="2"/>
      <c r="E115" s="2"/>
      <c r="F115" s="2"/>
      <c r="G115" s="6"/>
      <c r="H115" s="2"/>
      <c r="I115" s="2"/>
      <c r="J115" s="2"/>
      <c r="K115" s="2"/>
      <c r="L115" s="2"/>
      <c r="M115" s="6"/>
      <c r="N115" s="2"/>
      <c r="O115" s="2"/>
      <c r="P115" s="2"/>
      <c r="Q115" s="2"/>
      <c r="R115" s="2"/>
      <c r="S115" s="6"/>
    </row>
    <row r="116" spans="1:19" x14ac:dyDescent="0.25">
      <c r="A116" s="6"/>
      <c r="B116" s="1" t="str">
        <f>"UPSTREAM RIVER DATA"</f>
        <v>UPSTREAM RIVER DATA</v>
      </c>
      <c r="C116" s="2"/>
      <c r="D116" s="2"/>
      <c r="E116" s="1" t="str">
        <f>"RIVER DOWNSTREAM OF DISCHARGE"</f>
        <v>RIVER DOWNSTREAM OF DISCHARGE</v>
      </c>
      <c r="F116" s="2"/>
      <c r="G116" s="6"/>
      <c r="H116" s="1" t="str">
        <f>"UPSTREAM RIVER DATA"</f>
        <v>UPSTREAM RIVER DATA</v>
      </c>
      <c r="I116" s="2"/>
      <c r="J116" s="2"/>
      <c r="K116" s="1" t="str">
        <f>"RIVER DOWNSTREAM OF DISCHARGE"</f>
        <v>RIVER DOWNSTREAM OF DISCHARGE</v>
      </c>
      <c r="L116" s="2"/>
      <c r="M116" s="6"/>
      <c r="N116" s="1" t="str">
        <f>"UPSTREAM RIVER DATA"</f>
        <v>UPSTREAM RIVER DATA</v>
      </c>
      <c r="O116" s="2"/>
      <c r="P116" s="2"/>
      <c r="Q116" s="1" t="str">
        <f>"RIVER DOWNSTREAM OF DISCHARGE"</f>
        <v>RIVER DOWNSTREAM OF DISCHARGE</v>
      </c>
      <c r="R116" s="2"/>
      <c r="S116" s="6"/>
    </row>
    <row r="117" spans="1:19" x14ac:dyDescent="0.25">
      <c r="A117" s="6"/>
      <c r="B117" s="3" t="str">
        <f>"Mean flow"</f>
        <v>Mean flow</v>
      </c>
      <c r="C117" s="4" t="str">
        <f>" 0.63 "</f>
        <v xml:space="preserve"> 0.63 </v>
      </c>
      <c r="D117" s="2"/>
      <c r="E117" s="3" t="str">
        <f>"Mean quality"</f>
        <v>Mean quality</v>
      </c>
      <c r="F117" s="4" t="str">
        <f>" 7.33 "</f>
        <v xml:space="preserve"> 7.33 </v>
      </c>
      <c r="G117" s="6"/>
      <c r="H117" s="3" t="str">
        <f>"Mean flow"</f>
        <v>Mean flow</v>
      </c>
      <c r="I117" s="4" t="str">
        <f>" 0.63 "</f>
        <v xml:space="preserve"> 0.63 </v>
      </c>
      <c r="J117" s="2"/>
      <c r="K117" s="3" t="str">
        <f>"Mean quality"</f>
        <v>Mean quality</v>
      </c>
      <c r="L117" s="4" t="str">
        <f>" 7.35 "</f>
        <v xml:space="preserve"> 7.35 </v>
      </c>
      <c r="M117" s="6"/>
      <c r="N117" s="3" t="str">
        <f>"Mean flow"</f>
        <v>Mean flow</v>
      </c>
      <c r="O117" s="4" t="str">
        <f>" 0.63 "</f>
        <v xml:space="preserve"> 0.63 </v>
      </c>
      <c r="P117" s="2"/>
      <c r="Q117" s="3" t="str">
        <f>"Mean quality"</f>
        <v>Mean quality</v>
      </c>
      <c r="R117" s="4" t="str">
        <f>" 7.46 "</f>
        <v xml:space="preserve"> 7.46 </v>
      </c>
      <c r="S117" s="6"/>
    </row>
    <row r="118" spans="1:19" x14ac:dyDescent="0.25">
      <c r="A118" s="6"/>
      <c r="B118" s="3" t="str">
        <f>"95% exceedence flow"</f>
        <v>95% exceedence flow</v>
      </c>
      <c r="C118" s="4" t="str">
        <f>" 0.09 "</f>
        <v xml:space="preserve"> 0.09 </v>
      </c>
      <c r="D118" s="2"/>
      <c r="E118" s="3" t="str">
        <f>"Standard deviation of quality"</f>
        <v>Standard deviation of quality</v>
      </c>
      <c r="F118" s="4" t="str">
        <f>" 0.61 "</f>
        <v xml:space="preserve"> 0.61 </v>
      </c>
      <c r="G118" s="6"/>
      <c r="H118" s="3" t="str">
        <f>"95% exceedence flow"</f>
        <v>95% exceedence flow</v>
      </c>
      <c r="I118" s="4" t="str">
        <f>" 0.09 "</f>
        <v xml:space="preserve"> 0.09 </v>
      </c>
      <c r="J118" s="2"/>
      <c r="K118" s="3" t="str">
        <f>"Standard deviation of quality"</f>
        <v>Standard deviation of quality</v>
      </c>
      <c r="L118" s="4" t="str">
        <f>" 0.62 "</f>
        <v xml:space="preserve"> 0.62 </v>
      </c>
      <c r="M118" s="6"/>
      <c r="N118" s="3" t="str">
        <f>"95% exceedence flow"</f>
        <v>95% exceedence flow</v>
      </c>
      <c r="O118" s="4" t="str">
        <f>" 0.09 "</f>
        <v xml:space="preserve"> 0.09 </v>
      </c>
      <c r="P118" s="2"/>
      <c r="Q118" s="3" t="str">
        <f>"Standard deviation of quality"</f>
        <v>Standard deviation of quality</v>
      </c>
      <c r="R118" s="4" t="str">
        <f>" 0.70 "</f>
        <v xml:space="preserve"> 0.70 </v>
      </c>
      <c r="S118" s="6"/>
    </row>
    <row r="119" spans="1:19" x14ac:dyDescent="0.25">
      <c r="A119" s="6"/>
      <c r="B119" s="3" t="str">
        <f>"Mean quality"</f>
        <v>Mean quality</v>
      </c>
      <c r="C119" s="4" t="str">
        <f>" 7.18 "</f>
        <v xml:space="preserve"> 7.18 </v>
      </c>
      <c r="D119" s="2"/>
      <c r="E119" s="3" t="str">
        <f>"90-percentile quality"</f>
        <v>90-percentile quality</v>
      </c>
      <c r="F119" s="4" t="str">
        <f>" 8.15 "</f>
        <v xml:space="preserve"> 8.15 </v>
      </c>
      <c r="G119" s="6"/>
      <c r="H119" s="3" t="str">
        <f>"Mean quality"</f>
        <v>Mean quality</v>
      </c>
      <c r="I119" s="4" t="str">
        <f>" 7.18 "</f>
        <v xml:space="preserve"> 7.18 </v>
      </c>
      <c r="J119" s="2"/>
      <c r="K119" s="3" t="str">
        <f>"90-percentile quality"</f>
        <v>90-percentile quality</v>
      </c>
      <c r="L119" s="4" t="str">
        <f>" 8.17 "</f>
        <v xml:space="preserve"> 8.17 </v>
      </c>
      <c r="M119" s="6"/>
      <c r="N119" s="3" t="str">
        <f>"Mean quality"</f>
        <v>Mean quality</v>
      </c>
      <c r="O119" s="4" t="str">
        <f>" 7.18 "</f>
        <v xml:space="preserve"> 7.18 </v>
      </c>
      <c r="P119" s="2"/>
      <c r="Q119" s="3" t="str">
        <f>"90-percentile quality"</f>
        <v>90-percentile quality</v>
      </c>
      <c r="R119" s="4" t="str">
        <f>" 8.35 "</f>
        <v xml:space="preserve"> 8.35 </v>
      </c>
      <c r="S119" s="6"/>
    </row>
    <row r="120" spans="1:19" x14ac:dyDescent="0.25">
      <c r="A120" s="6"/>
      <c r="B120" s="3" t="str">
        <f>"Standard deviation of quality"</f>
        <v>Standard deviation of quality</v>
      </c>
      <c r="C120" s="4" t="str">
        <f>" 0.60 "</f>
        <v xml:space="preserve"> 0.60 </v>
      </c>
      <c r="D120" s="2"/>
      <c r="E120" s="3" t="str">
        <f>"95-percentile quality"</f>
        <v>95-percentile quality</v>
      </c>
      <c r="F120" s="4" t="str">
        <f>" 8.40 "</f>
        <v xml:space="preserve"> 8.40 </v>
      </c>
      <c r="G120" s="6"/>
      <c r="H120" s="3" t="str">
        <f>"Standard deviation of quality"</f>
        <v>Standard deviation of quality</v>
      </c>
      <c r="I120" s="4" t="str">
        <f>" 0.60 "</f>
        <v xml:space="preserve"> 0.60 </v>
      </c>
      <c r="J120" s="2"/>
      <c r="K120" s="3" t="str">
        <f>"95-percentile quality"</f>
        <v>95-percentile quality</v>
      </c>
      <c r="L120" s="4" t="str">
        <f>" 8.46 "</f>
        <v xml:space="preserve"> 8.46 </v>
      </c>
      <c r="M120" s="6"/>
      <c r="N120" s="3" t="str">
        <f>"Standard deviation of quality"</f>
        <v>Standard deviation of quality</v>
      </c>
      <c r="O120" s="4" t="str">
        <f>" 0.60 "</f>
        <v xml:space="preserve"> 0.60 </v>
      </c>
      <c r="P120" s="2"/>
      <c r="Q120" s="3" t="str">
        <f>"95-percentile quality"</f>
        <v>95-percentile quality</v>
      </c>
      <c r="R120" s="4" t="str">
        <f>" 8.73 "</f>
        <v xml:space="preserve"> 8.73 </v>
      </c>
      <c r="S120" s="6"/>
    </row>
    <row r="121" spans="1:19" x14ac:dyDescent="0.25">
      <c r="A121" s="6"/>
      <c r="B121" s="3" t="str">
        <f>"             90-percentile"</f>
        <v xml:space="preserve">             90-percentile</v>
      </c>
      <c r="C121" s="4" t="str">
        <f>" 7.96 "</f>
        <v xml:space="preserve"> 7.96 </v>
      </c>
      <c r="D121" s="2"/>
      <c r="E121" s="3" t="str">
        <f>"99-percentile quality"</f>
        <v>99-percentile quality</v>
      </c>
      <c r="F121" s="4" t="str">
        <f>" 8.89 "</f>
        <v xml:space="preserve"> 8.89 </v>
      </c>
      <c r="G121" s="6"/>
      <c r="H121" s="3" t="str">
        <f>"             90-percentile"</f>
        <v xml:space="preserve">             90-percentile</v>
      </c>
      <c r="I121" s="4" t="str">
        <f>" 7.96 "</f>
        <v xml:space="preserve"> 7.96 </v>
      </c>
      <c r="J121" s="2"/>
      <c r="K121" s="3" t="str">
        <f>"99-percentile quality"</f>
        <v>99-percentile quality</v>
      </c>
      <c r="L121" s="4" t="str">
        <f>" 9.00 "</f>
        <v xml:space="preserve"> 9.00 </v>
      </c>
      <c r="M121" s="6"/>
      <c r="N121" s="3" t="str">
        <f>"             90-percentile"</f>
        <v xml:space="preserve">             90-percentile</v>
      </c>
      <c r="O121" s="4" t="str">
        <f>" 7.96 "</f>
        <v xml:space="preserve"> 7.96 </v>
      </c>
      <c r="P121" s="2"/>
      <c r="Q121" s="3" t="str">
        <f>"99-percentile quality"</f>
        <v>99-percentile quality</v>
      </c>
      <c r="R121" s="4" t="str">
        <f>" 9.69 "</f>
        <v xml:space="preserve"> 9.69 </v>
      </c>
      <c r="S121" s="6"/>
    </row>
    <row r="122" spans="1:19" x14ac:dyDescent="0.25">
      <c r="A122" s="6"/>
      <c r="B122" s="2"/>
      <c r="C122" s="2"/>
      <c r="D122" s="2"/>
      <c r="E122" s="2"/>
      <c r="F122" s="2"/>
      <c r="G122" s="6"/>
      <c r="H122" s="2"/>
      <c r="I122" s="2"/>
      <c r="J122" s="2"/>
      <c r="K122" s="2"/>
      <c r="L122" s="2"/>
      <c r="M122" s="6"/>
      <c r="N122" s="2"/>
      <c r="O122" s="2"/>
      <c r="P122" s="2"/>
      <c r="Q122" s="2"/>
      <c r="R122" s="2"/>
      <c r="S122" s="6"/>
    </row>
    <row r="123" spans="1:19" x14ac:dyDescent="0.25">
      <c r="A123" s="6"/>
      <c r="B123" s="1" t="str">
        <f>"DISCHARGE DATA"</f>
        <v>DISCHARGE DATA</v>
      </c>
      <c r="C123" s="2"/>
      <c r="D123" s="2"/>
      <c r="E123" s="1" t="str">
        <f>"DISCHARGE QUALITY"</f>
        <v>DISCHARGE QUALITY</v>
      </c>
      <c r="F123" s="2"/>
      <c r="G123" s="6"/>
      <c r="H123" s="1" t="str">
        <f>"DISCHARGE DATA"</f>
        <v>DISCHARGE DATA</v>
      </c>
      <c r="I123" s="2"/>
      <c r="J123" s="2"/>
      <c r="K123" s="1" t="str">
        <f>"DISCHARGE QUALITY"</f>
        <v>DISCHARGE QUALITY</v>
      </c>
      <c r="L123" s="2"/>
      <c r="M123" s="6"/>
      <c r="N123" s="1" t="str">
        <f>"DISCHARGE DATA"</f>
        <v>DISCHARGE DATA</v>
      </c>
      <c r="O123" s="2"/>
      <c r="P123" s="2"/>
      <c r="Q123" s="1" t="str">
        <f>"DISCHARGE QUALITY"</f>
        <v>DISCHARGE QUALITY</v>
      </c>
      <c r="R123" s="2"/>
      <c r="S123" s="6"/>
    </row>
    <row r="124" spans="1:19" x14ac:dyDescent="0.25">
      <c r="A124" s="6"/>
      <c r="B124" s="3" t="str">
        <f>"Mean flow "</f>
        <v xml:space="preserve">Mean flow </v>
      </c>
      <c r="C124" s="4" t="str">
        <f>" 0.02 "</f>
        <v xml:space="preserve"> 0.02 </v>
      </c>
      <c r="D124" s="2"/>
      <c r="E124" s="3" t="str">
        <f>"Mean quality"</f>
        <v>Mean quality</v>
      </c>
      <c r="F124" s="4" t="str">
        <f>" 10.15 "</f>
        <v xml:space="preserve"> 10.15 </v>
      </c>
      <c r="G124" s="6"/>
      <c r="H124" s="3" t="str">
        <f>"Mean flow "</f>
        <v xml:space="preserve">Mean flow </v>
      </c>
      <c r="I124" s="4" t="str">
        <f>" 0.02 "</f>
        <v xml:space="preserve"> 0.02 </v>
      </c>
      <c r="J124" s="2"/>
      <c r="K124" s="3" t="str">
        <f>"Mean quality"</f>
        <v>Mean quality</v>
      </c>
      <c r="L124" s="4" t="str">
        <f>" 10.15 "</f>
        <v xml:space="preserve"> 10.15 </v>
      </c>
      <c r="M124" s="6"/>
      <c r="N124" s="3" t="str">
        <f>"Mean flow "</f>
        <v xml:space="preserve">Mean flow </v>
      </c>
      <c r="O124" s="4" t="str">
        <f>" 0.03 "</f>
        <v xml:space="preserve"> 0.03 </v>
      </c>
      <c r="P124" s="2"/>
      <c r="Q124" s="3" t="str">
        <f>"Mean quality"</f>
        <v>Mean quality</v>
      </c>
      <c r="R124" s="4" t="str">
        <f>" 10.15 "</f>
        <v xml:space="preserve"> 10.15 </v>
      </c>
      <c r="S124" s="6"/>
    </row>
    <row r="125" spans="1:19" x14ac:dyDescent="0.25">
      <c r="A125" s="6"/>
      <c r="B125" s="3" t="str">
        <f>"Standard deviation of flow"</f>
        <v>Standard deviation of flow</v>
      </c>
      <c r="C125" s="4" t="str">
        <f>" 0.00 "</f>
        <v xml:space="preserve"> 0.00 </v>
      </c>
      <c r="D125" s="2"/>
      <c r="E125" s="3" t="str">
        <f>"Standard deviation of quality"</f>
        <v>Standard deviation of quality</v>
      </c>
      <c r="F125" s="4" t="str">
        <f>" 3.56 "</f>
        <v xml:space="preserve"> 3.56 </v>
      </c>
      <c r="G125" s="6"/>
      <c r="H125" s="3" t="str">
        <f>"Standard deviation of flow"</f>
        <v>Standard deviation of flow</v>
      </c>
      <c r="I125" s="4" t="str">
        <f>" 0.00 "</f>
        <v xml:space="preserve"> 0.00 </v>
      </c>
      <c r="J125" s="2"/>
      <c r="K125" s="3" t="str">
        <f>"Standard deviation of quality"</f>
        <v>Standard deviation of quality</v>
      </c>
      <c r="L125" s="4" t="str">
        <f>" 3.56 "</f>
        <v xml:space="preserve"> 3.56 </v>
      </c>
      <c r="M125" s="6"/>
      <c r="N125" s="3" t="str">
        <f>"Standard deviation of flow"</f>
        <v>Standard deviation of flow</v>
      </c>
      <c r="O125" s="4" t="str">
        <f>" 0.00 "</f>
        <v xml:space="preserve"> 0.00 </v>
      </c>
      <c r="P125" s="2"/>
      <c r="Q125" s="3" t="str">
        <f>"Standard deviation of quality"</f>
        <v>Standard deviation of quality</v>
      </c>
      <c r="R125" s="4" t="str">
        <f>" 3.56 "</f>
        <v xml:space="preserve"> 3.56 </v>
      </c>
      <c r="S125" s="6"/>
    </row>
    <row r="126" spans="1:19" x14ac:dyDescent="0.25">
      <c r="A126" s="6"/>
      <c r="B126" s="3" t="str">
        <f>"Mean quality "</f>
        <v xml:space="preserve">Mean quality </v>
      </c>
      <c r="C126" s="4" t="str">
        <f>" 10.00 "</f>
        <v xml:space="preserve"> 10.00 </v>
      </c>
      <c r="D126" s="2"/>
      <c r="E126" s="3" t="str">
        <f>"95-percentile quality"</f>
        <v>95-percentile quality</v>
      </c>
      <c r="F126" s="4" t="str">
        <f>" 16.80 "</f>
        <v xml:space="preserve"> 16.80 </v>
      </c>
      <c r="G126" s="6"/>
      <c r="H126" s="3" t="str">
        <f>"Mean quality "</f>
        <v xml:space="preserve">Mean quality </v>
      </c>
      <c r="I126" s="4" t="str">
        <f>" 10.00 "</f>
        <v xml:space="preserve"> 10.00 </v>
      </c>
      <c r="J126" s="2"/>
      <c r="K126" s="3" t="str">
        <f>"95-percentile quality"</f>
        <v>95-percentile quality</v>
      </c>
      <c r="L126" s="4" t="str">
        <f>" 16.80 "</f>
        <v xml:space="preserve"> 16.80 </v>
      </c>
      <c r="M126" s="6"/>
      <c r="N126" s="3" t="str">
        <f>"Mean quality "</f>
        <v xml:space="preserve">Mean quality </v>
      </c>
      <c r="O126" s="4" t="str">
        <f>" 10.00 "</f>
        <v xml:space="preserve"> 10.00 </v>
      </c>
      <c r="P126" s="2"/>
      <c r="Q126" s="3" t="str">
        <f>"95-percentile quality"</f>
        <v>95-percentile quality</v>
      </c>
      <c r="R126" s="4" t="str">
        <f>" 16.80 "</f>
        <v xml:space="preserve"> 16.80 </v>
      </c>
      <c r="S126" s="6"/>
    </row>
    <row r="127" spans="1:19" x14ac:dyDescent="0.25">
      <c r="A127" s="6"/>
      <c r="B127" s="3" t="str">
        <f>"Standard deviation of quality"</f>
        <v>Standard deviation of quality</v>
      </c>
      <c r="C127" s="4" t="str">
        <f>" 3.59 "</f>
        <v xml:space="preserve"> 3.59 </v>
      </c>
      <c r="D127" s="2"/>
      <c r="E127" s="3" t="str">
        <f>"99-percentile quality"</f>
        <v>99-percentile quality</v>
      </c>
      <c r="F127" s="4" t="str">
        <f>" 20.87 "</f>
        <v xml:space="preserve"> 20.87 </v>
      </c>
      <c r="G127" s="6"/>
      <c r="H127" s="3" t="str">
        <f>"Standard deviation of quality"</f>
        <v>Standard deviation of quality</v>
      </c>
      <c r="I127" s="4" t="str">
        <f>" 3.59 "</f>
        <v xml:space="preserve"> 3.59 </v>
      </c>
      <c r="J127" s="2"/>
      <c r="K127" s="3" t="str">
        <f>"99-percentile quality"</f>
        <v>99-percentile quality</v>
      </c>
      <c r="L127" s="4" t="str">
        <f>" 20.87 "</f>
        <v xml:space="preserve"> 20.87 </v>
      </c>
      <c r="M127" s="6"/>
      <c r="N127" s="3" t="str">
        <f>"Standard deviation of quality"</f>
        <v>Standard deviation of quality</v>
      </c>
      <c r="O127" s="4" t="str">
        <f>" 3.59 "</f>
        <v xml:space="preserve"> 3.59 </v>
      </c>
      <c r="P127" s="2"/>
      <c r="Q127" s="3" t="str">
        <f>"99-percentile quality"</f>
        <v>99-percentile quality</v>
      </c>
      <c r="R127" s="4" t="str">
        <f>" 20.87 "</f>
        <v xml:space="preserve"> 20.87 </v>
      </c>
      <c r="S127" s="6"/>
    </row>
    <row r="128" spans="1:19" x14ac:dyDescent="0.25">
      <c r="A128" s="6"/>
      <c r="B128" s="3" t="str">
        <f>"   ... or 95-percentile"</f>
        <v xml:space="preserve">   ... or 95-percentile</v>
      </c>
      <c r="C128" s="4" t="str">
        <f>" 16.67 "</f>
        <v xml:space="preserve"> 16.67 </v>
      </c>
      <c r="D128" s="2"/>
      <c r="E128" s="3" t="str">
        <f>"99.5-percentile quality"</f>
        <v>99.5-percentile quality</v>
      </c>
      <c r="F128" s="4" t="str">
        <f>" 22.14 "</f>
        <v xml:space="preserve"> 22.14 </v>
      </c>
      <c r="G128" s="6"/>
      <c r="H128" s="3" t="str">
        <f>"   ... or 95-percentile"</f>
        <v xml:space="preserve">   ... or 95-percentile</v>
      </c>
      <c r="I128" s="4" t="str">
        <f>" 16.67 "</f>
        <v xml:space="preserve"> 16.67 </v>
      </c>
      <c r="J128" s="2"/>
      <c r="K128" s="3" t="str">
        <f>"99.5-percentile quality"</f>
        <v>99.5-percentile quality</v>
      </c>
      <c r="L128" s="4" t="str">
        <f>" 22.14 "</f>
        <v xml:space="preserve"> 22.14 </v>
      </c>
      <c r="M128" s="6"/>
      <c r="N128" s="3" t="str">
        <f>"   ... or 95-percentile"</f>
        <v xml:space="preserve">   ... or 95-percentile</v>
      </c>
      <c r="O128" s="4" t="str">
        <f>" 16.67 "</f>
        <v xml:space="preserve"> 16.67 </v>
      </c>
      <c r="P128" s="2"/>
      <c r="Q128" s="3" t="str">
        <f>"99.5-percentile quality"</f>
        <v>99.5-percentile quality</v>
      </c>
      <c r="R128" s="4" t="str">
        <f>" 22.14 "</f>
        <v xml:space="preserve"> 22.14 </v>
      </c>
      <c r="S128" s="6"/>
    </row>
    <row r="129" spans="1:19" x14ac:dyDescent="0.25">
      <c r="A129" s="6"/>
      <c r="G129" s="6"/>
      <c r="M129" s="6"/>
      <c r="S129" s="6"/>
    </row>
    <row r="130" spans="1:19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ermit File" ma:contentTypeID="0x0101000E9AD557692E154F9D2697C8C6432F7600A4CEBB1D6A641A4E837F1E441D55020D" ma:contentTypeVersion="47" ma:contentTypeDescription="Create a new document." ma:contentTypeScope="" ma:versionID="6166f242b60acedb9b347ca2f7eb299a">
  <xsd:schema xmlns:xsd="http://www.w3.org/2001/XMLSchema" xmlns:xs="http://www.w3.org/2001/XMLSchema" xmlns:p="http://schemas.microsoft.com/office/2006/metadata/properties" xmlns:ns2="8595a0ec-c146-4eeb-925a-270f4bc4be63" xmlns:ns3="662745e8-e224-48e8-a2e3-254862b8c2f5" xmlns:ns4="eebef177-55b5-4448-a5fb-28ea454417ee" xmlns:ns5="5ffd8e36-f429-4edc-ab50-c5be84842779" xmlns:ns6="13c3dd66-95f8-469c-aefa-160cfe61df31" targetNamespace="http://schemas.microsoft.com/office/2006/metadata/properties" ma:root="true" ma:fieldsID="4d4ff7a7626ba3a1fb4aa6e543c52b5b" ns2:_="" ns3:_="" ns4:_="" ns5:_="" ns6:_="">
    <xsd:import namespace="8595a0ec-c146-4eeb-925a-270f4bc4be63"/>
    <xsd:import namespace="662745e8-e224-48e8-a2e3-254862b8c2f5"/>
    <xsd:import namespace="eebef177-55b5-4448-a5fb-28ea454417ee"/>
    <xsd:import namespace="5ffd8e36-f429-4edc-ab50-c5be84842779"/>
    <xsd:import namespace="13c3dd66-95f8-469c-aefa-160cfe61df31"/>
    <xsd:element name="properties">
      <xsd:complexType>
        <xsd:sequence>
          <xsd:element name="documentManagement">
            <xsd:complexType>
              <xsd:all>
                <xsd:element ref="ns2:d3564be703db47eda46ec138bc1ba091" minOccurs="0"/>
                <xsd:element ref="ns3:TaxCatchAll" minOccurs="0"/>
                <xsd:element ref="ns3:TaxCatchAllLabel" minOccurs="0"/>
                <xsd:element ref="ns4:DocumentDate"/>
                <xsd:element ref="ns4:EAReceivedDate"/>
                <xsd:element ref="ns4:ExternalAuthor"/>
                <xsd:element ref="ns2:c52c737aaa794145b5e1ab0b33580095" minOccurs="0"/>
                <xsd:element ref="ns2:ncb1594ff73b435992550f571a78c184" minOccurs="0"/>
                <xsd:element ref="ns2:p517ccc45a7e4674ae144f9410147bb3" minOccurs="0"/>
                <xsd:element ref="ns2:f91636ce86a943e5a85e589048b494b2" minOccurs="0"/>
                <xsd:element ref="ns4:PermitNumber"/>
                <xsd:element ref="ns4:OtherReference" minOccurs="0"/>
                <xsd:element ref="ns4:EPRNumber" minOccurs="0"/>
                <xsd:element ref="ns4:Customer_x002f_OperatorName"/>
                <xsd:element ref="ns4:SiteName"/>
                <xsd:element ref="ns4:FacilityAddress"/>
                <xsd:element ref="ns4:FacilityAddressPostcode"/>
                <xsd:element ref="ns2:ga477587807b4e8dbd9d142e03c014fa" minOccurs="0"/>
                <xsd:element ref="ns2:la34db7254a948be973d9738b9f07ba7" minOccurs="0"/>
                <xsd:element ref="ns2:bf174f8632e04660b372cf372c1956fe" minOccurs="0"/>
                <xsd:element ref="ns2:mb0b523b12654e57a98fd73f451222f6" minOccurs="0"/>
                <xsd:element ref="ns4:CessationDate" minOccurs="0"/>
                <xsd:element ref="ns4:NationalSecurity" minOccurs="0"/>
                <xsd:element ref="ns2:ed3cfd1978f244c4af5dc9d642a18018" minOccurs="0"/>
                <xsd:element ref="ns4:CurrentPermit" minOccurs="0"/>
                <xsd:element ref="ns5:EventLink" minOccurs="0"/>
                <xsd:element ref="ns2:m63bd5d2e6554c968a3f4ff9289590fe" minOccurs="0"/>
                <xsd:element ref="ns2:d22401b98bfe4ec6b8dacbec81c66a1e" minOccurs="0"/>
                <xsd:element ref="ns6:MediaServiceMetadata" minOccurs="0"/>
                <xsd:element ref="ns6:MediaServiceFastMetadata" minOccurs="0"/>
                <xsd:element ref="ns6:MediaServiceAutoTags" minOccurs="0"/>
                <xsd:element ref="ns6:MediaServiceOCR" minOccurs="0"/>
                <xsd:element ref="ns6:MediaServiceGenerationTime" minOccurs="0"/>
                <xsd:element ref="ns6:MediaServiceEventHashCode" minOccurs="0"/>
                <xsd:element ref="ns6:MediaServiceDateTaken" minOccurs="0"/>
                <xsd:element ref="ns6:MediaServiceAutoKeyPoints" minOccurs="0"/>
                <xsd:element ref="ns6:MediaServiceKeyPoints" minOccurs="0"/>
                <xsd:element ref="ns6:MediaServiceLocation" minOccurs="0"/>
                <xsd:element ref="ns6:MediaLengthInSeconds" minOccurs="0"/>
                <xsd:element ref="ns2:SharedWithUsers" minOccurs="0"/>
                <xsd:element ref="ns2:SharedWithDetails" minOccurs="0"/>
                <xsd:element ref="ns6:lcf76f155ced4ddcb4097134ff3c332f" minOccurs="0"/>
                <xsd:element ref="ns6:MediaServiceObjectDetectorVersions" minOccurs="0"/>
                <xsd:element ref="ns6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95a0ec-c146-4eeb-925a-270f4bc4be63" elementFormDefault="qualified">
    <xsd:import namespace="http://schemas.microsoft.com/office/2006/documentManagement/types"/>
    <xsd:import namespace="http://schemas.microsoft.com/office/infopath/2007/PartnerControls"/>
    <xsd:element name="d3564be703db47eda46ec138bc1ba091" ma:index="8" ma:taxonomy="true" ma:internalName="d3564be703db47eda46ec138bc1ba091" ma:taxonomyFieldName="ActivityGrouping" ma:displayName="Activity Grouping" ma:default="8;#Unassigned|cb01650a-31a4-4ad3-af7c-01edd0cc5fa8" ma:fieldId="{d3564be7-03db-47ed-a46e-c138bc1ba091}" ma:sspId="d1117845-93f6-4da3-abaa-fcb4fa669c78" ma:termSetId="c26d6a6f-914d-4d0c-bc0a-7a709b431a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52c737aaa794145b5e1ab0b33580095" ma:index="15" ma:taxonomy="true" ma:internalName="c52c737aaa794145b5e1ab0b33580095" ma:taxonomyFieldName="DisclosureStatus" ma:displayName="Disclosure Status" ma:fieldId="{c52c737a-aa79-4145-b5e1-ab0b33580095}" ma:sspId="d1117845-93f6-4da3-abaa-fcb4fa669c78" ma:termSetId="be5a9b7f-442f-4603-a8b8-76f5f1ec70c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cb1594ff73b435992550f571a78c184" ma:index="17" ma:taxonomy="true" ma:internalName="ncb1594ff73b435992550f571a78c184" ma:taxonomyFieldName="Regime" ma:displayName="Regime" ma:fieldId="{7cb1594f-f73b-4359-9255-0f571a78c184}" ma:taxonomyMulti="true" ma:sspId="d1117845-93f6-4da3-abaa-fcb4fa669c78" ma:termSetId="79e1bcb8-4c43-4df4-ad15-4ec7b927a84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517ccc45a7e4674ae144f9410147bb3" ma:index="19" ma:taxonomy="true" ma:internalName="p517ccc45a7e4674ae144f9410147bb3" ma:taxonomyFieldName="RegulatedActivityClass" ma:displayName="Regulated Activity Class" ma:fieldId="{9517ccc4-5a7e-4674-ae14-4f9410147bb3}" ma:taxonomyMulti="true" ma:sspId="d1117845-93f6-4da3-abaa-fcb4fa669c78" ma:termSetId="41ee975a-727d-4c90-bb75-bfa3c8eb72d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91636ce86a943e5a85e589048b494b2" ma:index="21" nillable="true" ma:taxonomy="true" ma:internalName="f91636ce86a943e5a85e589048b494b2" ma:taxonomyFieldName="RegulatedActivitySub_x002d_Class" ma:displayName="Regulated Activity Sub-Class" ma:fieldId="{f91636ce-86a9-43e5-a85e-589048b494b2}" ma:taxonomyMulti="true" ma:sspId="d1117845-93f6-4da3-abaa-fcb4fa669c78" ma:termSetId="3c5ee371-f842-4910-b55e-fca1c7c0857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a477587807b4e8dbd9d142e03c014fa" ma:index="30" nillable="true" ma:taxonomy="true" ma:internalName="ga477587807b4e8dbd9d142e03c014fa" ma:taxonomyFieldName="Catchment" ma:displayName="Catchment" ma:fieldId="{0a477587-807b-4e8d-bd9d-142e03c014fa}" ma:sspId="d1117845-93f6-4da3-abaa-fcb4fa669c78" ma:termSetId="a3d7cc5e-3544-4097-ac09-3626e2dfc58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a34db7254a948be973d9738b9f07ba7" ma:index="32" ma:taxonomy="true" ma:internalName="la34db7254a948be973d9738b9f07ba7" ma:taxonomyFieldName="TypeofPermit" ma:displayName="Type of Permit" ma:default="9;#N/A - Do not select for New Permits|0430e4c2-ee0a-4b2d-9af6-df735aafbcb2" ma:fieldId="{5a34db72-54a9-48be-973d-9738b9f07ba7}" ma:taxonomyMulti="true" ma:sspId="d1117845-93f6-4da3-abaa-fcb4fa669c78" ma:termSetId="7d47b671-38b6-4716-ba29-cfb8e9b10e5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f174f8632e04660b372cf372c1956fe" ma:index="34" nillable="true" ma:taxonomy="true" ma:internalName="bf174f8632e04660b372cf372c1956fe" ma:taxonomyFieldName="StandardRulesID" ma:displayName="StandardRulesID" ma:fieldId="{bf174f86-32e0-4660-b372-cf372c1956fe}" ma:taxonomyMulti="true" ma:sspId="d1117845-93f6-4da3-abaa-fcb4fa669c78" ma:termSetId="8e138792-83d5-43de-b6e8-7ca5b827ccd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0b523b12654e57a98fd73f451222f6" ma:index="36" nillable="true" ma:taxonomy="true" ma:internalName="mb0b523b12654e57a98fd73f451222f6" ma:taxonomyFieldName="CessationStatus" ma:displayName="Cessation Status" ma:fieldId="{6b0b523b-1265-4e57-a98f-d73f451222f6}" ma:sspId="d1117845-93f6-4da3-abaa-fcb4fa669c78" ma:termSetId="8efff926-82ca-4afb-81c6-bc22e4acf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3cfd1978f244c4af5dc9d642a18018" ma:index="40" nillable="true" ma:taxonomy="true" ma:internalName="ed3cfd1978f244c4af5dc9d642a18018" ma:taxonomyFieldName="MajorProjectID" ma:displayName="Major Project ID" ma:fieldId="{ed3cfd19-78f2-44c4-af5d-c9d642a18018}" ma:sspId="d1117845-93f6-4da3-abaa-fcb4fa669c78" ma:termSetId="d4a353e3-1bf8-453f-805b-242d6a6db9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63bd5d2e6554c968a3f4ff9289590fe" ma:index="44" nillable="true" ma:taxonomy="true" ma:internalName="m63bd5d2e6554c968a3f4ff9289590fe" ma:taxonomyFieldName="EventType1" ma:displayName="Event Type" ma:readOnly="false" ma:fieldId="{663bd5d2-e655-4c96-8a3f-4ff9289590fe}" ma:sspId="d1117845-93f6-4da3-abaa-fcb4fa669c78" ma:termSetId="6eb2a3b8-caae-450e-a142-afb8c0df352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22401b98bfe4ec6b8dacbec81c66a1e" ma:index="46" nillable="true" ma:taxonomy="true" ma:internalName="d22401b98bfe4ec6b8dacbec81c66a1e" ma:taxonomyFieldName="PermitDocumentType" ma:displayName="Permit Document Type" ma:readOnly="false" ma:fieldId="{d22401b9-8bfe-4ec6-b8da-cbec81c66a1e}" ma:sspId="d1117845-93f6-4da3-abaa-fcb4fa669c78" ma:termSetId="1e9654a3-ed8b-47e0-af9b-cd306150e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5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6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2745e8-e224-48e8-a2e3-254862b8c2f5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92e41c19-1047-4874-acff-e817b08e966f}" ma:internalName="TaxCatchAll" ma:showField="CatchAllData" ma:web="8595a0ec-c146-4eeb-925a-270f4bc4be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92e41c19-1047-4874-acff-e817b08e966f}" ma:internalName="TaxCatchAllLabel" ma:readOnly="true" ma:showField="CatchAllDataLabel" ma:web="8595a0ec-c146-4eeb-925a-270f4bc4be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bef177-55b5-4448-a5fb-28ea454417ee" elementFormDefault="qualified">
    <xsd:import namespace="http://schemas.microsoft.com/office/2006/documentManagement/types"/>
    <xsd:import namespace="http://schemas.microsoft.com/office/infopath/2007/PartnerControls"/>
    <xsd:element name="DocumentDate" ma:index="12" ma:displayName="Document Date" ma:format="DateOnly" ma:internalName="DocumentDate">
      <xsd:simpleType>
        <xsd:restriction base="dms:DateTime"/>
      </xsd:simpleType>
    </xsd:element>
    <xsd:element name="EAReceivedDate" ma:index="13" ma:displayName="Received Date" ma:format="DateOnly" ma:internalName="EAReceivedDate">
      <xsd:simpleType>
        <xsd:restriction base="dms:DateTime"/>
      </xsd:simpleType>
    </xsd:element>
    <xsd:element name="ExternalAuthor" ma:index="14" ma:displayName="Document Author" ma:internalName="ExternalAuthor">
      <xsd:simpleType>
        <xsd:restriction base="dms:Text">
          <xsd:maxLength value="255"/>
        </xsd:restriction>
      </xsd:simpleType>
    </xsd:element>
    <xsd:element name="PermitNumber" ma:index="23" ma:displayName="Permit Number" ma:internalName="PermitNumber">
      <xsd:simpleType>
        <xsd:restriction base="dms:Text">
          <xsd:maxLength value="255"/>
        </xsd:restriction>
      </xsd:simpleType>
    </xsd:element>
    <xsd:element name="OtherReference" ma:index="24" nillable="true" ma:displayName="Other Reference" ma:internalName="OtherReference">
      <xsd:simpleType>
        <xsd:restriction base="dms:Text">
          <xsd:maxLength value="255"/>
        </xsd:restriction>
      </xsd:simpleType>
    </xsd:element>
    <xsd:element name="EPRNumber" ma:index="25" nillable="true" ma:displayName="EPR Number" ma:internalName="EPRNumber">
      <xsd:simpleType>
        <xsd:restriction base="dms:Text">
          <xsd:maxLength value="255"/>
        </xsd:restriction>
      </xsd:simpleType>
    </xsd:element>
    <xsd:element name="Customer_x002f_OperatorName" ma:index="26" ma:displayName="Customer / Operator Name" ma:internalName="Customer_x002F_OperatorName">
      <xsd:simpleType>
        <xsd:restriction base="dms:Text">
          <xsd:maxLength value="255"/>
        </xsd:restriction>
      </xsd:simpleType>
    </xsd:element>
    <xsd:element name="SiteName" ma:index="27" ma:displayName="Facility Name" ma:internalName="SiteName">
      <xsd:simpleType>
        <xsd:restriction base="dms:Text">
          <xsd:maxLength value="255"/>
        </xsd:restriction>
      </xsd:simpleType>
    </xsd:element>
    <xsd:element name="FacilityAddress" ma:index="28" ma:displayName="Facility Address" ma:internalName="FacilityAddress">
      <xsd:simpleType>
        <xsd:restriction base="dms:Note">
          <xsd:maxLength value="255"/>
        </xsd:restriction>
      </xsd:simpleType>
    </xsd:element>
    <xsd:element name="FacilityAddressPostcode" ma:index="29" ma:displayName="Facility Address Postcode" ma:internalName="FacilityAddressPostcode">
      <xsd:simpleType>
        <xsd:restriction base="dms:Text">
          <xsd:maxLength value="255"/>
        </xsd:restriction>
      </xsd:simpleType>
    </xsd:element>
    <xsd:element name="CessationDate" ma:index="38" nillable="true" ma:displayName="Cessation Date" ma:format="DateOnly" ma:internalName="CessationDate">
      <xsd:simpleType>
        <xsd:restriction base="dms:DateTime"/>
      </xsd:simpleType>
    </xsd:element>
    <xsd:element name="NationalSecurity" ma:index="39" nillable="true" ma:displayName="National Security" ma:default="No" ma:format="Dropdown" ma:internalName="NationalSecurity">
      <xsd:simpleType>
        <xsd:restriction base="dms:Choice">
          <xsd:enumeration value="Yes"/>
          <xsd:enumeration value="No"/>
        </xsd:restriction>
      </xsd:simpleType>
    </xsd:element>
    <xsd:element name="CurrentPermit" ma:index="42" nillable="true" ma:displayName="Current Permit" ma:default="N/A - Do not select for New Permits" ma:format="Dropdown" ma:internalName="CurrentPermit">
      <xsd:simpleType>
        <xsd:restriction base="dms:Choice">
          <xsd:enumeration value="Yes"/>
          <xsd:enumeration value="No"/>
          <xsd:enumeration value="N/A - Do not select for New Permit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fd8e36-f429-4edc-ab50-c5be84842779" elementFormDefault="qualified">
    <xsd:import namespace="http://schemas.microsoft.com/office/2006/documentManagement/types"/>
    <xsd:import namespace="http://schemas.microsoft.com/office/infopath/2007/PartnerControls"/>
    <xsd:element name="EventLink" ma:index="43" nillable="true" ma:displayName="Event Link" ma:internalName="EventLink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c3dd66-95f8-469c-aefa-160cfe61df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50" nillable="true" ma:displayName="Tags" ma:internalName="MediaServiceAutoTags" ma:readOnly="true">
      <xsd:simpleType>
        <xsd:restriction base="dms:Text"/>
      </xsd:simpleType>
    </xsd:element>
    <xsd:element name="MediaServiceOCR" ma:index="5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5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5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5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5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5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57" nillable="true" ma:displayName="Location" ma:internalName="MediaServiceLocation" ma:readOnly="true">
      <xsd:simpleType>
        <xsd:restriction base="dms:Text"/>
      </xsd:simpleType>
    </xsd:element>
    <xsd:element name="MediaLengthInSeconds" ma:index="5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62" nillable="true" ma:taxonomy="true" ma:internalName="lcf76f155ced4ddcb4097134ff3c332f" ma:taxonomyFieldName="MediaServiceImageTags" ma:displayName="Image Tags" ma:readOnly="false" ma:fieldId="{5cf76f15-5ced-4ddc-b409-7134ff3c332f}" ma:taxonomyMulti="true" ma:sspId="d1117845-93f6-4da3-abaa-fcb4fa669c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6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6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3c3dd66-95f8-469c-aefa-160cfe61df31">
      <Terms xmlns="http://schemas.microsoft.com/office/infopath/2007/PartnerControls"/>
    </lcf76f155ced4ddcb4097134ff3c332f>
    <TaxCatchAll xmlns="662745e8-e224-48e8-a2e3-254862b8c2f5">
      <Value>181</Value>
      <Value>12</Value>
      <Value>10</Value>
      <Value>9</Value>
      <Value>38</Value>
    </TaxCatchAll>
    <EAReceivedDate xmlns="eebef177-55b5-4448-a5fb-28ea454417ee">2024-11-28T00:00:00+00:00</EAReceivedDate>
    <c52c737aaa794145b5e1ab0b33580095 xmlns="8595a0ec-c146-4eeb-925a-270f4bc4be63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 Register</TermName>
          <TermId xmlns="http://schemas.microsoft.com/office/infopath/2007/PartnerControls">f1fcf6a6-5d97-4f1d-964e-a2f916eb1f18</TermId>
        </TermInfo>
      </Terms>
    </c52c737aaa794145b5e1ab0b33580095>
    <PermitNumber xmlns="eebef177-55b5-4448-a5fb-28ea454417ee">epr-fp3132ph</PermitNumber>
    <la34db7254a948be973d9738b9f07ba7 xmlns="8595a0ec-c146-4eeb-925a-270f4bc4be63">
      <Terms xmlns="http://schemas.microsoft.com/office/infopath/2007/PartnerControls">
        <TermInfo xmlns="http://schemas.microsoft.com/office/infopath/2007/PartnerControls">
          <TermName xmlns="http://schemas.microsoft.com/office/infopath/2007/PartnerControls">N/A - Do not select for New Permits</TermName>
          <TermId xmlns="http://schemas.microsoft.com/office/infopath/2007/PartnerControls">0430e4c2-ee0a-4b2d-9af6-df735aafbcb2</TermId>
        </TermInfo>
      </Terms>
    </la34db7254a948be973d9738b9f07ba7>
    <CessationDate xmlns="eebef177-55b5-4448-a5fb-28ea454417ee" xsi:nil="true"/>
    <NationalSecurity xmlns="eebef177-55b5-4448-a5fb-28ea454417ee">No</NationalSecurity>
    <OtherReference xmlns="eebef177-55b5-4448-a5fb-28ea454417ee" xsi:nil="true"/>
    <EventLink xmlns="5ffd8e36-f429-4edc-ab50-c5be84842779" xsi:nil="true"/>
    <d22401b98bfe4ec6b8dacbec81c66a1e xmlns="8595a0ec-c146-4eeb-925a-270f4bc4be63">
      <Terms xmlns="http://schemas.microsoft.com/office/infopath/2007/PartnerControls"/>
    </d22401b98bfe4ec6b8dacbec81c66a1e>
    <Customer_x002f_OperatorName xmlns="eebef177-55b5-4448-a5fb-28ea454417ee">Muntons PLC</Customer_x002f_OperatorName>
    <ncb1594ff73b435992550f571a78c184 xmlns="8595a0ec-c146-4eeb-925a-270f4bc4be63">
      <Terms xmlns="http://schemas.microsoft.com/office/infopath/2007/PartnerControls">
        <TermInfo xmlns="http://schemas.microsoft.com/office/infopath/2007/PartnerControls">
          <TermName xmlns="http://schemas.microsoft.com/office/infopath/2007/PartnerControls">EPR</TermName>
          <TermId xmlns="http://schemas.microsoft.com/office/infopath/2007/PartnerControls">0e5af97d-1a8c-4d8f-a20b-528a11cab1f6</TermId>
        </TermInfo>
      </Terms>
    </ncb1594ff73b435992550f571a78c184>
    <DocumentDate xmlns="eebef177-55b5-4448-a5fb-28ea454417ee">2024-11-28T00:00:00+00:00</DocumentDate>
    <f91636ce86a943e5a85e589048b494b2 xmlns="8595a0ec-c146-4eeb-925a-270f4bc4be63">
      <Terms xmlns="http://schemas.microsoft.com/office/infopath/2007/PartnerControls"/>
    </f91636ce86a943e5a85e589048b494b2>
    <bf174f8632e04660b372cf372c1956fe xmlns="8595a0ec-c146-4eeb-925a-270f4bc4be63">
      <Terms xmlns="http://schemas.microsoft.com/office/infopath/2007/PartnerControls"/>
    </bf174f8632e04660b372cf372c1956fe>
    <mb0b523b12654e57a98fd73f451222f6 xmlns="8595a0ec-c146-4eeb-925a-270f4bc4be63">
      <Terms xmlns="http://schemas.microsoft.com/office/infopath/2007/PartnerControls"/>
    </mb0b523b12654e57a98fd73f451222f6>
    <CurrentPermit xmlns="eebef177-55b5-4448-a5fb-28ea454417ee">N/A - Do not select for New Permits</CurrentPermit>
    <EPRNumber xmlns="eebef177-55b5-4448-a5fb-28ea454417ee">EPR/FP3132PH/V007</EPRNumber>
    <ed3cfd1978f244c4af5dc9d642a18018 xmlns="8595a0ec-c146-4eeb-925a-270f4bc4be63">
      <Terms xmlns="http://schemas.microsoft.com/office/infopath/2007/PartnerControls"/>
    </ed3cfd1978f244c4af5dc9d642a18018>
    <d3564be703db47eda46ec138bc1ba091 xmlns="8595a0ec-c146-4eeb-925a-270f4bc4be63">
      <Terms xmlns="http://schemas.microsoft.com/office/infopath/2007/PartnerControls">
        <TermInfo xmlns="http://schemas.microsoft.com/office/infopath/2007/PartnerControls">
          <TermName xmlns="http://schemas.microsoft.com/office/infopath/2007/PartnerControls">Application ＆ Associated Docs</TermName>
          <TermId xmlns="http://schemas.microsoft.com/office/infopath/2007/PartnerControls">5eadfd3c-6deb-44e1-b7e1-16accd427bec</TermId>
        </TermInfo>
      </Terms>
    </d3564be703db47eda46ec138bc1ba091>
    <FacilityAddressPostcode xmlns="eebef177-55b5-4448-a5fb-28ea454417ee">IP14 2AG</FacilityAddressPostcode>
    <ExternalAuthor xmlns="eebef177-55b5-4448-a5fb-28ea454417ee">Operator</ExternalAuthor>
    <SiteName xmlns="eebef177-55b5-4448-a5fb-28ea454417ee">Cedars Maltings</SiteName>
    <m63bd5d2e6554c968a3f4ff9289590fe xmlns="8595a0ec-c146-4eeb-925a-270f4bc4be63">
      <Terms xmlns="http://schemas.microsoft.com/office/infopath/2007/PartnerControls"/>
    </m63bd5d2e6554c968a3f4ff9289590fe>
    <p517ccc45a7e4674ae144f9410147bb3 xmlns="8595a0ec-c146-4eeb-925a-270f4bc4be63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Installations</TermName>
          <TermId xmlns="http://schemas.microsoft.com/office/infopath/2007/PartnerControls">645f1c9c-65df-490a-9ce3-4a2aa7c5ff7f</TermId>
        </TermInfo>
      </Terms>
    </p517ccc45a7e4674ae144f9410147bb3>
    <ga477587807b4e8dbd9d142e03c014fa xmlns="8595a0ec-c146-4eeb-925a-270f4bc4be63">
      <Terms xmlns="http://schemas.microsoft.com/office/infopath/2007/PartnerControls"/>
    </ga477587807b4e8dbd9d142e03c014fa>
    <FacilityAddress xmlns="eebef177-55b5-4448-a5fb-28ea454417ee">Cedars Maltings Needham Road Stowmarket Suffolk IP14 2AG</FacilityAddress>
  </documentManagement>
</p:properties>
</file>

<file path=customXml/itemProps1.xml><?xml version="1.0" encoding="utf-8"?>
<ds:datastoreItem xmlns:ds="http://schemas.openxmlformats.org/officeDocument/2006/customXml" ds:itemID="{948C7444-E575-46E1-970E-3ADC849A331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29C88C4-20B3-4F43-BEE5-1229305F976B}"/>
</file>

<file path=customXml/itemProps3.xml><?xml version="1.0" encoding="utf-8"?>
<ds:datastoreItem xmlns:ds="http://schemas.openxmlformats.org/officeDocument/2006/customXml" ds:itemID="{8176B3A9-102A-4476-8963-A70864ED8137}">
  <ds:schemaRefs>
    <ds:schemaRef ds:uri="http://schemas.microsoft.com/office/2006/metadata/properties"/>
    <ds:schemaRef ds:uri="http://schemas.microsoft.com/office/infopath/2007/PartnerControls"/>
    <ds:schemaRef ds:uri="e54e92f4-bcfd-4720-a444-4320c349d90a"/>
    <ds:schemaRef ds:uri="37fcde1d-4f0d-48cb-9333-7d51712572f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 Wells</dc:creator>
  <cp:lastModifiedBy>Kit Wells</cp:lastModifiedBy>
  <dcterms:created xsi:type="dcterms:W3CDTF">2024-11-28T12:23:36Z</dcterms:created>
  <dcterms:modified xsi:type="dcterms:W3CDTF">2024-11-28T14:53:09Z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0x0101000E9AD557692E154F9D2697C8C6432F7600A4CEBB1D6A641A4E837F1E441D55020D</vt:lpwstr>
  </property>
  <property fmtid="{D5CDD505-2E9C-101B-9397-08002B2CF9AE}" pid="3" name="MediaServiceImageTags">
    <vt:lpwstr/>
  </property>
  <property fmtid="{D5CDD505-2E9C-101B-9397-08002B2CF9AE}" pid="4" name="PermitDocumentType">
    <vt:lpwstr/>
  </property>
  <property fmtid="{D5CDD505-2E9C-101B-9397-08002B2CF9AE}" pid="5" name="TypeofPermit">
    <vt:lpwstr>9;#N/A - Do not select for New Permits|0430e4c2-ee0a-4b2d-9af6-df735aafbcb2</vt:lpwstr>
  </property>
  <property fmtid="{D5CDD505-2E9C-101B-9397-08002B2CF9AE}" pid="6" name="DisclosureStatus">
    <vt:lpwstr>181;#Public Register|f1fcf6a6-5d97-4f1d-964e-a2f916eb1f18</vt:lpwstr>
  </property>
  <property fmtid="{D5CDD505-2E9C-101B-9397-08002B2CF9AE}" pid="7" name="EventType1">
    <vt:lpwstr/>
  </property>
  <property fmtid="{D5CDD505-2E9C-101B-9397-08002B2CF9AE}" pid="8" name="ActivityGrouping">
    <vt:lpwstr>12;#Application ＆ Associated Docs|5eadfd3c-6deb-44e1-b7e1-16accd427bec</vt:lpwstr>
  </property>
  <property fmtid="{D5CDD505-2E9C-101B-9397-08002B2CF9AE}" pid="9" name="RegulatedActivityClass">
    <vt:lpwstr>38;#Installations|645f1c9c-65df-490a-9ce3-4a2aa7c5ff7f</vt:lpwstr>
  </property>
  <property fmtid="{D5CDD505-2E9C-101B-9397-08002B2CF9AE}" pid="10" name="Catchment">
    <vt:lpwstr/>
  </property>
  <property fmtid="{D5CDD505-2E9C-101B-9397-08002B2CF9AE}" pid="11" name="MajorProjectID">
    <vt:lpwstr/>
  </property>
  <property fmtid="{D5CDD505-2E9C-101B-9397-08002B2CF9AE}" pid="12" name="StandardRulesID">
    <vt:lpwstr/>
  </property>
  <property fmtid="{D5CDD505-2E9C-101B-9397-08002B2CF9AE}" pid="13" name="CessationStatus">
    <vt:lpwstr/>
  </property>
  <property fmtid="{D5CDD505-2E9C-101B-9397-08002B2CF9AE}" pid="14" name="Regime">
    <vt:lpwstr>10;#EPR|0e5af97d-1a8c-4d8f-a20b-528a11cab1f6</vt:lpwstr>
  </property>
  <property fmtid="{D5CDD505-2E9C-101B-9397-08002B2CF9AE}" pid="15" name="RegulatedActivitySub-Class">
    <vt:lpwstr/>
  </property>
  <property fmtid="{D5CDD505-2E9C-101B-9397-08002B2CF9AE}" pid="16" name="RegulatedActivitySub_x002d_Class">
    <vt:lpwstr/>
  </property>
  <property fmtid="{D5CDD505-2E9C-101B-9397-08002B2CF9AE}" pid="17" name="SysUpdateNoER">
    <vt:lpwstr>No</vt:lpwstr>
  </property>
</Properties>
</file>