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efra-my.sharepoint.com/personal/wayne_clark_environment-agency_gov_uk/Documents/Documents/1. INSTALLATION DMAC - Francesco Di Stefano/consult files/"/>
    </mc:Choice>
  </mc:AlternateContent>
  <xr:revisionPtr revIDLastSave="0" documentId="8_{8C8A5AF5-F7E2-4A40-8764-0D0648C1264A}" xr6:coauthVersionLast="47" xr6:coauthVersionMax="47" xr10:uidLastSave="{00000000-0000-0000-0000-000000000000}"/>
  <bookViews>
    <workbookView xWindow="-120" yWindow="-120" windowWidth="20730" windowHeight="11040" xr2:uid="{72EF9BE5-F561-4601-9F12-02C18FA5FD0C}"/>
  </bookViews>
  <sheets>
    <sheet name="Front Cover" sheetId="19" r:id="rId1"/>
    <sheet name="Contents" sheetId="20" r:id="rId2"/>
    <sheet name="1.Sample Analysis" sheetId="12" r:id="rId3"/>
    <sheet name="2.Ammonia Calculations" sheetId="18" r:id="rId4"/>
    <sheet name="3.Background Concentrations" sheetId="16" r:id="rId5"/>
    <sheet name="4.H1 Test_TRaC Riverine Phase 1" sheetId="11" r:id="rId6"/>
    <sheet name="5.H1 Test_TRaC Riverine Phase 2" sheetId="15" r:id="rId7"/>
  </sheets>
  <definedNames>
    <definedName name="_xlnm._FilterDatabase" localSheetId="2" hidden="1">'1.Sample Analysis'!$C$3:$R$41</definedName>
    <definedName name="_xlnm._FilterDatabase" localSheetId="3" hidden="1">'2.Ammonia Calculations'!#REF!</definedName>
    <definedName name="_xlnm.Print_Area" localSheetId="2">'1.Sample Analysis'!$A$1:$S$45</definedName>
    <definedName name="_xlnm.Print_Area" localSheetId="3">'2.Ammonia Calculations'!$A$1:$H$61</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2" l="1"/>
  <c r="I18" i="12"/>
  <c r="J18" i="12"/>
  <c r="L18" i="12"/>
  <c r="N18" i="12"/>
  <c r="J39" i="12"/>
  <c r="L39" i="12"/>
  <c r="N39" i="12"/>
  <c r="I39" i="12"/>
  <c r="J38" i="12"/>
  <c r="L38" i="12"/>
  <c r="N38" i="12"/>
  <c r="I38" i="12"/>
  <c r="J37" i="12"/>
  <c r="L37" i="12"/>
  <c r="N37" i="12"/>
  <c r="I37" i="12"/>
  <c r="J35" i="12"/>
  <c r="L35" i="12"/>
  <c r="N35" i="12"/>
  <c r="I35" i="12"/>
  <c r="J30" i="12"/>
  <c r="L30" i="12"/>
  <c r="N30" i="12"/>
  <c r="I30" i="12"/>
  <c r="J28" i="12"/>
  <c r="L28" i="12"/>
  <c r="N28" i="12"/>
  <c r="I28" i="12"/>
  <c r="J27" i="12"/>
  <c r="L27" i="12"/>
  <c r="N27" i="12"/>
  <c r="I27" i="12"/>
  <c r="J26" i="12"/>
  <c r="L26" i="12"/>
  <c r="N26" i="12"/>
  <c r="I26" i="12"/>
  <c r="J22" i="12"/>
  <c r="L22" i="12"/>
  <c r="N22" i="12"/>
  <c r="I22" i="12"/>
  <c r="J19" i="12"/>
  <c r="L19" i="12"/>
  <c r="N19" i="12"/>
  <c r="I19" i="12"/>
  <c r="J17" i="12"/>
  <c r="L17" i="12"/>
  <c r="N17" i="12"/>
  <c r="I17" i="12"/>
  <c r="J14" i="12"/>
  <c r="L14" i="12"/>
  <c r="N14" i="12"/>
  <c r="I14" i="12"/>
  <c r="J10" i="12"/>
  <c r="L10" i="12"/>
  <c r="N10" i="12"/>
  <c r="I10" i="12"/>
  <c r="J36" i="12"/>
  <c r="L36" i="12"/>
  <c r="N36" i="12"/>
  <c r="I36" i="12"/>
  <c r="J34" i="12"/>
  <c r="L34" i="12"/>
  <c r="N34" i="12"/>
  <c r="I34" i="12"/>
  <c r="J33" i="12"/>
  <c r="L33" i="12"/>
  <c r="N33" i="12"/>
  <c r="I33" i="12"/>
  <c r="J32" i="12"/>
  <c r="L32" i="12"/>
  <c r="N32" i="12"/>
  <c r="I32" i="12"/>
  <c r="J31" i="12"/>
  <c r="L31" i="12"/>
  <c r="N31" i="12"/>
  <c r="I31" i="12"/>
  <c r="J29" i="12"/>
  <c r="L29" i="12"/>
  <c r="N29" i="12"/>
  <c r="I29" i="12"/>
  <c r="J25" i="12"/>
  <c r="L25" i="12"/>
  <c r="N25" i="12"/>
  <c r="I25" i="12"/>
  <c r="J24" i="12"/>
  <c r="L24" i="12"/>
  <c r="N24" i="12"/>
  <c r="I24" i="12"/>
  <c r="J23" i="12"/>
  <c r="L23" i="12"/>
  <c r="N23" i="12"/>
  <c r="I23" i="12"/>
  <c r="J21" i="12"/>
  <c r="L21" i="12"/>
  <c r="N21" i="12"/>
  <c r="I21" i="12"/>
  <c r="J20" i="12"/>
  <c r="L20" i="12"/>
  <c r="N20" i="12"/>
  <c r="I20" i="12"/>
  <c r="J16" i="12"/>
  <c r="L16" i="12"/>
  <c r="N16" i="12"/>
  <c r="I16" i="12"/>
  <c r="J15" i="12"/>
  <c r="L15" i="12"/>
  <c r="N15" i="12"/>
  <c r="I15" i="12"/>
  <c r="J13" i="12"/>
  <c r="L13" i="12"/>
  <c r="N13" i="12"/>
  <c r="I13" i="12"/>
  <c r="J12" i="12"/>
  <c r="L12" i="12"/>
  <c r="N12" i="12"/>
  <c r="I12" i="12"/>
  <c r="J11" i="12"/>
  <c r="L11" i="12"/>
  <c r="N11" i="12"/>
  <c r="I11" i="12"/>
  <c r="J9" i="12"/>
  <c r="L9" i="12"/>
  <c r="N9" i="12"/>
  <c r="I9" i="12"/>
  <c r="M9" i="12"/>
  <c r="J7" i="12"/>
  <c r="L7" i="12"/>
  <c r="N7" i="12"/>
  <c r="K7" i="12"/>
  <c r="G17" i="11"/>
  <c r="K13" i="12"/>
  <c r="M13" i="12"/>
  <c r="M19" i="12"/>
  <c r="K19" i="12"/>
  <c r="K29" i="12"/>
  <c r="M29" i="12"/>
  <c r="K17" i="12"/>
  <c r="M17" i="12"/>
  <c r="M27" i="12"/>
  <c r="K27" i="12"/>
  <c r="K37" i="12"/>
  <c r="M37" i="12"/>
  <c r="M36" i="12"/>
  <c r="K36" i="12"/>
  <c r="K9" i="12"/>
  <c r="M16" i="12"/>
  <c r="K16" i="12"/>
  <c r="K24" i="12"/>
  <c r="M24" i="12"/>
  <c r="M32" i="12"/>
  <c r="K32" i="12"/>
  <c r="M10" i="12"/>
  <c r="K10" i="12"/>
  <c r="K22" i="12"/>
  <c r="M22" i="12"/>
  <c r="M30" i="12"/>
  <c r="K30" i="12"/>
  <c r="M39" i="12"/>
  <c r="K39" i="12"/>
  <c r="M7" i="12"/>
  <c r="M15" i="12"/>
  <c r="K15" i="12"/>
  <c r="K31" i="12"/>
  <c r="M31" i="12"/>
  <c r="M28" i="12"/>
  <c r="K28" i="12"/>
  <c r="M11" i="12"/>
  <c r="K11" i="12"/>
  <c r="K18" i="12"/>
  <c r="M18" i="12"/>
  <c r="K21" i="12"/>
  <c r="M21" i="12"/>
  <c r="K34" i="12"/>
  <c r="M34" i="12"/>
  <c r="M23" i="12"/>
  <c r="K23" i="12"/>
  <c r="K38" i="12"/>
  <c r="M38" i="12"/>
  <c r="K12" i="12"/>
  <c r="M12" i="12"/>
  <c r="K20" i="12"/>
  <c r="M20" i="12"/>
  <c r="K25" i="12"/>
  <c r="M25" i="12"/>
  <c r="K33" i="12"/>
  <c r="M33" i="12"/>
  <c r="K14" i="12"/>
  <c r="M14" i="12"/>
  <c r="K26" i="12"/>
  <c r="M26" i="12"/>
  <c r="M35" i="12"/>
  <c r="K35" i="12"/>
  <c r="J12" i="15"/>
  <c r="I14" i="15"/>
  <c r="I13" i="15"/>
  <c r="I12" i="15"/>
  <c r="I11" i="15"/>
  <c r="I10" i="15"/>
  <c r="I9" i="15"/>
  <c r="I8" i="15"/>
  <c r="I7" i="15"/>
  <c r="I6" i="15"/>
  <c r="J12" i="11"/>
  <c r="J11" i="11"/>
  <c r="I14" i="11"/>
  <c r="I13" i="11"/>
  <c r="I12" i="11"/>
  <c r="I11" i="11"/>
  <c r="I10" i="11"/>
  <c r="I9" i="11"/>
  <c r="I8" i="11"/>
  <c r="I7" i="11"/>
  <c r="I6" i="11"/>
  <c r="H53" i="18"/>
  <c r="H52" i="18"/>
  <c r="H51" i="18"/>
  <c r="H54" i="18"/>
  <c r="H55" i="18"/>
  <c r="H56" i="18"/>
  <c r="G51" i="18"/>
  <c r="F51" i="18"/>
  <c r="G52" i="18"/>
  <c r="F52" i="18"/>
  <c r="G53" i="18"/>
  <c r="F53" i="18"/>
  <c r="G54" i="18"/>
  <c r="F54" i="18"/>
  <c r="G55" i="18"/>
  <c r="G56" i="18"/>
  <c r="F55" i="18"/>
  <c r="F56" i="18"/>
  <c r="E52" i="18"/>
  <c r="E54" i="18"/>
  <c r="E51" i="18"/>
  <c r="P30" i="12"/>
  <c r="Y14" i="15" a="1"/>
  <c r="Y14" i="15"/>
  <c r="X14" i="15" a="1"/>
  <c r="X14" i="15"/>
  <c r="U14" i="15" a="1"/>
  <c r="U14" i="15"/>
  <c r="Z14" i="15"/>
  <c r="S14" i="15"/>
  <c r="Y14" i="11" a="1"/>
  <c r="Y14" i="11"/>
  <c r="X14" i="11" a="1"/>
  <c r="X14" i="11"/>
  <c r="U14" i="11" a="1"/>
  <c r="U14" i="11"/>
  <c r="Z14" i="11"/>
  <c r="S14" i="11"/>
  <c r="O30" i="12"/>
  <c r="C5" i="18"/>
  <c r="E53" i="18"/>
  <c r="E55" i="18"/>
  <c r="E56" i="18"/>
  <c r="D14" i="15"/>
  <c r="C14" i="15"/>
  <c r="M41" i="12"/>
  <c r="R14" i="15"/>
  <c r="U13" i="15" a="1"/>
  <c r="U13" i="15"/>
  <c r="U12" i="15" a="1"/>
  <c r="U12" i="15"/>
  <c r="U11" i="15" a="1"/>
  <c r="U11" i="15"/>
  <c r="U10" i="15" a="1"/>
  <c r="U10" i="15"/>
  <c r="U9" i="15" a="1"/>
  <c r="U9" i="15"/>
  <c r="U8" i="15" a="1"/>
  <c r="U8" i="15"/>
  <c r="U7" i="15" a="1"/>
  <c r="U7" i="15"/>
  <c r="U6" i="15" a="1"/>
  <c r="U6" i="15"/>
  <c r="U5" i="15" a="1"/>
  <c r="U5" i="15"/>
  <c r="Y13" i="15" a="1"/>
  <c r="Y13" i="15"/>
  <c r="X13" i="15" a="1"/>
  <c r="X13" i="15"/>
  <c r="Y12" i="15" a="1"/>
  <c r="Y12" i="15"/>
  <c r="X12" i="15" a="1"/>
  <c r="X12" i="15"/>
  <c r="Y11" i="15" a="1"/>
  <c r="Y11" i="15"/>
  <c r="X11" i="15" a="1"/>
  <c r="X11" i="15"/>
  <c r="Y10" i="15" a="1"/>
  <c r="Y10" i="15"/>
  <c r="X10" i="15" a="1"/>
  <c r="X10" i="15"/>
  <c r="Y9" i="15" a="1"/>
  <c r="Y9" i="15"/>
  <c r="X9" i="15" a="1"/>
  <c r="X9" i="15"/>
  <c r="Y8" i="15" a="1"/>
  <c r="Y8" i="15"/>
  <c r="X8" i="15" a="1"/>
  <c r="X8" i="15"/>
  <c r="Y7" i="15" a="1"/>
  <c r="Y7" i="15"/>
  <c r="X7" i="15" a="1"/>
  <c r="X7" i="15"/>
  <c r="Y6" i="15" a="1"/>
  <c r="Y6" i="15"/>
  <c r="X6" i="15" a="1"/>
  <c r="X6" i="15"/>
  <c r="Y5" i="15" a="1"/>
  <c r="Y5" i="15"/>
  <c r="X5" i="15" a="1"/>
  <c r="X5" i="15"/>
  <c r="Y6" i="11" a="1"/>
  <c r="Y6" i="11"/>
  <c r="Y7" i="11" a="1"/>
  <c r="Y7" i="11"/>
  <c r="Y8" i="11" a="1"/>
  <c r="Y8" i="11"/>
  <c r="Y9" i="11" a="1"/>
  <c r="Y9" i="11"/>
  <c r="Y10" i="11" a="1"/>
  <c r="Y10" i="11"/>
  <c r="Y11" i="11" a="1"/>
  <c r="Y11" i="11"/>
  <c r="Y12" i="11" a="1"/>
  <c r="Y12" i="11"/>
  <c r="Y13" i="11" a="1"/>
  <c r="Y13" i="11"/>
  <c r="Y5" i="11" a="1"/>
  <c r="Y5" i="11"/>
  <c r="X6" i="11" a="1"/>
  <c r="X6" i="11"/>
  <c r="X7" i="11" a="1"/>
  <c r="X7" i="11"/>
  <c r="X8" i="11" a="1"/>
  <c r="X8" i="11"/>
  <c r="X9" i="11" a="1"/>
  <c r="X9" i="11"/>
  <c r="X10" i="11" a="1"/>
  <c r="X10" i="11"/>
  <c r="X11" i="11" a="1"/>
  <c r="X11" i="11"/>
  <c r="X12" i="11" a="1"/>
  <c r="X12" i="11"/>
  <c r="X13" i="11" a="1"/>
  <c r="X13" i="11"/>
  <c r="X5" i="11" a="1"/>
  <c r="X5" i="11"/>
  <c r="U6" i="11" a="1"/>
  <c r="U6" i="11"/>
  <c r="U7" i="11" a="1"/>
  <c r="U7" i="11"/>
  <c r="U8" i="11" a="1"/>
  <c r="U8" i="11"/>
  <c r="U9" i="11" a="1"/>
  <c r="U9" i="11"/>
  <c r="U10" i="11" a="1"/>
  <c r="U10" i="11"/>
  <c r="U11" i="11" a="1"/>
  <c r="U11" i="11"/>
  <c r="U12" i="11" a="1"/>
  <c r="U12" i="11"/>
  <c r="U13" i="11" a="1"/>
  <c r="U13" i="11"/>
  <c r="U5" i="11" a="1"/>
  <c r="U5" i="11"/>
  <c r="K41" i="12"/>
  <c r="O40" i="12"/>
  <c r="Z13" i="15"/>
  <c r="C9" i="15"/>
  <c r="O41" i="12"/>
  <c r="O37" i="12"/>
  <c r="P37" i="12"/>
  <c r="P38" i="12"/>
  <c r="D14" i="11"/>
  <c r="O38" i="12"/>
  <c r="O19" i="12"/>
  <c r="S13" i="15"/>
  <c r="C14" i="11"/>
  <c r="Z13" i="11"/>
  <c r="S10" i="11"/>
  <c r="S9" i="11"/>
  <c r="S8" i="11"/>
  <c r="S7" i="11"/>
  <c r="S6" i="11"/>
  <c r="S5" i="11"/>
  <c r="S10" i="15"/>
  <c r="S9" i="15"/>
  <c r="S8" i="15"/>
  <c r="S7" i="15"/>
  <c r="S6" i="15"/>
  <c r="S5" i="15"/>
  <c r="D7" i="15"/>
  <c r="D6" i="15"/>
  <c r="G17" i="15"/>
  <c r="Z12" i="15"/>
  <c r="Z11" i="15"/>
  <c r="Z10" i="15"/>
  <c r="Z9" i="15"/>
  <c r="Z8" i="15"/>
  <c r="Z7" i="15"/>
  <c r="Z6" i="15"/>
  <c r="Z5" i="15"/>
  <c r="E14" i="11"/>
  <c r="F14" i="11"/>
  <c r="H14" i="11"/>
  <c r="Z12" i="11"/>
  <c r="Z6" i="11"/>
  <c r="Z7" i="11"/>
  <c r="Z8" i="11"/>
  <c r="Z9" i="11"/>
  <c r="Z10" i="11"/>
  <c r="Z11" i="11"/>
  <c r="Z5" i="11"/>
  <c r="E14" i="15"/>
  <c r="F14" i="15"/>
  <c r="H14" i="15"/>
  <c r="G14" i="15"/>
  <c r="K14" i="15"/>
  <c r="AA14" i="15"/>
  <c r="G60" i="18"/>
  <c r="G61" i="18"/>
  <c r="H60" i="18"/>
  <c r="H61" i="18"/>
  <c r="D5" i="15"/>
  <c r="R14" i="11"/>
  <c r="G14" i="11"/>
  <c r="K14" i="11"/>
  <c r="AA14" i="11"/>
  <c r="E7" i="15"/>
  <c r="F7" i="15"/>
  <c r="H7" i="15"/>
  <c r="E5" i="15"/>
  <c r="F5" i="15"/>
  <c r="E8" i="15"/>
  <c r="F8" i="15"/>
  <c r="E13" i="15"/>
  <c r="F13" i="15"/>
  <c r="E9" i="15"/>
  <c r="E10" i="15"/>
  <c r="F10" i="15"/>
  <c r="E12" i="15"/>
  <c r="F12" i="15"/>
  <c r="E11" i="15"/>
  <c r="F11" i="15"/>
  <c r="E6" i="15"/>
  <c r="F6" i="15"/>
  <c r="H6" i="15"/>
  <c r="D7" i="18"/>
  <c r="G57" i="18"/>
  <c r="E8" i="11"/>
  <c r="E13" i="11"/>
  <c r="E12" i="11"/>
  <c r="E5" i="11"/>
  <c r="F5" i="11"/>
  <c r="E7" i="11"/>
  <c r="E9" i="11"/>
  <c r="E10" i="11"/>
  <c r="E11" i="11"/>
  <c r="E6" i="11"/>
  <c r="O7" i="12"/>
  <c r="P9" i="12"/>
  <c r="P25" i="12"/>
  <c r="P32" i="12"/>
  <c r="P20" i="12"/>
  <c r="P33" i="12"/>
  <c r="P18" i="12"/>
  <c r="P12" i="12"/>
  <c r="D10" i="15"/>
  <c r="D13" i="15"/>
  <c r="H13" i="15"/>
  <c r="P29" i="12"/>
  <c r="P31" i="12"/>
  <c r="P11" i="12"/>
  <c r="P7" i="12"/>
  <c r="P15" i="12"/>
  <c r="P36" i="12"/>
  <c r="R9" i="15"/>
  <c r="P23" i="12"/>
  <c r="P16" i="12"/>
  <c r="P24" i="12"/>
  <c r="P27" i="12"/>
  <c r="D8" i="15"/>
  <c r="F10" i="11"/>
  <c r="H5" i="15"/>
  <c r="H10" i="15"/>
  <c r="H57" i="18"/>
  <c r="H58" i="18"/>
  <c r="C5" i="15"/>
  <c r="R5" i="15"/>
  <c r="G58" i="18"/>
  <c r="E60" i="18"/>
  <c r="E61" i="18"/>
  <c r="F60" i="18"/>
  <c r="F61" i="18"/>
  <c r="D5" i="11"/>
  <c r="D9" i="15"/>
  <c r="C10" i="15"/>
  <c r="G10" i="15"/>
  <c r="K10" i="15"/>
  <c r="AA10" i="15"/>
  <c r="O11" i="12"/>
  <c r="C12" i="15"/>
  <c r="G12" i="15"/>
  <c r="K12" i="15"/>
  <c r="AA12" i="15"/>
  <c r="C11" i="15"/>
  <c r="G11" i="15"/>
  <c r="K11" i="15"/>
  <c r="AA11" i="15"/>
  <c r="O12" i="12"/>
  <c r="O36" i="12"/>
  <c r="O31" i="12"/>
  <c r="O20" i="12"/>
  <c r="C6" i="15"/>
  <c r="G6" i="15"/>
  <c r="C7" i="15"/>
  <c r="R7" i="15"/>
  <c r="O16" i="12"/>
  <c r="O9" i="12"/>
  <c r="C7" i="18"/>
  <c r="E57" i="18"/>
  <c r="O39" i="12"/>
  <c r="C13" i="11"/>
  <c r="R13" i="11"/>
  <c r="O29" i="12"/>
  <c r="O15" i="12"/>
  <c r="C8" i="15"/>
  <c r="G8" i="15"/>
  <c r="AD8" i="15"/>
  <c r="AE8" i="15"/>
  <c r="AF8" i="15"/>
  <c r="AG8" i="15"/>
  <c r="O18" i="12"/>
  <c r="O32" i="12"/>
  <c r="O23" i="12"/>
  <c r="O34" i="12"/>
  <c r="O27" i="12"/>
  <c r="O33" i="12"/>
  <c r="O25" i="12"/>
  <c r="O24" i="12"/>
  <c r="G9" i="15"/>
  <c r="K9" i="15"/>
  <c r="AA9" i="15"/>
  <c r="F9" i="15"/>
  <c r="H8" i="15"/>
  <c r="O17" i="12"/>
  <c r="O13" i="12"/>
  <c r="C13" i="15"/>
  <c r="G13" i="15"/>
  <c r="K13" i="15"/>
  <c r="AA13" i="15"/>
  <c r="D12" i="15"/>
  <c r="H12" i="15"/>
  <c r="L12" i="15"/>
  <c r="O28" i="12"/>
  <c r="O35" i="12"/>
  <c r="O14" i="12"/>
  <c r="O22" i="12"/>
  <c r="O26" i="12"/>
  <c r="D11" i="15"/>
  <c r="H11" i="15"/>
  <c r="L11" i="15"/>
  <c r="O21" i="12"/>
  <c r="O10" i="12"/>
  <c r="P28" i="12"/>
  <c r="D12" i="11"/>
  <c r="P34" i="12"/>
  <c r="P10" i="12"/>
  <c r="D6" i="11"/>
  <c r="P14" i="12"/>
  <c r="D8" i="11"/>
  <c r="P39" i="12"/>
  <c r="P35" i="12"/>
  <c r="P21" i="12"/>
  <c r="D10" i="11"/>
  <c r="H10" i="11"/>
  <c r="P13" i="12"/>
  <c r="D7" i="11"/>
  <c r="P17" i="12"/>
  <c r="C9" i="11"/>
  <c r="P26" i="12"/>
  <c r="P19" i="12"/>
  <c r="P22" i="12"/>
  <c r="D11" i="11"/>
  <c r="F13" i="11"/>
  <c r="F9" i="11"/>
  <c r="F8" i="11"/>
  <c r="F12" i="11"/>
  <c r="F11" i="11"/>
  <c r="F7" i="11"/>
  <c r="F6" i="11"/>
  <c r="R8" i="15"/>
  <c r="H12" i="11"/>
  <c r="L12" i="11"/>
  <c r="AB12" i="11"/>
  <c r="H6" i="11"/>
  <c r="K8" i="15"/>
  <c r="AA8" i="15"/>
  <c r="H7" i="11"/>
  <c r="H8" i="11"/>
  <c r="R11" i="15"/>
  <c r="G7" i="15"/>
  <c r="K7" i="15"/>
  <c r="G5" i="15"/>
  <c r="K5" i="15"/>
  <c r="AA5" i="15"/>
  <c r="R6" i="15"/>
  <c r="R12" i="15"/>
  <c r="R10" i="15"/>
  <c r="G13" i="11"/>
  <c r="K13" i="11"/>
  <c r="AA13" i="11"/>
  <c r="F57" i="18"/>
  <c r="F58" i="18"/>
  <c r="C5" i="11"/>
  <c r="E58" i="18"/>
  <c r="H9" i="15"/>
  <c r="D9" i="11"/>
  <c r="H9" i="11"/>
  <c r="D13" i="11"/>
  <c r="H13" i="11"/>
  <c r="C6" i="11"/>
  <c r="C10" i="11"/>
  <c r="G10" i="11"/>
  <c r="K10" i="11"/>
  <c r="AA10" i="11"/>
  <c r="C11" i="11"/>
  <c r="C8" i="11"/>
  <c r="C12" i="11"/>
  <c r="C7" i="11"/>
  <c r="H5" i="11"/>
  <c r="R13" i="15"/>
  <c r="S11" i="15"/>
  <c r="S12" i="15"/>
  <c r="S11" i="11"/>
  <c r="H11" i="11"/>
  <c r="L11" i="11"/>
  <c r="S12" i="11"/>
  <c r="R9" i="11"/>
  <c r="G9" i="11"/>
  <c r="K9" i="11"/>
  <c r="S13" i="11"/>
  <c r="K6" i="15"/>
  <c r="AA6" i="15"/>
  <c r="AB11" i="15"/>
  <c r="AB12" i="15"/>
  <c r="R11" i="11"/>
  <c r="R5" i="11"/>
  <c r="G7" i="11"/>
  <c r="K7" i="11"/>
  <c r="AA7" i="11"/>
  <c r="R7" i="11"/>
  <c r="G5" i="11"/>
  <c r="K5" i="11"/>
  <c r="AA5" i="11"/>
  <c r="R8" i="11"/>
  <c r="G8" i="11"/>
  <c r="AD8" i="11"/>
  <c r="AE8" i="11"/>
  <c r="AF8" i="11"/>
  <c r="AG8" i="11"/>
  <c r="R12" i="11"/>
  <c r="R10" i="11"/>
  <c r="G12" i="11"/>
  <c r="K12" i="11"/>
  <c r="AA12" i="11"/>
  <c r="G6" i="11"/>
  <c r="K6" i="11"/>
  <c r="AA6" i="11"/>
  <c r="G11" i="11"/>
  <c r="K11" i="11"/>
  <c r="AA11" i="11"/>
  <c r="R6" i="11"/>
  <c r="AA7" i="15"/>
  <c r="AA9" i="11"/>
  <c r="AB11" i="11"/>
  <c r="K8" i="11"/>
  <c r="AA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<sst xmlns="http://schemas.openxmlformats.org/spreadsheetml/2006/main" count="691" uniqueCount="263">
  <si>
    <t>Aldbrough Hydrogen Pathfinder H1 Assessment to Water Workbook</t>
  </si>
  <si>
    <t>Project Number</t>
  </si>
  <si>
    <t>Date</t>
  </si>
  <si>
    <t>13/11/2024</t>
  </si>
  <si>
    <t>Version</t>
  </si>
  <si>
    <t>Author</t>
  </si>
  <si>
    <t>Taraka Rhodes, Liam Fernand</t>
  </si>
  <si>
    <t>Client Name</t>
  </si>
  <si>
    <t>SSE Hornsea Limited</t>
  </si>
  <si>
    <t>Revision</t>
  </si>
  <si>
    <t>Reviewed by</t>
  </si>
  <si>
    <t>Name</t>
  </si>
  <si>
    <t>Comments</t>
  </si>
  <si>
    <t>V1</t>
  </si>
  <si>
    <t>Kate Riley</t>
  </si>
  <si>
    <t>Russell Cullen</t>
  </si>
  <si>
    <t>Draft for Client Review</t>
  </si>
  <si>
    <t>Final for Client Review</t>
  </si>
  <si>
    <t>CONTENTS</t>
  </si>
  <si>
    <t>Sheet</t>
  </si>
  <si>
    <t>Description</t>
  </si>
  <si>
    <t>1. Sample Analysis</t>
  </si>
  <si>
    <t xml:space="preserve">This tab provides an summary of borehole samples used to derive concentrations of substances used in the H1 assessment. Those substances that had associated Environmental Quality Standards (EQS) were taken through to the H1 screening assessment in Tab 4 &amp; 5. </t>
  </si>
  <si>
    <t>2. Ammonia Calculations</t>
  </si>
  <si>
    <t xml:space="preserve">This tab provides calculations of ammonia concentrations that were separately used in the H1 screening assessment in Tab 4 &amp; 5. </t>
  </si>
  <si>
    <t>3. Background</t>
  </si>
  <si>
    <t>This tab provides a summary of background concentrations used in the H1 screening assessment in Tab 4 &amp; 5</t>
  </si>
  <si>
    <t>4. H1 Test_TRaC Riverine Phase 1</t>
  </si>
  <si>
    <t xml:space="preserve">H1 screening methodology and results for Phase 1 (cavern + demin plant discharge) </t>
  </si>
  <si>
    <t>5. H1 Test_TRaC Riverine Phase 2</t>
  </si>
  <si>
    <t xml:space="preserve">H1 screening methodology and results for Phase 2 (demin plant discharge only) </t>
  </si>
  <si>
    <t>Parameters with EQSs that have been taken forward to H1 assessment</t>
  </si>
  <si>
    <t>Sample result equal to or less than limit of detection</t>
  </si>
  <si>
    <t xml:space="preserve"> </t>
  </si>
  <si>
    <t>*increase in concentration by factor of 2.7</t>
  </si>
  <si>
    <t>Parameter</t>
  </si>
  <si>
    <t>Units</t>
  </si>
  <si>
    <t>Method</t>
  </si>
  <si>
    <t>Sample Analysis</t>
  </si>
  <si>
    <t>Stream A
(Cavern dewatering) Concentration (ug/l)</t>
  </si>
  <si>
    <r>
      <t xml:space="preserve">Steam B </t>
    </r>
    <r>
      <rPr>
        <b/>
        <vertAlign val="superscript"/>
        <sz val="9"/>
        <color rgb="FF000000"/>
        <rFont val="Calibri"/>
        <family val="2"/>
        <scheme val="minor"/>
      </rPr>
      <t>(1)</t>
    </r>
    <r>
      <rPr>
        <b/>
        <sz val="9"/>
        <color rgb="FF000000"/>
        <rFont val="Calibri"/>
        <family val="2"/>
        <scheme val="minor"/>
      </rPr>
      <t xml:space="preserve">
(Demin plant effluent)
Concentration (ug/l)</t>
    </r>
  </si>
  <si>
    <t xml:space="preserve">Coastal Waters EQS (ug/l) </t>
  </si>
  <si>
    <t xml:space="preserve">Average </t>
  </si>
  <si>
    <t>Max</t>
  </si>
  <si>
    <t>Average</t>
  </si>
  <si>
    <t>AA</t>
  </si>
  <si>
    <t>MAC</t>
  </si>
  <si>
    <t>Aluminium (dissolved)</t>
  </si>
  <si>
    <t>mg/l</t>
  </si>
  <si>
    <t>N/A</t>
  </si>
  <si>
    <t xml:space="preserve">Ammonia (unionised) </t>
  </si>
  <si>
    <t>Calc*</t>
  </si>
  <si>
    <t>NA</t>
  </si>
  <si>
    <t>See Tab 2</t>
  </si>
  <si>
    <t xml:space="preserve">Derived property dependant upon on the discharge temperature, pH and salinity. See Tab 2 for values calculated and used in H1 assessment instead of these sample results. </t>
  </si>
  <si>
    <t>Ammonium</t>
  </si>
  <si>
    <t>Arsenic (dissolved)</t>
  </si>
  <si>
    <t>ug/l</t>
  </si>
  <si>
    <t>CBA118*</t>
  </si>
  <si>
    <t>Barium (dissolved)</t>
  </si>
  <si>
    <t>Bicarbonate</t>
  </si>
  <si>
    <t>APIRP45-81</t>
  </si>
  <si>
    <t>Boron (dissolved)</t>
  </si>
  <si>
    <t>Cadmium (dissolved)</t>
  </si>
  <si>
    <t>Calcium (dissolved)</t>
  </si>
  <si>
    <t>Chloride</t>
  </si>
  <si>
    <t>CBA56</t>
  </si>
  <si>
    <t>Chromium (dissolved)</t>
  </si>
  <si>
    <t xml:space="preserve">Conductivity </t>
  </si>
  <si>
    <t>mS.cm</t>
  </si>
  <si>
    <t>CML-LAB-TP-18*</t>
  </si>
  <si>
    <t>Copper (dissolved)</t>
  </si>
  <si>
    <t xml:space="preserve">LOD </t>
  </si>
  <si>
    <t>Dissolved Organic Carbon</t>
  </si>
  <si>
    <t>Combustion and NDIR Detection*^</t>
  </si>
  <si>
    <t>Iron (dissolved)</t>
  </si>
  <si>
    <t>Lead (dissolved)</t>
  </si>
  <si>
    <t>Lithium (dissolved)</t>
  </si>
  <si>
    <t>Magnesium (dissolved)</t>
  </si>
  <si>
    <t>Manganese (dissolved)</t>
  </si>
  <si>
    <t>Mercury (dissolved)</t>
  </si>
  <si>
    <t>Molybdenum (dissolved)</t>
  </si>
  <si>
    <t>Nickel (dissolved)</t>
  </si>
  <si>
    <t>Nitrate</t>
  </si>
  <si>
    <t>pH</t>
  </si>
  <si>
    <t>ASTMD1293B</t>
  </si>
  <si>
    <t xml:space="preserve">Median pH taken, as there is a significant outlier. In addition the demin process shouldn't affect pH (or only slightly). </t>
  </si>
  <si>
    <t>Potassium (dissolved)</t>
  </si>
  <si>
    <t>Sodium (dissolved)</t>
  </si>
  <si>
    <t>CBA67</t>
  </si>
  <si>
    <t>Strontium (dissolved)</t>
  </si>
  <si>
    <t>Sulphate</t>
  </si>
  <si>
    <t>Total Cyanide</t>
  </si>
  <si>
    <t>HACH*^</t>
  </si>
  <si>
    <t>Total Organic Carbon</t>
  </si>
  <si>
    <t>Selenium</t>
  </si>
  <si>
    <t xml:space="preserve">Tin </t>
  </si>
  <si>
    <t>Zinc</t>
  </si>
  <si>
    <t>Flowrate</t>
  </si>
  <si>
    <t>m3/d</t>
  </si>
  <si>
    <t>m3/s</t>
  </si>
  <si>
    <t>Notes:</t>
  </si>
  <si>
    <t>2. Substances with EQS are taken forward to H1 assessment</t>
  </si>
  <si>
    <t>1.Input Values used in Calculations</t>
  </si>
  <si>
    <t xml:space="preserve">Stream A + B conditions
(Cavern dewatering + demin plant discharge) </t>
  </si>
  <si>
    <t>Steam B conditions
(Demin plant effluent)</t>
  </si>
  <si>
    <r>
      <rPr>
        <sz val="9"/>
        <color rgb="FF000000"/>
        <rFont val="Calibri"/>
        <family val="2"/>
        <scheme val="minor"/>
      </rPr>
      <t>Temperature (</t>
    </r>
    <r>
      <rPr>
        <sz val="8"/>
        <color rgb="FF000000"/>
        <rFont val="Calibri"/>
        <family val="2"/>
        <scheme val="minor"/>
      </rPr>
      <t>o</t>
    </r>
    <r>
      <rPr>
        <sz val="9"/>
        <color rgb="FF000000"/>
        <rFont val="Calibri"/>
        <family val="2"/>
        <scheme val="minor"/>
      </rPr>
      <t>C)</t>
    </r>
  </si>
  <si>
    <t>Average pH</t>
  </si>
  <si>
    <t>Average salinity (ppt)</t>
  </si>
  <si>
    <t>Ammonium, ug/l</t>
  </si>
  <si>
    <t>2. Methodology</t>
  </si>
  <si>
    <t>The equation provide by Florida Dept has been used to calculate un-ionised ammonia concentrations (see screenshot below of methodology)</t>
  </si>
  <si>
    <t>Available online at:</t>
  </si>
  <si>
    <t>https://floridadep.gov/sites/default/files/5-Unionized-Ammonia-SOP_1.pdf</t>
  </si>
  <si>
    <t xml:space="preserve">3. Results  </t>
  </si>
  <si>
    <t>FLORIDA DEPARTMENT OF ENVIRONMENTAL PROTECTION CHEMISTRY LABORATORY METHODS MANUAL, TALLAHASSEE CALCULATION OF UN-IONIZED AMMONIA IN FRESH WATER STORET Parameter Code 006</t>
  </si>
  <si>
    <t>At point of discharge</t>
  </si>
  <si>
    <t>Temperature, T</t>
  </si>
  <si>
    <t>oC</t>
  </si>
  <si>
    <t>Salinity, S</t>
  </si>
  <si>
    <t>ppt</t>
  </si>
  <si>
    <t>-</t>
  </si>
  <si>
    <t>Molal ionic strength, I</t>
  </si>
  <si>
    <r>
      <t>Ionisation constant , pK</t>
    </r>
    <r>
      <rPr>
        <vertAlign val="subscript"/>
        <sz val="10"/>
        <color theme="1"/>
        <rFont val="Calibri"/>
        <family val="2"/>
        <scheme val="minor"/>
      </rPr>
      <t>a,s</t>
    </r>
  </si>
  <si>
    <t>Fraction of ammonia which is unionised, fs =</t>
  </si>
  <si>
    <t>Ammonium conc</t>
  </si>
  <si>
    <t>Unionised Ammonia conc</t>
  </si>
  <si>
    <t>Max ammonium conc</t>
  </si>
  <si>
    <t>Max ammonia conc</t>
  </si>
  <si>
    <t>Maximum</t>
  </si>
  <si>
    <t>Source</t>
  </si>
  <si>
    <t xml:space="preserve">Where the background is below the detection limit,  1/2 of the detection limit has been used </t>
  </si>
  <si>
    <t>Ammonia</t>
  </si>
  <si>
    <t>Table 1 - EA Data Set</t>
  </si>
  <si>
    <t>Arsenic</t>
  </si>
  <si>
    <t xml:space="preserve">Table 2 - 2023 </t>
  </si>
  <si>
    <t>Boron</t>
  </si>
  <si>
    <t>50% of EQS</t>
  </si>
  <si>
    <t>Cadmium</t>
  </si>
  <si>
    <t>Table 2 - 2023  1/2 Detection limit</t>
  </si>
  <si>
    <t xml:space="preserve">Chromium </t>
  </si>
  <si>
    <t>Copper - dissolved</t>
  </si>
  <si>
    <t>Iron</t>
  </si>
  <si>
    <t>Lead</t>
  </si>
  <si>
    <t>Mercury</t>
  </si>
  <si>
    <t>Nickel</t>
  </si>
  <si>
    <t>Cyanide</t>
  </si>
  <si>
    <t>Tin</t>
  </si>
  <si>
    <t>n/a</t>
  </si>
  <si>
    <t>Table 1 - EA Water Quality Archive</t>
  </si>
  <si>
    <t>Table 2 - Summary Data from 12 stations at Aldbrough Oct 2023</t>
  </si>
  <si>
    <t> Parameter</t>
  </si>
  <si>
    <r>
      <t>Average Concentratio</t>
    </r>
    <r>
      <rPr>
        <sz val="11"/>
        <color rgb="FF000000"/>
        <rFont val="Calibri"/>
        <family val="2"/>
        <scheme val="minor"/>
      </rPr>
      <t>n</t>
    </r>
  </si>
  <si>
    <t xml:space="preserve">Maximum Concentration </t>
  </si>
  <si>
    <t>THC</t>
  </si>
  <si>
    <t>μg.l-1</t>
  </si>
  <si>
    <t>Total Alkanes</t>
  </si>
  <si>
    <t>Total PAHs</t>
  </si>
  <si>
    <t xml:space="preserve">Dissolved Heavy and Trace Metals </t>
  </si>
  <si>
    <t>-       </t>
  </si>
  <si>
    <t>&lt;0.0001</t>
  </si>
  <si>
    <t>mg.l-1</t>
  </si>
  <si>
    <t>Chromium</t>
  </si>
  <si>
    <t>&lt;0.001</t>
  </si>
  <si>
    <t>Copper</t>
  </si>
  <si>
    <t>Aluminium</t>
  </si>
  <si>
    <t>Barium</t>
  </si>
  <si>
    <t>&lt;0.01</t>
  </si>
  <si>
    <t>Lithium</t>
  </si>
  <si>
    <t>Silicon</t>
  </si>
  <si>
    <t>Sulphur</t>
  </si>
  <si>
    <t xml:space="preserve">Nutrients, Minerals and Suspended Solids </t>
  </si>
  <si>
    <r>
      <t>Nitrate (NO</t>
    </r>
    <r>
      <rPr>
        <vertAlign val="subscript"/>
        <sz val="11"/>
        <color theme="1"/>
        <rFont val="Calibri"/>
        <family val="2"/>
        <scheme val="minor"/>
      </rPr>
      <t>3</t>
    </r>
    <r>
      <rPr>
        <sz val="11"/>
        <color theme="1"/>
        <rFont val="Calibri"/>
        <family val="2"/>
        <scheme val="minor"/>
      </rPr>
      <t>)</t>
    </r>
  </si>
  <si>
    <t>&lt;0.2</t>
  </si>
  <si>
    <r>
      <t>Nitrite (NO</t>
    </r>
    <r>
      <rPr>
        <vertAlign val="subscript"/>
        <sz val="11"/>
        <color theme="1"/>
        <rFont val="Calibri"/>
        <family val="2"/>
        <scheme val="minor"/>
      </rPr>
      <t>2</t>
    </r>
    <r>
      <rPr>
        <sz val="11"/>
        <color theme="1"/>
        <rFont val="Calibri"/>
        <family val="2"/>
        <scheme val="minor"/>
      </rPr>
      <t>)</t>
    </r>
  </si>
  <si>
    <r>
      <t>Orthophosphate (PO</t>
    </r>
    <r>
      <rPr>
        <vertAlign val="subscript"/>
        <sz val="11"/>
        <color theme="1"/>
        <rFont val="Calibri"/>
        <family val="2"/>
        <scheme val="minor"/>
      </rPr>
      <t>4</t>
    </r>
    <r>
      <rPr>
        <sz val="11"/>
        <color theme="1"/>
        <rFont val="Calibri"/>
        <family val="2"/>
        <scheme val="minor"/>
      </rPr>
      <t>)</t>
    </r>
  </si>
  <si>
    <t>Total Nitrogen (N)</t>
  </si>
  <si>
    <t>&lt;1</t>
  </si>
  <si>
    <t>Total Suspended Solids (TSS)</t>
  </si>
  <si>
    <t>H1 - Freshwater Rivers</t>
  </si>
  <si>
    <t>PHASE 1 - STREAM A (Cavern dewatering) + STREAM B (demin plant effluent)</t>
  </si>
  <si>
    <t>H1 Screening Tests</t>
  </si>
  <si>
    <t>Input Data</t>
  </si>
  <si>
    <t>Test 1</t>
  </si>
  <si>
    <t>Test 3</t>
  </si>
  <si>
    <t>Test 4</t>
  </si>
  <si>
    <t>Test 5</t>
  </si>
  <si>
    <t xml:space="preserve">Significance Load Test </t>
  </si>
  <si>
    <t>Substance</t>
  </si>
  <si>
    <t>Release Concentration (ug/l) (AA)</t>
  </si>
  <si>
    <t>Release Concentration (ug/l) (MAC)</t>
  </si>
  <si>
    <t>EFR (m3/s) (average)</t>
  </si>
  <si>
    <t>EFR (m3/s) (max)</t>
  </si>
  <si>
    <t>EFR x RC (Average)</t>
  </si>
  <si>
    <t>EFR x RC (Max)</t>
  </si>
  <si>
    <t>Average BC (ug/l)</t>
  </si>
  <si>
    <t>Max BC (ug/l)</t>
  </si>
  <si>
    <t>EVF (AA)</t>
  </si>
  <si>
    <t>EVF (Max)</t>
  </si>
  <si>
    <t>Water depth (m)</t>
  </si>
  <si>
    <t>Estuaries &amp; Coastal Waters EQS (ug/l) (Long term/AA)</t>
  </si>
  <si>
    <t>Estuaries &amp; Coastal Waters EQS (ug/l) (Short term/MAC)</t>
  </si>
  <si>
    <t>Comments/
Source (EQS or other)</t>
  </si>
  <si>
    <t>Substance &lt; AA EQS?)</t>
  </si>
  <si>
    <t>Substance &lt; MAC EQS?</t>
  </si>
  <si>
    <t xml:space="preserve">Restricted dilution? </t>
  </si>
  <si>
    <t>Modelling required?</t>
  </si>
  <si>
    <t>Is discharge&lt;50m offshore from where the sea bed is at chart datum?</t>
  </si>
  <si>
    <t>Is the sea bed at the discharge location less than 1m below chart datum?</t>
  </si>
  <si>
    <t>Is depth &lt;3.5m?</t>
  </si>
  <si>
    <t>Where depth &gt;3.5m, is  AA EVF &lt;=3.5 m3/s?</t>
  </si>
  <si>
    <t>Where depth &gt;3.5, is MAX EVF &lt;=3.5 m3/s?</t>
  </si>
  <si>
    <t>SL</t>
  </si>
  <si>
    <t>Step 1+2
mg/day
((RC x AA EFR)/1000)</t>
  </si>
  <si>
    <t xml:space="preserve">
Step 3
kg/day
(Step 2/1000)</t>
  </si>
  <si>
    <t>Step 4 kg/year (Step 3*365)</t>
  </si>
  <si>
    <t>Results &lt;SL?</t>
  </si>
  <si>
    <t>Unionised Ammonia</t>
  </si>
  <si>
    <t>EQS</t>
  </si>
  <si>
    <t>No</t>
  </si>
  <si>
    <t>NOTE 1 - Ammonia, Copper and Zinc do not screen out at Test 1 and therefore require modelling due to the discharge being in a protected area. Cyanide has not been considered any further as detailed in the H1 report.</t>
  </si>
  <si>
    <t>Flow rate</t>
  </si>
  <si>
    <t>m3/day</t>
  </si>
  <si>
    <t>N/A (screened out or no EQS)</t>
  </si>
  <si>
    <t>Abbreviations</t>
  </si>
  <si>
    <t>Annual Average</t>
  </si>
  <si>
    <t>BC</t>
  </si>
  <si>
    <t>Background Concentration</t>
  </si>
  <si>
    <t>EFR</t>
  </si>
  <si>
    <t>Effluent Flow Rate</t>
  </si>
  <si>
    <t>Environmental Quality Standard</t>
  </si>
  <si>
    <t>EVF</t>
  </si>
  <si>
    <t>Effective Volume Flux</t>
  </si>
  <si>
    <t>Maximum Allowable Concentration</t>
  </si>
  <si>
    <t>m</t>
  </si>
  <si>
    <t>Metres</t>
  </si>
  <si>
    <t>m3</t>
  </si>
  <si>
    <t>Cubic Metres</t>
  </si>
  <si>
    <t>RC</t>
  </si>
  <si>
    <t>Release Concentration</t>
  </si>
  <si>
    <t>RFR</t>
  </si>
  <si>
    <t>River Flow Rate</t>
  </si>
  <si>
    <t>s</t>
  </si>
  <si>
    <t>Second</t>
  </si>
  <si>
    <t>Significance Load</t>
  </si>
  <si>
    <t>PHASE 2 - STREAM B ONLY</t>
  </si>
  <si>
    <t>Restricted dilution? If Yes = Model</t>
  </si>
  <si>
    <t>Modelling required (No = False)?</t>
  </si>
  <si>
    <t>NOTE 1 - Ammonia, Copper and Zinc do not screen out at Test 1 and therefore require modelling due to the discharge being in a protected area.
Chromium, Mercury and Cyanide has not been considered any further as detailed in the H1 report.</t>
  </si>
  <si>
    <t xml:space="preserve">This document has been prepared by Environmental Resources Management Limited (ERM) for SSE Hornsea Limited. The document provides the H1 screening assessment to water calculations for the proposed new Aldbrough Hydrogen Pathfinder (AHP) Project. 
The following document is intended to be used by SSE Hornsea Limited to support the new bespoke permit application. </t>
  </si>
  <si>
    <t>Sea water conditions at Aldbrough</t>
  </si>
  <si>
    <t>Calculations in Section 3 below have been performed for the un-ionised ammonia concentration in the fresh water as it is discharged and also considering the discharge into the sea water.</t>
  </si>
  <si>
    <t>Micrograms per litre</t>
  </si>
  <si>
    <t>Final for Issue</t>
  </si>
  <si>
    <t>(ug/l)</t>
  </si>
  <si>
    <r>
      <t>1. Demin plant effluent assumed to increase concentrations by a factor of 2.7</t>
    </r>
    <r>
      <rPr>
        <sz val="9"/>
        <color rgb="FFFF0000"/>
        <rFont val="Calibri"/>
        <family val="2"/>
        <scheme val="minor"/>
      </rPr>
      <t>, based on Demin plant feed rate of 10.5 m3/h and reject rate 3.9 m3/h.</t>
    </r>
  </si>
  <si>
    <r>
      <rPr>
        <b/>
        <sz val="9"/>
        <color rgb="FFFF0000"/>
        <rFont val="Calibri"/>
        <family val="2"/>
        <scheme val="minor"/>
      </rPr>
      <t xml:space="preserve">Phase 1 </t>
    </r>
    <r>
      <rPr>
        <b/>
        <sz val="9"/>
        <color theme="1"/>
        <rFont val="Calibri"/>
        <family val="2"/>
        <scheme val="minor"/>
      </rPr>
      <t>Concentration (Stream A + Stream B) (ug/l)</t>
    </r>
  </si>
  <si>
    <t>Not taken through to modelling as not expected in background</t>
  </si>
  <si>
    <t>Not taken through to modelling as this is Cr Dissolved whereas EQS is for Cr VI</t>
  </si>
  <si>
    <t>red text</t>
  </si>
  <si>
    <t>Added/updated since previous version</t>
  </si>
  <si>
    <t>Taraka Rhodes</t>
  </si>
  <si>
    <t>V1.6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</si>
</sst>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
    <numFmt numFmtId="166" formatCode="0.0000"/>
    <numFmt numFmtId="167" formatCode="0.0"/>
    <numFmt numFmtId="168" formatCode="0000000"/>
  </numFmts>
  <fonts count="46" x14ac:knownFonts="1">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9"/>
      <color theme="1"/>
      <name val="Calibri"/>
      <family val="2"/>
      <scheme val="minor"/>
    </font>
    <font>
      <sz val="9"/>
      <color rgb="FF000000"/>
      <name val="Calibri"/>
      <family val="2"/>
      <scheme val="minor"/>
    </font>
    <font>
      <b/>
      <sz val="9"/>
      <color theme="1"/>
      <name val="Calibri"/>
      <family val="2"/>
      <scheme val="minor"/>
    </font>
    <font>
      <sz val="9"/>
      <color rgb="FFFF0000"/>
      <name val="Calibri"/>
      <family val="2"/>
      <scheme val="minor"/>
    </font>
    <font>
      <b/>
      <sz val="9"/>
      <color rgb="FF000000"/>
      <name val="Calibri"/>
      <family val="2"/>
      <scheme val="minor"/>
    </font>
    <font>
      <sz val="11"/>
      <color rgb="FFFF0000"/>
      <name val="Calibri"/>
      <family val="2"/>
      <scheme val="minor"/>
    </font>
    <font>
      <sz val="11"/>
      <color theme="4"/>
      <name val="Calibri"/>
      <family val="2"/>
      <scheme val="minor"/>
    </font>
    <font>
      <sz val="9"/>
      <color theme="4"/>
      <name val="Calibri"/>
      <family val="2"/>
      <scheme val="minor"/>
    </font>
    <font>
      <i/>
      <sz val="9"/>
      <color theme="1"/>
      <name val="Calibri"/>
      <family val="2"/>
      <scheme val="minor"/>
    </font>
    <font>
      <b/>
      <sz val="11"/>
      <color rgb="FF000000"/>
      <name val="Calibri"/>
      <family val="2"/>
      <scheme val="minor"/>
    </font>
    <font>
      <sz val="11"/>
      <color rgb="FF000000"/>
      <name val="Calibri"/>
      <family val="2"/>
      <scheme val="minor"/>
    </font>
    <font>
      <vertAlign val="subscript"/>
      <sz val="11"/>
      <color theme="1"/>
      <name val="Calibri"/>
      <family val="2"/>
      <scheme val="minor"/>
    </font>
    <font>
      <sz val="11"/>
      <color rgb="FF000000"/>
      <name val="Calibri"/>
      <family val="2"/>
    </font>
    <font>
      <b/>
      <sz val="11"/>
      <color rgb="FF000000"/>
      <name val="Calibri"/>
      <family val="2"/>
    </font>
    <font>
      <b/>
      <sz val="11"/>
      <color rgb="FFFFFFFF"/>
      <name val="Calibri"/>
      <family val="2"/>
    </font>
    <font>
      <sz val="9"/>
      <color theme="1"/>
      <name val="Calibri"/>
      <family val="2"/>
      <scheme val="minor"/>
    </font>
    <font>
      <b/>
      <sz val="9"/>
      <color rgb="FF00B050"/>
      <name val="Calibri"/>
      <family val="2"/>
      <scheme val="minor"/>
    </font>
    <font>
      <sz val="11"/>
      <color theme="4"/>
      <name val="Calibri"/>
      <family val="2"/>
      <scheme val="minor"/>
    </font>
    <font>
      <sz val="9"/>
      <color theme="4"/>
      <name val="Calibri"/>
      <family val="2"/>
      <scheme val="minor"/>
    </font>
    <font>
      <sz val="8"/>
      <color theme="1"/>
      <name val="Calibri"/>
      <family val="2"/>
      <scheme val="minor"/>
    </font>
    <font>
      <b/>
      <sz val="9"/>
      <color theme="1"/>
      <name val="Calibri"/>
      <family val="2"/>
      <scheme val="minor"/>
    </font>
    <font>
      <b/>
      <sz val="9"/>
      <color rgb="FF000000"/>
      <name val="Calibri"/>
      <family val="2"/>
      <scheme val="minor"/>
    </font>
    <font>
      <u/>
      <sz val="11"/>
      <color theme="10"/>
      <name val="Calibri"/>
      <family val="2"/>
      <scheme val="minor"/>
    </font>
    <font>
      <b/>
      <sz val="11"/>
      <color rgb="FFFF0000"/>
      <name val="Calibri"/>
      <family val="2"/>
      <scheme val="minor"/>
    </font>
    <font>
      <i/>
      <sz val="9"/>
      <color theme="4"/>
      <name val="Calibri"/>
      <family val="2"/>
      <scheme val="minor"/>
    </font>
    <font>
      <i/>
      <sz val="9"/>
      <name val="Calibri"/>
      <family val="2"/>
      <scheme val="minor"/>
    </font>
    <font>
      <b/>
      <sz val="11"/>
      <color theme="0"/>
      <name val="Calibri"/>
      <family val="2"/>
    </font>
    <font>
      <b/>
      <u/>
      <sz val="11"/>
      <color rgb="FF000000"/>
      <name val="Calibri"/>
      <family val="2"/>
      <scheme val="minor"/>
    </font>
    <font>
      <b/>
      <vertAlign val="superscript"/>
      <sz val="9"/>
      <color rgb="FF000000"/>
      <name val="Calibri"/>
      <family val="2"/>
      <scheme val="minor"/>
    </font>
    <font>
      <sz val="8"/>
      <color rgb="FF000000"/>
      <name val="Calibri"/>
      <family val="2"/>
      <scheme val="minor"/>
    </font>
    <font>
      <b/>
      <sz val="12"/>
      <color rgb="FF000000"/>
      <name val="Calibri"/>
      <family val="2"/>
      <scheme val="minor"/>
    </font>
    <font>
      <u/>
      <sz val="10"/>
      <color theme="10"/>
      <name val="Calibri"/>
      <family val="2"/>
      <scheme val="minor"/>
    </font>
    <font>
      <sz val="10"/>
      <color theme="1"/>
      <name val="Calibri"/>
      <family val="2"/>
      <scheme val="minor"/>
    </font>
    <font>
      <vertAlign val="subscript"/>
      <sz val="10"/>
      <color theme="1"/>
      <name val="Calibri"/>
      <family val="2"/>
      <scheme val="minor"/>
    </font>
    <font>
      <b/>
      <sz val="14"/>
      <color rgb="FF000000"/>
      <name val="Calibri"/>
      <family val="2"/>
    </font>
    <font>
      <sz val="14"/>
      <color rgb="FF000000"/>
      <name val="Calibri"/>
      <family val="2"/>
    </font>
    <font>
      <sz val="11"/>
      <color rgb="FF000000"/>
      <name val="Calibri"/>
      <family val="2"/>
    </font>
    <font>
      <sz val="11"/>
      <name val="Calibri"/>
      <family val="2"/>
    </font>
    <font>
      <b/>
      <sz val="9"/>
      <color rgb="FFFF0000"/>
      <name val="Calibri"/>
      <family val="2"/>
      <scheme val="minor"/>
    </font>
    <font>
      <i/>
      <sz val="9"/>
      <color rgb="FFFF0000"/>
      <name val="Calibri"/>
      <family val="2"/>
      <scheme val="minor"/>
    </font>
  </fonts>
  <fills count="1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D2DED3"/>
        <bgColor indexed="64"/>
      </patternFill>
    </fill>
    <fill>
      <patternFill patternType="solid">
        <fgColor rgb="FFE7E7E7"/>
        <bgColor indexed="64"/>
      </patternFill>
    </fill>
    <fill>
      <patternFill patternType="solid">
        <fgColor rgb="FF00B050"/>
        <bgColor rgb="FF000000"/>
      </patternFill>
    </fill>
    <fill>
      <patternFill patternType="solid">
        <fgColor theme="0" tint="-0.14999847407452621"/>
        <bgColor indexed="64"/>
      </patternFill>
    </fill>
    <fill>
      <patternFill patternType="solid">
        <fgColor indexed="65"/>
        <bgColor theme="0"/>
      </patternFill>
    </fill>
    <fill>
      <patternFill patternType="solid">
        <fgColor rgb="FFFFFF00"/>
        <bgColor theme="0"/>
      </patternFill>
    </fill>
    <fill>
      <patternFill patternType="solid">
        <fgColor theme="0"/>
        <bgColor theme="0"/>
      </patternFill>
    </fill>
    <fill>
      <patternFill patternType="solid">
        <fgColor theme="4" tint="0.59999389629810485"/>
        <bgColor theme="0"/>
      </patternFill>
    </fill>
    <fill>
      <patternFill patternType="solid">
        <fgColor theme="8" tint="0.79998168889431442"/>
        <bgColor theme="0"/>
      </patternFill>
    </fill>
    <fill>
      <patternFill patternType="solid">
        <fgColor theme="4" tint="0.59999389629810485"/>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style="medium">
        <color indexed="64"/>
      </bottom>
      <diagonal/>
    </border>
    <border>
      <left/>
      <right style="medium">
        <color rgb="FFB7B2AA"/>
      </right>
      <top/>
      <bottom style="medium">
        <color rgb="FFB7B2AA"/>
      </bottom>
      <diagonal/>
    </border>
    <border>
      <left/>
      <right/>
      <top/>
      <bottom style="medium">
        <color rgb="FFB7B2AA"/>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thin">
        <color indexed="64"/>
      </left>
      <right/>
      <top style="thin">
        <color indexed="64"/>
      </top>
      <bottom style="medium">
        <color rgb="FF000000"/>
      </bottom>
      <diagonal/>
    </border>
    <border>
      <left/>
      <right style="thin">
        <color indexed="64"/>
      </right>
      <top style="thin">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B7B2AA"/>
      </right>
      <top/>
      <bottom/>
      <diagonal/>
    </border>
    <border>
      <left style="medium">
        <color rgb="FF000000"/>
      </left>
      <right style="thin">
        <color indexed="64"/>
      </right>
      <top style="thin">
        <color indexed="64"/>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medium">
        <color rgb="FF000000"/>
      </left>
      <right/>
      <top/>
      <bottom/>
      <diagonal/>
    </border>
    <border>
      <left style="medium">
        <color indexed="64"/>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thin">
        <color indexed="64"/>
      </left>
      <right style="medium">
        <color indexed="64"/>
      </right>
      <top/>
      <bottom style="medium">
        <color indexed="64"/>
      </bottom>
      <diagonal/>
    </border>
    <border>
      <left/>
      <right/>
      <top style="medium">
        <color rgb="FF000000"/>
      </top>
      <bottom style="medium">
        <color indexed="64"/>
      </bottom>
      <diagonal/>
    </border>
    <border>
      <left style="thin">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rgb="FF000000"/>
      </left>
      <right/>
      <top style="medium">
        <color rgb="FF000000"/>
      </top>
      <bottom/>
      <diagonal/>
    </border>
    <border>
      <left style="medium">
        <color rgb="FF000000"/>
      </left>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medium">
        <color rgb="FF000000"/>
      </left>
      <right style="medium">
        <color indexed="64"/>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medium">
        <color indexed="64"/>
      </right>
      <top style="thin">
        <color indexed="64"/>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8" fillId="0" borderId="0" applyNumberFormat="0" applyFill="0" applyBorder="0" applyAlignment="0" applyProtection="0"/>
  </cellStyleXfs>
  <cellXfs count="479">
    <xf numFmtId="0" fontId="0" fillId="0" borderId="0" xfId="0"/>
    <xf numFmtId="0" fontId="0" fillId="0" borderId="0" xfId="0" applyAlignment="1">
      <alignment wrapText="1"/>
    </xf>
    <xf numFmtId="0" fontId="3" fillId="0" borderId="0" xfId="0" applyFont="1" applyAlignment="1">
      <alignment horizontal="center" wrapText="1"/>
    </xf>
    <xf numFmtId="0" fontId="0" fillId="0" borderId="6" xfId="0" applyBorder="1"/>
    <xf numFmtId="0" fontId="3" fillId="2" borderId="4" xfId="0" applyFont="1" applyFill="1" applyBorder="1" applyAlignment="1">
      <alignment wrapText="1"/>
    </xf>
    <xf numFmtId="0" fontId="3" fillId="2" borderId="5" xfId="0" applyFont="1" applyFill="1" applyBorder="1" applyAlignment="1">
      <alignment wrapText="1"/>
    </xf>
    <xf numFmtId="0" fontId="3" fillId="2" borderId="19" xfId="0" applyFont="1" applyFill="1" applyBorder="1" applyAlignment="1">
      <alignment wrapText="1"/>
    </xf>
    <xf numFmtId="0" fontId="0" fillId="5" borderId="6" xfId="0" applyFill="1" applyBorder="1"/>
    <xf numFmtId="0" fontId="0" fillId="0" borderId="0" xfId="0" applyAlignment="1">
      <alignment horizontal="left"/>
    </xf>
    <xf numFmtId="0" fontId="0" fillId="0" borderId="1" xfId="0" applyBorder="1"/>
    <xf numFmtId="0" fontId="3" fillId="0" borderId="0" xfId="0" applyFont="1"/>
    <xf numFmtId="0" fontId="3" fillId="0" borderId="13" xfId="0" applyFont="1" applyBorder="1"/>
    <xf numFmtId="0" fontId="3" fillId="2" borderId="21" xfId="0" applyFont="1" applyFill="1" applyBorder="1" applyAlignment="1">
      <alignment wrapText="1"/>
    </xf>
    <xf numFmtId="0" fontId="0" fillId="0" borderId="32" xfId="0" applyBorder="1"/>
    <xf numFmtId="0" fontId="3" fillId="2" borderId="33" xfId="0" applyFont="1" applyFill="1" applyBorder="1" applyAlignment="1">
      <alignment wrapText="1"/>
    </xf>
    <xf numFmtId="0" fontId="6" fillId="0" borderId="0" xfId="0" applyFont="1"/>
    <xf numFmtId="164" fontId="0" fillId="0" borderId="0" xfId="0" applyNumberFormat="1"/>
    <xf numFmtId="2" fontId="0" fillId="0" borderId="6" xfId="0" applyNumberFormat="1" applyBorder="1" applyAlignment="1">
      <alignment vertical="center"/>
    </xf>
    <xf numFmtId="0" fontId="0" fillId="7" borderId="6" xfId="0" applyFill="1" applyBorder="1"/>
    <xf numFmtId="0" fontId="0" fillId="7" borderId="7" xfId="0" applyFill="1" applyBorder="1"/>
    <xf numFmtId="0" fontId="0" fillId="7" borderId="1" xfId="0" applyFill="1" applyBorder="1"/>
    <xf numFmtId="0" fontId="0" fillId="7" borderId="9" xfId="0" applyFill="1" applyBorder="1"/>
    <xf numFmtId="166" fontId="0" fillId="0" borderId="6" xfId="0" applyNumberFormat="1" applyBorder="1"/>
    <xf numFmtId="0" fontId="0" fillId="7" borderId="2" xfId="0" applyFill="1" applyBorder="1"/>
    <xf numFmtId="0" fontId="0" fillId="7" borderId="29" xfId="0" applyFill="1" applyBorder="1"/>
    <xf numFmtId="0" fontId="0" fillId="7" borderId="8" xfId="0" applyFill="1" applyBorder="1"/>
    <xf numFmtId="0" fontId="0" fillId="7" borderId="11" xfId="0" applyFill="1" applyBorder="1"/>
    <xf numFmtId="2" fontId="6" fillId="0" borderId="0" xfId="0" applyNumberFormat="1" applyFont="1"/>
    <xf numFmtId="0" fontId="0" fillId="5" borderId="7" xfId="0" applyFill="1" applyBorder="1"/>
    <xf numFmtId="0" fontId="0" fillId="5" borderId="8" xfId="0" applyFill="1" applyBorder="1"/>
    <xf numFmtId="2" fontId="0" fillId="0" borderId="1" xfId="0" applyNumberFormat="1" applyBorder="1" applyAlignment="1">
      <alignment vertical="center"/>
    </xf>
    <xf numFmtId="2" fontId="0" fillId="7" borderId="1" xfId="0" applyNumberFormat="1" applyFill="1" applyBorder="1"/>
    <xf numFmtId="0" fontId="0" fillId="4" borderId="7" xfId="0" applyFill="1" applyBorder="1"/>
    <xf numFmtId="0" fontId="0" fillId="4" borderId="1" xfId="0" applyFill="1" applyBorder="1"/>
    <xf numFmtId="0" fontId="0" fillId="4" borderId="11" xfId="0" applyFill="1" applyBorder="1"/>
    <xf numFmtId="0" fontId="0" fillId="4" borderId="2" xfId="0" applyFill="1" applyBorder="1"/>
    <xf numFmtId="0" fontId="0" fillId="0" borderId="6" xfId="0" applyBorder="1" applyAlignment="1">
      <alignment horizontal="right" vertical="center"/>
    </xf>
    <xf numFmtId="0" fontId="4" fillId="0" borderId="6" xfId="0" applyFont="1" applyBorder="1" applyAlignment="1">
      <alignment horizontal="right" vertical="center"/>
    </xf>
    <xf numFmtId="2" fontId="0" fillId="0" borderId="1" xfId="0" applyNumberFormat="1" applyBorder="1"/>
    <xf numFmtId="0" fontId="0" fillId="0" borderId="6" xfId="0" applyBorder="1" applyAlignment="1">
      <alignment horizontal="right"/>
    </xf>
    <xf numFmtId="2" fontId="0" fillId="0" borderId="6" xfId="0" applyNumberFormat="1" applyBorder="1"/>
    <xf numFmtId="0" fontId="0" fillId="7" borderId="0" xfId="0" applyFill="1"/>
    <xf numFmtId="164" fontId="0" fillId="0" borderId="1" xfId="0" applyNumberFormat="1" applyBorder="1"/>
    <xf numFmtId="2" fontId="0" fillId="0" borderId="3" xfId="0" applyNumberFormat="1" applyBorder="1"/>
    <xf numFmtId="164" fontId="0" fillId="0" borderId="2" xfId="0" applyNumberFormat="1" applyBorder="1"/>
    <xf numFmtId="0" fontId="12" fillId="0" borderId="0" xfId="0" applyFont="1"/>
    <xf numFmtId="0" fontId="13" fillId="0" borderId="0" xfId="0" applyFont="1"/>
    <xf numFmtId="0" fontId="9" fillId="0" borderId="0" xfId="0" applyFont="1"/>
    <xf numFmtId="1" fontId="0" fillId="0" borderId="1" xfId="0" applyNumberFormat="1" applyBorder="1"/>
    <xf numFmtId="0" fontId="0" fillId="0" borderId="8" xfId="0" applyBorder="1"/>
    <xf numFmtId="0" fontId="0" fillId="0" borderId="11" xfId="0" applyBorder="1"/>
    <xf numFmtId="0" fontId="0" fillId="0" borderId="7" xfId="0" applyBorder="1"/>
    <xf numFmtId="0" fontId="0" fillId="0" borderId="9" xfId="0" applyBorder="1"/>
    <xf numFmtId="2" fontId="0" fillId="0" borderId="0" xfId="0" applyNumberFormat="1"/>
    <xf numFmtId="164" fontId="0" fillId="0" borderId="1" xfId="0" applyNumberFormat="1" applyBorder="1" applyAlignment="1">
      <alignment vertical="center"/>
    </xf>
    <xf numFmtId="166" fontId="0" fillId="0" borderId="1" xfId="0" applyNumberFormat="1" applyBorder="1" applyAlignment="1">
      <alignment vertical="center"/>
    </xf>
    <xf numFmtId="166" fontId="0" fillId="0" borderId="6" xfId="0" applyNumberFormat="1" applyBorder="1" applyAlignment="1">
      <alignment vertical="center"/>
    </xf>
    <xf numFmtId="164" fontId="0" fillId="0" borderId="6" xfId="0" applyNumberFormat="1" applyBorder="1" applyAlignment="1">
      <alignment vertical="center"/>
    </xf>
    <xf numFmtId="0" fontId="15" fillId="9" borderId="42" xfId="0" applyFont="1" applyFill="1" applyBorder="1" applyAlignment="1">
      <alignment vertical="center" wrapText="1"/>
    </xf>
    <xf numFmtId="0" fontId="15" fillId="9" borderId="43" xfId="0" applyFont="1" applyFill="1"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15" fillId="10" borderId="42" xfId="0" applyFont="1" applyFill="1" applyBorder="1" applyAlignment="1">
      <alignment vertical="center" wrapText="1"/>
    </xf>
    <xf numFmtId="0" fontId="0" fillId="10" borderId="42" xfId="0" applyFill="1" applyBorder="1" applyAlignment="1">
      <alignment horizontal="left" vertical="center" wrapText="1" indent="4"/>
    </xf>
    <xf numFmtId="0" fontId="16" fillId="10" borderId="42" xfId="0" applyFont="1" applyFill="1" applyBorder="1" applyAlignment="1">
      <alignment vertical="center" wrapText="1"/>
    </xf>
    <xf numFmtId="0" fontId="0" fillId="10" borderId="43" xfId="0" applyFill="1" applyBorder="1" applyAlignment="1">
      <alignment vertical="center" wrapText="1"/>
    </xf>
    <xf numFmtId="0" fontId="16" fillId="10" borderId="43" xfId="0" applyFont="1" applyFill="1" applyBorder="1" applyAlignment="1">
      <alignment vertical="center" wrapText="1"/>
    </xf>
    <xf numFmtId="0" fontId="3" fillId="0" borderId="42" xfId="0" applyFont="1" applyBorder="1" applyAlignment="1">
      <alignment horizontal="right" vertical="center" wrapText="1"/>
    </xf>
    <xf numFmtId="0" fontId="0" fillId="0" borderId="42" xfId="0" applyBorder="1" applyAlignment="1">
      <alignment horizontal="right" vertical="center" wrapText="1"/>
    </xf>
    <xf numFmtId="0" fontId="0" fillId="10" borderId="42" xfId="0" applyFill="1" applyBorder="1" applyAlignment="1">
      <alignment horizontal="right" vertical="center" wrapText="1"/>
    </xf>
    <xf numFmtId="2" fontId="0" fillId="0" borderId="2" xfId="0" applyNumberFormat="1" applyBorder="1" applyAlignment="1">
      <alignment vertical="center"/>
    </xf>
    <xf numFmtId="167" fontId="0" fillId="0" borderId="6" xfId="0" applyNumberFormat="1" applyBorder="1"/>
    <xf numFmtId="0" fontId="0" fillId="5" borderId="2" xfId="0" applyFill="1" applyBorder="1"/>
    <xf numFmtId="0" fontId="0" fillId="0" borderId="2" xfId="0" applyBorder="1"/>
    <xf numFmtId="0" fontId="0" fillId="0" borderId="29" xfId="0" applyBorder="1"/>
    <xf numFmtId="166" fontId="0" fillId="0" borderId="1" xfId="0" applyNumberFormat="1" applyBorder="1"/>
    <xf numFmtId="2" fontId="0" fillId="8" borderId="6" xfId="0" applyNumberFormat="1" applyFill="1" applyBorder="1"/>
    <xf numFmtId="0" fontId="0" fillId="4" borderId="29" xfId="0" applyFill="1" applyBorder="1"/>
    <xf numFmtId="0" fontId="3" fillId="2" borderId="59" xfId="0" applyFont="1" applyFill="1" applyBorder="1" applyAlignment="1">
      <alignment wrapText="1"/>
    </xf>
    <xf numFmtId="0" fontId="3" fillId="2" borderId="60" xfId="0" applyFont="1" applyFill="1" applyBorder="1" applyAlignment="1">
      <alignment wrapText="1"/>
    </xf>
    <xf numFmtId="0" fontId="0" fillId="7" borderId="56" xfId="0" applyFill="1" applyBorder="1"/>
    <xf numFmtId="0" fontId="0" fillId="4" borderId="56" xfId="0" applyFill="1" applyBorder="1"/>
    <xf numFmtId="0" fontId="0" fillId="7" borderId="58" xfId="0" applyFill="1" applyBorder="1"/>
    <xf numFmtId="0" fontId="0" fillId="0" borderId="3" xfId="0" applyBorder="1"/>
    <xf numFmtId="0" fontId="3" fillId="2" borderId="61" xfId="0" applyFont="1" applyFill="1" applyBorder="1" applyAlignment="1">
      <alignment wrapText="1"/>
    </xf>
    <xf numFmtId="0" fontId="0" fillId="0" borderId="55" xfId="0" applyBorder="1"/>
    <xf numFmtId="0" fontId="0" fillId="0" borderId="57" xfId="0" applyBorder="1"/>
    <xf numFmtId="0" fontId="0" fillId="4" borderId="62" xfId="0" applyFill="1" applyBorder="1"/>
    <xf numFmtId="0" fontId="0" fillId="7" borderId="3" xfId="0" applyFill="1" applyBorder="1"/>
    <xf numFmtId="0" fontId="0" fillId="7" borderId="31" xfId="0" applyFill="1" applyBorder="1"/>
    <xf numFmtId="0" fontId="0" fillId="0" borderId="74" xfId="0" applyBorder="1" applyAlignment="1">
      <alignment vertical="center" wrapText="1"/>
    </xf>
    <xf numFmtId="0" fontId="19" fillId="0" borderId="68" xfId="0" applyFont="1" applyBorder="1" applyAlignment="1">
      <alignment wrapText="1"/>
    </xf>
    <xf numFmtId="0" fontId="19" fillId="0" borderId="69" xfId="0" applyFont="1" applyBorder="1" applyAlignment="1">
      <alignment wrapText="1"/>
    </xf>
    <xf numFmtId="0" fontId="19" fillId="0" borderId="70" xfId="0" applyFont="1" applyBorder="1" applyAlignment="1">
      <alignment wrapText="1"/>
    </xf>
    <xf numFmtId="0" fontId="20" fillId="11" borderId="3" xfId="0" applyFont="1" applyFill="1" applyBorder="1" applyAlignment="1">
      <alignment vertical="top"/>
    </xf>
    <xf numFmtId="0" fontId="0" fillId="0" borderId="0" xfId="0" applyAlignment="1">
      <alignment vertical="top"/>
    </xf>
    <xf numFmtId="0" fontId="18" fillId="0" borderId="15" xfId="0" applyFont="1" applyBorder="1" applyAlignment="1">
      <alignment vertical="top" wrapText="1"/>
    </xf>
    <xf numFmtId="0" fontId="18" fillId="0" borderId="30" xfId="0" applyFont="1" applyBorder="1" applyAlignment="1">
      <alignment vertical="top" wrapText="1"/>
    </xf>
    <xf numFmtId="0" fontId="21" fillId="0" borderId="0" xfId="0" applyFont="1"/>
    <xf numFmtId="0" fontId="22" fillId="0" borderId="0" xfId="0" applyFont="1"/>
    <xf numFmtId="2" fontId="21" fillId="0" borderId="0" xfId="0" applyNumberFormat="1" applyFont="1"/>
    <xf numFmtId="0" fontId="2" fillId="0" borderId="0" xfId="0" applyFont="1"/>
    <xf numFmtId="0" fontId="23" fillId="0" borderId="0" xfId="0" applyFont="1"/>
    <xf numFmtId="0" fontId="24" fillId="0" borderId="0" xfId="0" applyFont="1"/>
    <xf numFmtId="2" fontId="0" fillId="0" borderId="89" xfId="0" applyNumberFormat="1" applyBorder="1" applyAlignment="1">
      <alignment vertical="center"/>
    </xf>
    <xf numFmtId="2" fontId="0" fillId="0" borderId="89" xfId="0" applyNumberFormat="1" applyBorder="1"/>
    <xf numFmtId="0" fontId="1" fillId="0" borderId="0" xfId="0" applyFont="1"/>
    <xf numFmtId="0" fontId="19" fillId="0" borderId="63" xfId="0" applyFont="1" applyBorder="1" applyAlignment="1">
      <alignment horizontal="center" wrapText="1"/>
    </xf>
    <xf numFmtId="0" fontId="19" fillId="0" borderId="68" xfId="0" applyFont="1" applyBorder="1" applyAlignment="1">
      <alignment horizontal="center" wrapText="1"/>
    </xf>
    <xf numFmtId="0" fontId="19" fillId="0" borderId="64" xfId="0" applyFont="1" applyBorder="1" applyAlignment="1">
      <alignment horizontal="center" wrapText="1"/>
    </xf>
    <xf numFmtId="0" fontId="19" fillId="0" borderId="71" xfId="0" applyFont="1" applyBorder="1" applyAlignment="1">
      <alignment horizontal="center" wrapText="1"/>
    </xf>
    <xf numFmtId="0" fontId="19" fillId="0" borderId="82" xfId="0" applyFont="1" applyBorder="1" applyAlignment="1">
      <alignment horizontal="center" wrapText="1"/>
    </xf>
    <xf numFmtId="0" fontId="18" fillId="0" borderId="85" xfId="0" applyFont="1" applyBorder="1" applyAlignment="1">
      <alignment horizontal="center" vertical="top" wrapText="1"/>
    </xf>
    <xf numFmtId="0" fontId="18" fillId="0" borderId="81" xfId="0" applyFont="1" applyBorder="1" applyAlignment="1">
      <alignment horizontal="center" vertical="top" wrapText="1"/>
    </xf>
    <xf numFmtId="0" fontId="18" fillId="0" borderId="80" xfId="0" applyFont="1" applyBorder="1" applyAlignment="1">
      <alignment horizontal="center" vertical="top" wrapText="1"/>
    </xf>
    <xf numFmtId="14" fontId="18" fillId="0" borderId="80" xfId="0" applyNumberFormat="1" applyFont="1" applyBorder="1" applyAlignment="1">
      <alignment horizontal="center" vertical="top" wrapText="1"/>
    </xf>
    <xf numFmtId="0" fontId="18" fillId="0" borderId="82" xfId="0" applyFont="1" applyBorder="1" applyAlignment="1">
      <alignment horizontal="center" vertical="top" wrapText="1"/>
    </xf>
    <xf numFmtId="0" fontId="18" fillId="0" borderId="70" xfId="0" applyFont="1" applyBorder="1" applyAlignment="1">
      <alignment vertical="top" wrapText="1"/>
    </xf>
    <xf numFmtId="0" fontId="29" fillId="0" borderId="0" xfId="0" applyFont="1" applyAlignment="1">
      <alignment vertical="top"/>
    </xf>
    <xf numFmtId="0" fontId="32" fillId="11" borderId="1" xfId="0" applyFont="1" applyFill="1" applyBorder="1" applyAlignment="1">
      <alignment vertical="top"/>
    </xf>
    <xf numFmtId="0" fontId="33" fillId="0" borderId="0" xfId="0" applyFont="1" applyAlignment="1">
      <alignment vertical="top"/>
    </xf>
    <xf numFmtId="0" fontId="25" fillId="0" borderId="0" xfId="0" applyFont="1" applyAlignment="1">
      <alignment vertical="center" wrapText="1"/>
    </xf>
    <xf numFmtId="2" fontId="7" fillId="0" borderId="71" xfId="0" applyNumberFormat="1" applyFont="1" applyBorder="1"/>
    <xf numFmtId="0" fontId="9" fillId="0" borderId="64" xfId="0" applyFont="1" applyBorder="1"/>
    <xf numFmtId="2" fontId="7" fillId="0" borderId="82" xfId="0" applyNumberFormat="1" applyFont="1" applyBorder="1"/>
    <xf numFmtId="0" fontId="7" fillId="0" borderId="82" xfId="0" applyFont="1" applyBorder="1"/>
    <xf numFmtId="0" fontId="37" fillId="0" borderId="0" xfId="1" applyFont="1"/>
    <xf numFmtId="0" fontId="6" fillId="0" borderId="0" xfId="0" applyFont="1" applyAlignment="1">
      <alignment vertical="center"/>
    </xf>
    <xf numFmtId="0" fontId="6" fillId="0" borderId="70" xfId="0" applyFont="1" applyBorder="1"/>
    <xf numFmtId="2" fontId="6" fillId="0" borderId="0" xfId="0" applyNumberFormat="1" applyFont="1" applyAlignment="1">
      <alignment horizontal="right" vertical="center"/>
    </xf>
    <xf numFmtId="0" fontId="7" fillId="0" borderId="0" xfId="0" applyFont="1" applyAlignment="1">
      <alignment horizontal="right" vertical="center"/>
    </xf>
    <xf numFmtId="0" fontId="7" fillId="0" borderId="0" xfId="0" applyFont="1" applyAlignment="1">
      <alignment vertical="center"/>
    </xf>
    <xf numFmtId="0" fontId="6" fillId="0" borderId="82" xfId="0" applyFont="1" applyBorder="1"/>
    <xf numFmtId="0" fontId="6" fillId="0" borderId="68" xfId="0" applyFont="1" applyBorder="1"/>
    <xf numFmtId="0" fontId="6" fillId="0" borderId="78" xfId="0" applyFont="1" applyBorder="1"/>
    <xf numFmtId="0" fontId="6" fillId="0" borderId="78" xfId="0" applyFont="1" applyBorder="1" applyAlignment="1">
      <alignment wrapText="1"/>
    </xf>
    <xf numFmtId="0" fontId="6" fillId="0" borderId="84" xfId="0" applyFont="1" applyBorder="1"/>
    <xf numFmtId="0" fontId="6" fillId="0" borderId="80" xfId="0" applyFont="1" applyBorder="1"/>
    <xf numFmtId="0" fontId="6" fillId="0" borderId="85" xfId="0" applyFont="1" applyBorder="1"/>
    <xf numFmtId="2" fontId="6" fillId="0" borderId="78" xfId="0" applyNumberFormat="1" applyFont="1" applyBorder="1"/>
    <xf numFmtId="0" fontId="6" fillId="0" borderId="101" xfId="0" applyFont="1" applyBorder="1"/>
    <xf numFmtId="0" fontId="6" fillId="0" borderId="83" xfId="0" applyFont="1" applyBorder="1"/>
    <xf numFmtId="0" fontId="6" fillId="0" borderId="96" xfId="0" applyFont="1" applyBorder="1" applyAlignment="1">
      <alignment horizontal="center" vertical="center" wrapText="1"/>
    </xf>
    <xf numFmtId="0" fontId="6" fillId="0" borderId="92" xfId="0" applyFont="1" applyBorder="1" applyAlignment="1">
      <alignment horizontal="center" vertical="center" wrapText="1"/>
    </xf>
    <xf numFmtId="0" fontId="6" fillId="0" borderId="93" xfId="0" applyFont="1" applyBorder="1" applyAlignment="1">
      <alignment horizontal="center" vertical="center" wrapText="1"/>
    </xf>
    <xf numFmtId="167" fontId="6" fillId="0" borderId="84" xfId="0" applyNumberFormat="1" applyFont="1" applyBorder="1"/>
    <xf numFmtId="164" fontId="6" fillId="0" borderId="78" xfId="0" applyNumberFormat="1" applyFont="1" applyBorder="1"/>
    <xf numFmtId="164" fontId="6" fillId="0" borderId="84" xfId="0" applyNumberFormat="1" applyFont="1" applyBorder="1"/>
    <xf numFmtId="0" fontId="38" fillId="0" borderId="78" xfId="0" applyFont="1" applyBorder="1"/>
    <xf numFmtId="165" fontId="6" fillId="0" borderId="78" xfId="0" applyNumberFormat="1" applyFont="1" applyBorder="1"/>
    <xf numFmtId="165" fontId="6" fillId="0" borderId="84" xfId="0" applyNumberFormat="1" applyFont="1" applyBorder="1"/>
    <xf numFmtId="2" fontId="6" fillId="0" borderId="84" xfId="0" applyNumberFormat="1" applyFont="1" applyBorder="1"/>
    <xf numFmtId="167" fontId="6" fillId="0" borderId="78" xfId="0" applyNumberFormat="1" applyFont="1" applyBorder="1"/>
    <xf numFmtId="2" fontId="6" fillId="6" borderId="84" xfId="0" applyNumberFormat="1" applyFont="1" applyFill="1" applyBorder="1"/>
    <xf numFmtId="2" fontId="6" fillId="6" borderId="81" xfId="0" applyNumberFormat="1" applyFont="1" applyFill="1" applyBorder="1"/>
    <xf numFmtId="2" fontId="6" fillId="6" borderId="85" xfId="0" applyNumberFormat="1" applyFont="1" applyFill="1" applyBorder="1"/>
    <xf numFmtId="164" fontId="6" fillId="0" borderId="0" xfId="0" applyNumberFormat="1" applyFont="1"/>
    <xf numFmtId="165" fontId="6" fillId="0" borderId="0" xfId="0" applyNumberFormat="1" applyFont="1"/>
    <xf numFmtId="2" fontId="6" fillId="6" borderId="0" xfId="0" applyNumberFormat="1" applyFont="1" applyFill="1"/>
    <xf numFmtId="2" fontId="6" fillId="0" borderId="80" xfId="0" applyNumberFormat="1" applyFont="1" applyBorder="1"/>
    <xf numFmtId="0" fontId="6" fillId="0" borderId="65" xfId="0" applyFont="1" applyBorder="1"/>
    <xf numFmtId="0" fontId="6" fillId="0" borderId="81" xfId="0" applyFont="1" applyBorder="1"/>
    <xf numFmtId="0" fontId="6" fillId="0" borderId="82" xfId="0" applyFont="1" applyBorder="1" applyAlignment="1">
      <alignment wrapText="1"/>
    </xf>
    <xf numFmtId="0" fontId="6" fillId="0" borderId="63" xfId="0" applyFont="1" applyBorder="1" applyAlignment="1">
      <alignment wrapText="1"/>
    </xf>
    <xf numFmtId="2" fontId="6" fillId="0" borderId="63" xfId="0" applyNumberFormat="1" applyFont="1" applyBorder="1"/>
    <xf numFmtId="167" fontId="6" fillId="0" borderId="64" xfId="0" applyNumberFormat="1" applyFont="1" applyBorder="1"/>
    <xf numFmtId="0" fontId="3" fillId="2" borderId="102" xfId="0" applyFont="1" applyFill="1" applyBorder="1" applyAlignment="1">
      <alignment wrapText="1"/>
    </xf>
    <xf numFmtId="0" fontId="3" fillId="2" borderId="103" xfId="0" applyFont="1" applyFill="1" applyBorder="1" applyAlignment="1">
      <alignment wrapText="1"/>
    </xf>
    <xf numFmtId="0" fontId="3" fillId="2" borderId="104" xfId="0" applyFont="1" applyFill="1" applyBorder="1" applyAlignment="1">
      <alignment wrapText="1"/>
    </xf>
    <xf numFmtId="0" fontId="5" fillId="2" borderId="103" xfId="0" applyFont="1" applyFill="1" applyBorder="1" applyAlignment="1">
      <alignment wrapText="1"/>
    </xf>
    <xf numFmtId="0" fontId="5" fillId="2" borderId="61" xfId="0" applyFont="1" applyFill="1" applyBorder="1" applyAlignment="1">
      <alignment wrapText="1"/>
    </xf>
    <xf numFmtId="0" fontId="3" fillId="2" borderId="103" xfId="0" applyFont="1" applyFill="1" applyBorder="1" applyAlignment="1">
      <alignment horizontal="left" wrapText="1"/>
    </xf>
    <xf numFmtId="0" fontId="3" fillId="2" borderId="61" xfId="0" applyFont="1" applyFill="1" applyBorder="1" applyAlignment="1">
      <alignment horizontal="left" wrapText="1"/>
    </xf>
    <xf numFmtId="0" fontId="3" fillId="0" borderId="105" xfId="0" applyFont="1" applyBorder="1"/>
    <xf numFmtId="0" fontId="0" fillId="0" borderId="56" xfId="0" applyBorder="1" applyAlignment="1">
      <alignment wrapText="1"/>
    </xf>
    <xf numFmtId="0" fontId="3" fillId="0" borderId="106" xfId="0" applyFont="1" applyBorder="1"/>
    <xf numFmtId="0" fontId="3" fillId="0" borderId="107" xfId="0" applyFont="1" applyBorder="1"/>
    <xf numFmtId="2" fontId="0" fillId="0" borderId="108" xfId="0" applyNumberFormat="1" applyBorder="1"/>
    <xf numFmtId="2" fontId="0" fillId="0" borderId="62" xfId="0" applyNumberFormat="1" applyBorder="1"/>
    <xf numFmtId="164" fontId="0" fillId="0" borderId="62" xfId="0" applyNumberFormat="1" applyBorder="1"/>
    <xf numFmtId="164" fontId="0" fillId="0" borderId="66" xfId="0" applyNumberFormat="1" applyBorder="1"/>
    <xf numFmtId="2" fontId="0" fillId="0" borderId="62" xfId="0" applyNumberFormat="1" applyBorder="1" applyAlignment="1">
      <alignment vertical="center"/>
    </xf>
    <xf numFmtId="2" fontId="0" fillId="0" borderId="66" xfId="0" applyNumberFormat="1" applyBorder="1" applyAlignment="1">
      <alignment vertical="center"/>
    </xf>
    <xf numFmtId="2" fontId="0" fillId="0" borderId="108" xfId="0" applyNumberFormat="1" applyBorder="1" applyAlignment="1">
      <alignment vertical="center"/>
    </xf>
    <xf numFmtId="2" fontId="0" fillId="7" borderId="62" xfId="0" applyNumberFormat="1" applyFill="1" applyBorder="1"/>
    <xf numFmtId="167" fontId="0" fillId="0" borderId="108" xfId="0" applyNumberFormat="1" applyBorder="1"/>
    <xf numFmtId="0" fontId="0" fillId="0" borderId="58" xfId="0" applyBorder="1" applyAlignment="1">
      <alignment wrapText="1"/>
    </xf>
    <xf numFmtId="0" fontId="6" fillId="13" borderId="0" xfId="0" applyFont="1" applyFill="1"/>
    <xf numFmtId="0" fontId="6" fillId="14" borderId="0" xfId="0" applyFont="1" applyFill="1"/>
    <xf numFmtId="0" fontId="6" fillId="15" borderId="0" xfId="0" applyFont="1" applyFill="1"/>
    <xf numFmtId="2" fontId="6" fillId="15" borderId="0" xfId="0" applyNumberFormat="1" applyFont="1" applyFill="1"/>
    <xf numFmtId="0" fontId="12" fillId="13" borderId="0" xfId="0" applyFont="1" applyFill="1"/>
    <xf numFmtId="0" fontId="13" fillId="13" borderId="0" xfId="0" applyFont="1" applyFill="1"/>
    <xf numFmtId="0" fontId="6" fillId="13" borderId="0" xfId="0" applyFont="1" applyFill="1" applyAlignment="1">
      <alignment wrapText="1"/>
    </xf>
    <xf numFmtId="0" fontId="6" fillId="13" borderId="27" xfId="0" applyFont="1" applyFill="1" applyBorder="1"/>
    <xf numFmtId="0" fontId="6" fillId="15" borderId="0" xfId="0" applyFont="1" applyFill="1" applyAlignment="1">
      <alignment horizontal="right" vertical="center"/>
    </xf>
    <xf numFmtId="0" fontId="8" fillId="13" borderId="83" xfId="0" applyFont="1" applyFill="1" applyBorder="1" applyAlignment="1">
      <alignment vertical="center"/>
    </xf>
    <xf numFmtId="14" fontId="8" fillId="13" borderId="44" xfId="0" applyNumberFormat="1" applyFont="1" applyFill="1" applyBorder="1" applyAlignment="1">
      <alignment horizontal="center" vertical="center"/>
    </xf>
    <xf numFmtId="14" fontId="8" fillId="13" borderId="41" xfId="0" applyNumberFormat="1" applyFont="1" applyFill="1" applyBorder="1" applyAlignment="1">
      <alignment horizontal="center" vertical="center"/>
    </xf>
    <xf numFmtId="14" fontId="8" fillId="13" borderId="26" xfId="0" applyNumberFormat="1" applyFont="1" applyFill="1" applyBorder="1" applyAlignment="1">
      <alignment horizontal="center" vertical="center"/>
    </xf>
    <xf numFmtId="0" fontId="8" fillId="15" borderId="13" xfId="0" applyFont="1" applyFill="1" applyBorder="1" applyAlignment="1">
      <alignment horizontal="center" vertical="center"/>
    </xf>
    <xf numFmtId="2" fontId="8" fillId="15" borderId="13" xfId="0" applyNumberFormat="1" applyFont="1" applyFill="1" applyBorder="1" applyAlignment="1">
      <alignment horizontal="center"/>
    </xf>
    <xf numFmtId="0" fontId="10" fillId="15" borderId="90" xfId="0" applyFont="1" applyFill="1" applyBorder="1" applyAlignment="1">
      <alignment horizontal="center" vertical="center"/>
    </xf>
    <xf numFmtId="0" fontId="10" fillId="15" borderId="39" xfId="0" applyFont="1" applyFill="1" applyBorder="1" applyAlignment="1">
      <alignment horizontal="center" vertical="center"/>
    </xf>
    <xf numFmtId="0" fontId="6" fillId="13" borderId="69" xfId="0" applyFont="1" applyFill="1" applyBorder="1"/>
    <xf numFmtId="0" fontId="7" fillId="13" borderId="16" xfId="0" applyFont="1" applyFill="1" applyBorder="1" applyAlignment="1">
      <alignment horizontal="center" vertical="center"/>
    </xf>
    <xf numFmtId="0" fontId="7" fillId="13" borderId="18" xfId="0" applyFont="1" applyFill="1" applyBorder="1" applyAlignment="1">
      <alignment horizontal="center" vertical="center"/>
    </xf>
    <xf numFmtId="0" fontId="7" fillId="13" borderId="17" xfId="0" applyFont="1" applyFill="1" applyBorder="1" applyAlignment="1">
      <alignment horizontal="center" vertical="center"/>
    </xf>
    <xf numFmtId="0" fontId="6" fillId="13" borderId="25" xfId="0" applyFont="1" applyFill="1" applyBorder="1" applyAlignment="1">
      <alignment vertical="center" wrapText="1"/>
    </xf>
    <xf numFmtId="0" fontId="6" fillId="13" borderId="15" xfId="0" applyFont="1" applyFill="1" applyBorder="1" applyAlignment="1">
      <alignment horizontal="center" vertical="center"/>
    </xf>
    <xf numFmtId="0" fontId="6" fillId="13" borderId="2" xfId="0" applyFont="1" applyFill="1" applyBorder="1"/>
    <xf numFmtId="0" fontId="6" fillId="13" borderId="25" xfId="0" applyFont="1" applyFill="1" applyBorder="1" applyAlignment="1">
      <alignment horizontal="center" vertical="center"/>
    </xf>
    <xf numFmtId="0" fontId="6" fillId="13" borderId="38" xfId="0" applyFont="1" applyFill="1" applyBorder="1" applyAlignment="1">
      <alignment horizontal="center" vertical="center"/>
    </xf>
    <xf numFmtId="0" fontId="6" fillId="15" borderId="30" xfId="0" applyFont="1" applyFill="1" applyBorder="1" applyAlignment="1">
      <alignment horizontal="center" vertical="center"/>
    </xf>
    <xf numFmtId="0" fontId="30" fillId="13" borderId="69" xfId="0" applyFont="1" applyFill="1" applyBorder="1"/>
    <xf numFmtId="0" fontId="6" fillId="15" borderId="6" xfId="0" applyFont="1" applyFill="1" applyBorder="1" applyAlignment="1">
      <alignment vertical="center" wrapText="1"/>
    </xf>
    <xf numFmtId="0" fontId="6" fillId="15" borderId="1" xfId="0" applyFont="1" applyFill="1" applyBorder="1" applyAlignment="1">
      <alignment horizontal="center" vertical="center"/>
    </xf>
    <xf numFmtId="0" fontId="6" fillId="15" borderId="2" xfId="0" applyFont="1" applyFill="1" applyBorder="1" applyAlignment="1">
      <alignment horizontal="center" vertical="center"/>
    </xf>
    <xf numFmtId="0" fontId="6" fillId="15" borderId="6" xfId="0" applyFont="1" applyFill="1" applyBorder="1" applyAlignment="1">
      <alignment horizontal="center" vertical="center"/>
    </xf>
    <xf numFmtId="0" fontId="6" fillId="15" borderId="7" xfId="0" applyFont="1" applyFill="1" applyBorder="1" applyAlignment="1">
      <alignment horizontal="center" vertical="center"/>
    </xf>
    <xf numFmtId="2" fontId="6" fillId="15" borderId="76" xfId="0" applyNumberFormat="1" applyFont="1" applyFill="1" applyBorder="1" applyAlignment="1">
      <alignment horizontal="center" vertical="center"/>
    </xf>
    <xf numFmtId="2" fontId="6" fillId="15" borderId="88" xfId="0" applyNumberFormat="1" applyFont="1" applyFill="1" applyBorder="1" applyAlignment="1">
      <alignment horizontal="center" vertical="center"/>
    </xf>
    <xf numFmtId="2" fontId="6" fillId="15" borderId="72" xfId="0" applyNumberFormat="1" applyFont="1" applyFill="1" applyBorder="1" applyAlignment="1">
      <alignment horizontal="center" vertical="center"/>
    </xf>
    <xf numFmtId="2" fontId="6" fillId="15" borderId="73" xfId="0" applyNumberFormat="1" applyFont="1" applyFill="1" applyBorder="1" applyAlignment="1">
      <alignment horizontal="center" vertical="center"/>
    </xf>
    <xf numFmtId="0" fontId="7" fillId="15" borderId="3" xfId="0" applyFont="1" applyFill="1" applyBorder="1" applyAlignment="1">
      <alignment horizontal="center" vertical="center"/>
    </xf>
    <xf numFmtId="0" fontId="7" fillId="15" borderId="7" xfId="0" applyFont="1" applyFill="1" applyBorder="1" applyAlignment="1">
      <alignment horizontal="center" vertical="center"/>
    </xf>
    <xf numFmtId="0" fontId="6" fillId="13" borderId="6" xfId="0" applyFont="1" applyFill="1" applyBorder="1" applyAlignment="1">
      <alignment vertical="center" wrapText="1"/>
    </xf>
    <xf numFmtId="0" fontId="6" fillId="13" borderId="1" xfId="0" applyFont="1" applyFill="1" applyBorder="1" applyAlignment="1">
      <alignment horizontal="center" vertical="center"/>
    </xf>
    <xf numFmtId="0" fontId="6" fillId="13" borderId="6" xfId="0" applyFont="1" applyFill="1" applyBorder="1" applyAlignment="1">
      <alignment horizontal="center" vertical="center"/>
    </xf>
    <xf numFmtId="0" fontId="6" fillId="13" borderId="7" xfId="0" applyFont="1" applyFill="1" applyBorder="1" applyAlignment="1">
      <alignment horizontal="center" vertical="center"/>
    </xf>
    <xf numFmtId="0" fontId="31" fillId="13" borderId="69" xfId="0" applyFont="1" applyFill="1" applyBorder="1"/>
    <xf numFmtId="0" fontId="6" fillId="13" borderId="2" xfId="0" applyFont="1" applyFill="1" applyBorder="1" applyAlignment="1">
      <alignment horizontal="center" vertical="center"/>
    </xf>
    <xf numFmtId="0" fontId="6" fillId="15" borderId="2" xfId="0" applyFont="1" applyFill="1" applyBorder="1"/>
    <xf numFmtId="0" fontId="6" fillId="14" borderId="2" xfId="0" applyFont="1" applyFill="1" applyBorder="1"/>
    <xf numFmtId="0" fontId="6" fillId="16" borderId="6" xfId="0" applyFont="1" applyFill="1" applyBorder="1" applyAlignment="1">
      <alignment horizontal="center" vertical="center"/>
    </xf>
    <xf numFmtId="0" fontId="6" fillId="16" borderId="1" xfId="0" applyFont="1" applyFill="1" applyBorder="1" applyAlignment="1">
      <alignment horizontal="center" vertical="center"/>
    </xf>
    <xf numFmtId="0" fontId="6" fillId="16" borderId="7" xfId="0" applyFont="1" applyFill="1" applyBorder="1" applyAlignment="1">
      <alignment horizontal="center" vertical="center"/>
    </xf>
    <xf numFmtId="0" fontId="7" fillId="15" borderId="35" xfId="0" applyFont="1" applyFill="1" applyBorder="1" applyAlignment="1">
      <alignment horizontal="center" vertical="center"/>
    </xf>
    <xf numFmtId="0" fontId="6" fillId="13" borderId="2" xfId="0" applyFont="1" applyFill="1" applyBorder="1" applyAlignment="1">
      <alignment horizontal="center" vertical="center" wrapText="1"/>
    </xf>
    <xf numFmtId="0" fontId="6" fillId="14" borderId="6" xfId="0" applyFont="1" applyFill="1" applyBorder="1" applyAlignment="1">
      <alignment vertical="center" wrapText="1"/>
    </xf>
    <xf numFmtId="0" fontId="6" fillId="14" borderId="1" xfId="0" applyFont="1" applyFill="1" applyBorder="1" applyAlignment="1">
      <alignment horizontal="center" vertical="center"/>
    </xf>
    <xf numFmtId="0" fontId="6"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7" xfId="0" applyFont="1" applyFill="1" applyBorder="1" applyAlignment="1">
      <alignment horizontal="center" vertical="center"/>
    </xf>
    <xf numFmtId="0" fontId="6" fillId="13" borderId="1" xfId="0" applyFont="1" applyFill="1" applyBorder="1"/>
    <xf numFmtId="0" fontId="6" fillId="13" borderId="48" xfId="0" applyFont="1" applyFill="1" applyBorder="1" applyAlignment="1">
      <alignment vertical="center" wrapText="1"/>
    </xf>
    <xf numFmtId="0" fontId="6" fillId="13" borderId="49" xfId="0" applyFont="1" applyFill="1" applyBorder="1" applyAlignment="1">
      <alignment horizontal="center" vertical="center"/>
    </xf>
    <xf numFmtId="0" fontId="6" fillId="17" borderId="50" xfId="0" applyFont="1" applyFill="1" applyBorder="1" applyAlignment="1">
      <alignment horizontal="center" vertical="center"/>
    </xf>
    <xf numFmtId="0" fontId="6" fillId="15" borderId="48" xfId="0" applyFont="1" applyFill="1" applyBorder="1" applyAlignment="1">
      <alignment horizontal="center" vertical="center"/>
    </xf>
    <xf numFmtId="0" fontId="6" fillId="15" borderId="49" xfId="0" applyFont="1" applyFill="1" applyBorder="1" applyAlignment="1">
      <alignment horizontal="center" vertical="center"/>
    </xf>
    <xf numFmtId="0" fontId="6" fillId="15" borderId="51" xfId="0" applyFont="1" applyFill="1" applyBorder="1" applyAlignment="1">
      <alignment horizontal="center" vertical="center"/>
    </xf>
    <xf numFmtId="0" fontId="7" fillId="15" borderId="52" xfId="0" applyFont="1" applyFill="1" applyBorder="1" applyAlignment="1">
      <alignment horizontal="center" vertical="center"/>
    </xf>
    <xf numFmtId="0" fontId="7" fillId="15" borderId="51" xfId="0" applyFont="1" applyFill="1" applyBorder="1" applyAlignment="1">
      <alignment horizontal="center" vertical="center"/>
    </xf>
    <xf numFmtId="0" fontId="6" fillId="14" borderId="50" xfId="0" applyFont="1" applyFill="1" applyBorder="1" applyAlignment="1">
      <alignment horizontal="center" vertical="center"/>
    </xf>
    <xf numFmtId="0" fontId="6" fillId="16" borderId="48" xfId="0" applyFont="1" applyFill="1" applyBorder="1" applyAlignment="1">
      <alignment horizontal="center" vertical="center"/>
    </xf>
    <xf numFmtId="0" fontId="6" fillId="16" borderId="49" xfId="0" applyFont="1" applyFill="1" applyBorder="1" applyAlignment="1">
      <alignment horizontal="center" vertical="center"/>
    </xf>
    <xf numFmtId="0" fontId="6" fillId="16" borderId="51" xfId="0" applyFont="1" applyFill="1" applyBorder="1" applyAlignment="1">
      <alignment horizontal="center" vertical="center"/>
    </xf>
    <xf numFmtId="0" fontId="6" fillId="14" borderId="8" xfId="0" applyFont="1" applyFill="1" applyBorder="1" applyAlignment="1">
      <alignment vertical="center" wrapText="1"/>
    </xf>
    <xf numFmtId="0" fontId="6" fillId="14" borderId="11" xfId="0" applyFont="1" applyFill="1" applyBorder="1" applyAlignment="1">
      <alignment horizontal="center" vertical="center"/>
    </xf>
    <xf numFmtId="0" fontId="6" fillId="14" borderId="29" xfId="0" applyFont="1" applyFill="1" applyBorder="1"/>
    <xf numFmtId="0" fontId="7" fillId="14" borderId="31" xfId="0" applyFont="1" applyFill="1" applyBorder="1" applyAlignment="1">
      <alignment horizontal="center" vertical="center"/>
    </xf>
    <xf numFmtId="0" fontId="7" fillId="14" borderId="9" xfId="0" applyFont="1" applyFill="1" applyBorder="1" applyAlignment="1">
      <alignment horizontal="center" vertical="center"/>
    </xf>
    <xf numFmtId="0" fontId="30" fillId="13" borderId="70" xfId="0" applyFont="1" applyFill="1" applyBorder="1"/>
    <xf numFmtId="0" fontId="9" fillId="13" borderId="0" xfId="0" applyFont="1" applyFill="1"/>
    <xf numFmtId="0" fontId="14" fillId="13" borderId="0" xfId="0" applyFont="1" applyFill="1"/>
    <xf numFmtId="0" fontId="14" fillId="15" borderId="0" xfId="0" applyFont="1" applyFill="1"/>
    <xf numFmtId="2" fontId="14" fillId="15" borderId="0" xfId="0" applyNumberFormat="1" applyFont="1" applyFill="1"/>
    <xf numFmtId="0" fontId="9" fillId="15" borderId="0" xfId="0" applyFont="1" applyFill="1"/>
    <xf numFmtId="0" fontId="11" fillId="13" borderId="0" xfId="0" applyFont="1" applyFill="1"/>
    <xf numFmtId="164" fontId="14" fillId="15" borderId="0" xfId="0" applyNumberFormat="1" applyFont="1" applyFill="1"/>
    <xf numFmtId="0" fontId="10" fillId="13" borderId="0" xfId="0" applyFont="1" applyFill="1"/>
    <xf numFmtId="0" fontId="7" fillId="13" borderId="0" xfId="0" applyFont="1" applyFill="1"/>
    <xf numFmtId="0" fontId="40" fillId="0" borderId="0" xfId="0" applyFont="1" applyAlignment="1">
      <alignment horizontal="left" wrapText="1" readingOrder="1"/>
    </xf>
    <xf numFmtId="0" fontId="41" fillId="0" borderId="0" xfId="0" applyFont="1" applyAlignment="1">
      <alignment horizontal="right" wrapText="1" readingOrder="1"/>
    </xf>
    <xf numFmtId="0" fontId="41" fillId="0" borderId="0" xfId="0" applyFont="1" applyAlignment="1">
      <alignment horizontal="right" vertical="center" wrapText="1" readingOrder="1"/>
    </xf>
    <xf numFmtId="0" fontId="41" fillId="0" borderId="0" xfId="0" applyFont="1" applyAlignment="1">
      <alignment horizontal="left" vertical="center" wrapText="1" readingOrder="1"/>
    </xf>
    <xf numFmtId="0" fontId="41" fillId="0" borderId="0" xfId="0" applyFont="1" applyAlignment="1">
      <alignment horizontal="left" wrapText="1" readingOrder="1"/>
    </xf>
    <xf numFmtId="0" fontId="3" fillId="2" borderId="109" xfId="0" applyFont="1" applyFill="1" applyBorder="1" applyAlignment="1">
      <alignment wrapText="1"/>
    </xf>
    <xf numFmtId="0" fontId="3" fillId="2" borderId="110" xfId="0" applyFont="1" applyFill="1" applyBorder="1" applyAlignment="1">
      <alignment wrapText="1"/>
    </xf>
    <xf numFmtId="0" fontId="3" fillId="0" borderId="111" xfId="0" applyFont="1" applyBorder="1"/>
    <xf numFmtId="2" fontId="0" fillId="0" borderId="67" xfId="0" applyNumberFormat="1" applyBorder="1"/>
    <xf numFmtId="0" fontId="7" fillId="6" borderId="3" xfId="0" applyFont="1" applyFill="1" applyBorder="1" applyAlignment="1">
      <alignment horizontal="center" vertical="center"/>
    </xf>
    <xf numFmtId="0" fontId="7" fillId="6" borderId="7"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6" xfId="0" applyFont="1" applyFill="1" applyBorder="1" applyAlignment="1">
      <alignment vertical="center" wrapText="1"/>
    </xf>
    <xf numFmtId="0" fontId="6" fillId="6" borderId="2" xfId="0" applyFont="1" applyFill="1" applyBorder="1"/>
    <xf numFmtId="0" fontId="6" fillId="6" borderId="2" xfId="0" applyFont="1" applyFill="1" applyBorder="1" applyAlignment="1">
      <alignment horizontal="center" vertical="center"/>
    </xf>
    <xf numFmtId="0" fontId="7" fillId="6" borderId="52" xfId="0" applyFont="1" applyFill="1" applyBorder="1" applyAlignment="1">
      <alignment horizontal="center" vertical="center"/>
    </xf>
    <xf numFmtId="0" fontId="7" fillId="6" borderId="51" xfId="0" applyFont="1" applyFill="1" applyBorder="1" applyAlignment="1">
      <alignment horizontal="center" vertical="center"/>
    </xf>
    <xf numFmtId="0" fontId="6" fillId="6" borderId="48" xfId="0" applyFont="1" applyFill="1" applyBorder="1" applyAlignment="1">
      <alignment vertical="center" wrapText="1"/>
    </xf>
    <xf numFmtId="0" fontId="6" fillId="6" borderId="49" xfId="0" applyFont="1" applyFill="1" applyBorder="1" applyAlignment="1">
      <alignment horizontal="center" vertical="center"/>
    </xf>
    <xf numFmtId="0" fontId="30" fillId="13" borderId="68" xfId="0" applyFont="1" applyFill="1" applyBorder="1"/>
    <xf numFmtId="0" fontId="6" fillId="18" borderId="0" xfId="0" applyFont="1" applyFill="1"/>
    <xf numFmtId="0" fontId="6" fillId="18" borderId="6"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7" xfId="0" applyFont="1" applyFill="1" applyBorder="1" applyAlignment="1">
      <alignment horizontal="center" vertical="center"/>
    </xf>
    <xf numFmtId="2" fontId="8" fillId="15" borderId="40" xfId="0" applyNumberFormat="1" applyFont="1" applyFill="1" applyBorder="1" applyAlignment="1">
      <alignment horizontal="center"/>
    </xf>
    <xf numFmtId="0" fontId="8" fillId="15" borderId="22" xfId="0" applyFont="1" applyFill="1" applyBorder="1" applyAlignment="1">
      <alignment horizontal="center" vertical="center" wrapText="1"/>
    </xf>
    <xf numFmtId="0" fontId="8" fillId="15" borderId="10" xfId="0" applyFont="1" applyFill="1" applyBorder="1" applyAlignment="1">
      <alignment horizontal="center" vertical="center"/>
    </xf>
    <xf numFmtId="2" fontId="6" fillId="15" borderId="112" xfId="0" applyNumberFormat="1" applyFont="1" applyFill="1" applyBorder="1" applyAlignment="1">
      <alignment horizontal="center" vertical="center"/>
    </xf>
    <xf numFmtId="2" fontId="6" fillId="15" borderId="113" xfId="0" applyNumberFormat="1" applyFont="1" applyFill="1" applyBorder="1" applyAlignment="1">
      <alignment horizontal="center" vertical="center"/>
    </xf>
    <xf numFmtId="2" fontId="6" fillId="6" borderId="6" xfId="0" applyNumberFormat="1" applyFont="1" applyFill="1" applyBorder="1" applyAlignment="1">
      <alignment horizontal="center" vertical="center"/>
    </xf>
    <xf numFmtId="2" fontId="6" fillId="6" borderId="7" xfId="0" applyNumberFormat="1" applyFont="1" applyFill="1" applyBorder="1" applyAlignment="1">
      <alignment horizontal="center" vertical="center"/>
    </xf>
    <xf numFmtId="2" fontId="6" fillId="6" borderId="35" xfId="0" applyNumberFormat="1" applyFont="1" applyFill="1" applyBorder="1" applyAlignment="1">
      <alignment horizontal="center" vertical="center"/>
    </xf>
    <xf numFmtId="0" fontId="14" fillId="13" borderId="69" xfId="0" applyFont="1" applyFill="1" applyBorder="1"/>
    <xf numFmtId="0" fontId="31" fillId="13" borderId="69" xfId="0" applyFont="1" applyFill="1" applyBorder="1" applyAlignment="1">
      <alignment vertical="center" wrapText="1"/>
    </xf>
    <xf numFmtId="0" fontId="6" fillId="0" borderId="1" xfId="0" applyFont="1" applyBorder="1" applyAlignment="1">
      <alignment horizontal="center" vertical="center"/>
    </xf>
    <xf numFmtId="0" fontId="0" fillId="0" borderId="114" xfId="0" applyBorder="1"/>
    <xf numFmtId="0" fontId="3" fillId="0" borderId="115" xfId="0" applyFont="1" applyBorder="1"/>
    <xf numFmtId="0" fontId="3" fillId="0" borderId="116" xfId="0" applyFont="1" applyBorder="1"/>
    <xf numFmtId="0" fontId="3" fillId="0" borderId="112" xfId="0" applyFont="1" applyBorder="1"/>
    <xf numFmtId="0" fontId="0" fillId="0" borderId="113" xfId="0" applyBorder="1"/>
    <xf numFmtId="0" fontId="3" fillId="0" borderId="117" xfId="0" applyFont="1" applyBorder="1"/>
    <xf numFmtId="2" fontId="0" fillId="0" borderId="118" xfId="0" applyNumberFormat="1" applyBorder="1"/>
    <xf numFmtId="0" fontId="0" fillId="0" borderId="119" xfId="0" applyBorder="1"/>
    <xf numFmtId="0" fontId="6" fillId="0" borderId="6" xfId="0" applyFont="1" applyBorder="1" applyAlignment="1">
      <alignment horizontal="center" vertical="center"/>
    </xf>
    <xf numFmtId="0" fontId="6" fillId="0" borderId="7" xfId="0" applyFont="1" applyBorder="1" applyAlignment="1">
      <alignment horizontal="center" vertical="center"/>
    </xf>
    <xf numFmtId="2" fontId="6" fillId="0" borderId="55" xfId="0" applyNumberFormat="1"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167" fontId="6" fillId="15" borderId="6" xfId="0" applyNumberFormat="1" applyFont="1" applyFill="1" applyBorder="1" applyAlignment="1">
      <alignment horizontal="center" vertical="center"/>
    </xf>
    <xf numFmtId="167" fontId="6" fillId="15" borderId="7" xfId="0" applyNumberFormat="1" applyFont="1" applyFill="1" applyBorder="1" applyAlignment="1">
      <alignment horizontal="center" vertical="center"/>
    </xf>
    <xf numFmtId="1" fontId="6" fillId="15" borderId="6" xfId="0" applyNumberFormat="1" applyFont="1" applyFill="1" applyBorder="1" applyAlignment="1">
      <alignment horizontal="center" vertical="center"/>
    </xf>
    <xf numFmtId="1" fontId="6" fillId="15" borderId="7" xfId="0" applyNumberFormat="1" applyFont="1" applyFill="1" applyBorder="1" applyAlignment="1">
      <alignment horizontal="center" vertical="center"/>
    </xf>
    <xf numFmtId="1" fontId="6" fillId="15" borderId="55" xfId="0" applyNumberFormat="1" applyFont="1" applyFill="1" applyBorder="1" applyAlignment="1">
      <alignment horizontal="center" vertical="center"/>
    </xf>
    <xf numFmtId="1" fontId="6" fillId="15" borderId="25" xfId="0" applyNumberFormat="1" applyFont="1" applyFill="1" applyBorder="1" applyAlignment="1">
      <alignment horizontal="center" vertical="center"/>
    </xf>
    <xf numFmtId="167" fontId="6" fillId="0" borderId="55" xfId="0" applyNumberFormat="1" applyFont="1" applyBorder="1" applyAlignment="1">
      <alignment horizontal="center" vertical="center"/>
    </xf>
    <xf numFmtId="167" fontId="6" fillId="6" borderId="6" xfId="0" applyNumberFormat="1" applyFont="1" applyFill="1" applyBorder="1" applyAlignment="1">
      <alignment horizontal="center" vertical="center"/>
    </xf>
    <xf numFmtId="167" fontId="6" fillId="6" borderId="7" xfId="0" applyNumberFormat="1" applyFont="1" applyFill="1" applyBorder="1" applyAlignment="1">
      <alignment horizontal="center" vertical="center"/>
    </xf>
    <xf numFmtId="167" fontId="6" fillId="14" borderId="6" xfId="0" applyNumberFormat="1" applyFont="1" applyFill="1" applyBorder="1" applyAlignment="1">
      <alignment horizontal="center" vertical="center"/>
    </xf>
    <xf numFmtId="167" fontId="6" fillId="14" borderId="7" xfId="0" applyNumberFormat="1" applyFont="1" applyFill="1" applyBorder="1" applyAlignment="1">
      <alignment horizontal="center" vertical="center"/>
    </xf>
    <xf numFmtId="1" fontId="6" fillId="6" borderId="48" xfId="0" applyNumberFormat="1" applyFont="1" applyFill="1" applyBorder="1" applyAlignment="1">
      <alignment horizontal="center" vertical="center"/>
    </xf>
    <xf numFmtId="1" fontId="6" fillId="6" borderId="7" xfId="0" applyNumberFormat="1" applyFont="1" applyFill="1" applyBorder="1" applyAlignment="1">
      <alignment horizontal="center" vertical="center"/>
    </xf>
    <xf numFmtId="1" fontId="6" fillId="0" borderId="55" xfId="0" applyNumberFormat="1" applyFont="1" applyBorder="1" applyAlignment="1">
      <alignment horizontal="center" vertical="center"/>
    </xf>
    <xf numFmtId="1" fontId="6" fillId="6" borderId="6" xfId="0" applyNumberFormat="1" applyFont="1" applyFill="1" applyBorder="1" applyAlignment="1">
      <alignment horizontal="center" vertical="center"/>
    </xf>
    <xf numFmtId="1" fontId="6" fillId="15" borderId="48" xfId="0" applyNumberFormat="1" applyFont="1" applyFill="1" applyBorder="1" applyAlignment="1">
      <alignment horizontal="center" vertical="center"/>
    </xf>
    <xf numFmtId="167" fontId="6" fillId="15" borderId="112" xfId="0" applyNumberFormat="1" applyFont="1" applyFill="1" applyBorder="1" applyAlignment="1">
      <alignment horizontal="center" vertical="center"/>
    </xf>
    <xf numFmtId="167" fontId="6" fillId="15" borderId="35" xfId="0" applyNumberFormat="1" applyFont="1" applyFill="1" applyBorder="1" applyAlignment="1">
      <alignment horizontal="center" vertical="center"/>
    </xf>
    <xf numFmtId="167" fontId="6" fillId="15" borderId="72" xfId="0" applyNumberFormat="1" applyFont="1" applyFill="1" applyBorder="1" applyAlignment="1">
      <alignment horizontal="center" vertical="center"/>
    </xf>
    <xf numFmtId="167" fontId="6" fillId="15" borderId="77" xfId="0" applyNumberFormat="1" applyFont="1" applyFill="1" applyBorder="1" applyAlignment="1">
      <alignment horizontal="center" vertical="center"/>
    </xf>
    <xf numFmtId="1" fontId="6" fillId="14" borderId="8" xfId="0" applyNumberFormat="1" applyFont="1" applyFill="1" applyBorder="1" applyAlignment="1">
      <alignment horizontal="center" vertical="center"/>
    </xf>
    <xf numFmtId="1" fontId="6" fillId="14" borderId="9" xfId="0" applyNumberFormat="1" applyFont="1" applyFill="1" applyBorder="1" applyAlignment="1">
      <alignment horizontal="center" vertical="center"/>
    </xf>
    <xf numFmtId="1" fontId="6" fillId="15" borderId="38" xfId="0" applyNumberFormat="1" applyFont="1" applyFill="1" applyBorder="1" applyAlignment="1">
      <alignment horizontal="center" vertical="center"/>
    </xf>
    <xf numFmtId="1" fontId="6" fillId="15" borderId="30" xfId="0" applyNumberFormat="1" applyFont="1" applyFill="1" applyBorder="1" applyAlignment="1">
      <alignment horizontal="center"/>
    </xf>
    <xf numFmtId="1" fontId="6" fillId="15" borderId="54" xfId="0" applyNumberFormat="1" applyFont="1" applyFill="1" applyBorder="1" applyAlignment="1">
      <alignment horizontal="center"/>
    </xf>
    <xf numFmtId="1" fontId="6" fillId="15" borderId="36" xfId="0" applyNumberFormat="1" applyFont="1" applyFill="1" applyBorder="1" applyAlignment="1">
      <alignment horizontal="center" vertical="center"/>
    </xf>
    <xf numFmtId="1" fontId="6" fillId="15" borderId="39" xfId="0" applyNumberFormat="1" applyFont="1" applyFill="1" applyBorder="1" applyAlignment="1">
      <alignment horizontal="center" vertical="center"/>
    </xf>
    <xf numFmtId="2" fontId="6" fillId="6" borderId="3" xfId="0" applyNumberFormat="1" applyFont="1" applyFill="1" applyBorder="1" applyAlignment="1">
      <alignment horizontal="center" vertical="center"/>
    </xf>
    <xf numFmtId="2" fontId="6" fillId="6" borderId="56" xfId="0" applyNumberFormat="1" applyFont="1" applyFill="1" applyBorder="1" applyAlignment="1">
      <alignment horizontal="center" vertical="center"/>
    </xf>
    <xf numFmtId="1" fontId="6" fillId="15" borderId="3" xfId="0" applyNumberFormat="1" applyFont="1" applyFill="1" applyBorder="1" applyAlignment="1">
      <alignment horizontal="center" vertical="center"/>
    </xf>
    <xf numFmtId="1" fontId="6" fillId="15" borderId="56" xfId="0" applyNumberFormat="1" applyFont="1" applyFill="1" applyBorder="1" applyAlignment="1">
      <alignment horizontal="center" vertical="center"/>
    </xf>
    <xf numFmtId="1" fontId="6" fillId="6" borderId="3" xfId="0" applyNumberFormat="1" applyFont="1" applyFill="1" applyBorder="1" applyAlignment="1">
      <alignment horizontal="center" vertical="center"/>
    </xf>
    <xf numFmtId="1" fontId="6" fillId="6" borderId="56" xfId="0" applyNumberFormat="1" applyFont="1" applyFill="1" applyBorder="1" applyAlignment="1">
      <alignment horizontal="center" vertical="center"/>
    </xf>
    <xf numFmtId="167" fontId="6" fillId="6" borderId="3" xfId="0" applyNumberFormat="1" applyFont="1" applyFill="1" applyBorder="1" applyAlignment="1">
      <alignment horizontal="center" vertical="center"/>
    </xf>
    <xf numFmtId="167" fontId="6" fillId="6" borderId="56" xfId="0" applyNumberFormat="1" applyFont="1" applyFill="1" applyBorder="1" applyAlignment="1">
      <alignment horizontal="center" vertical="center"/>
    </xf>
    <xf numFmtId="167" fontId="6" fillId="15" borderId="3" xfId="0" applyNumberFormat="1" applyFont="1" applyFill="1" applyBorder="1" applyAlignment="1">
      <alignment horizontal="center" vertical="center"/>
    </xf>
    <xf numFmtId="167" fontId="6" fillId="15" borderId="56" xfId="0" applyNumberFormat="1" applyFont="1" applyFill="1" applyBorder="1" applyAlignment="1">
      <alignment horizontal="center" vertical="center"/>
    </xf>
    <xf numFmtId="167" fontId="6" fillId="14" borderId="3" xfId="0" applyNumberFormat="1" applyFont="1" applyFill="1" applyBorder="1" applyAlignment="1">
      <alignment horizontal="center" vertical="center"/>
    </xf>
    <xf numFmtId="167" fontId="6" fillId="14" borderId="56" xfId="0" applyNumberFormat="1" applyFont="1" applyFill="1" applyBorder="1" applyAlignment="1">
      <alignment horizontal="center" vertical="center"/>
    </xf>
    <xf numFmtId="1" fontId="6" fillId="15" borderId="52" xfId="0" applyNumberFormat="1" applyFont="1" applyFill="1" applyBorder="1" applyAlignment="1">
      <alignment horizontal="center" vertical="center"/>
    </xf>
    <xf numFmtId="1" fontId="6" fillId="14" borderId="67" xfId="0" applyNumberFormat="1" applyFont="1" applyFill="1" applyBorder="1" applyAlignment="1">
      <alignment horizontal="center" vertical="center"/>
    </xf>
    <xf numFmtId="1" fontId="6" fillId="14" borderId="58" xfId="0" applyNumberFormat="1" applyFont="1" applyFill="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167" fontId="6" fillId="0" borderId="3" xfId="0" applyNumberFormat="1" applyFont="1" applyBorder="1" applyAlignment="1">
      <alignment horizontal="center" vertical="center"/>
    </xf>
    <xf numFmtId="167" fontId="6" fillId="0" borderId="56" xfId="0" applyNumberFormat="1"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6" xfId="0" applyFont="1" applyBorder="1" applyAlignment="1">
      <alignment vertical="center" wrapText="1"/>
    </xf>
    <xf numFmtId="0" fontId="18" fillId="0" borderId="85" xfId="0" applyFont="1" applyBorder="1" applyAlignment="1">
      <alignment vertical="top" wrapText="1"/>
    </xf>
    <xf numFmtId="14" fontId="43" fillId="0" borderId="78" xfId="0" applyNumberFormat="1" applyFont="1" applyBorder="1" applyAlignment="1">
      <alignment horizontal="center" vertical="top" wrapText="1"/>
    </xf>
    <xf numFmtId="14" fontId="43" fillId="0" borderId="120" xfId="0" applyNumberFormat="1" applyFont="1" applyBorder="1" applyAlignment="1">
      <alignment horizontal="center" vertical="top" wrapText="1"/>
    </xf>
    <xf numFmtId="0" fontId="6" fillId="0" borderId="64" xfId="0" applyFont="1" applyBorder="1" applyAlignment="1">
      <alignment wrapText="1"/>
    </xf>
    <xf numFmtId="0" fontId="10" fillId="12" borderId="0" xfId="0" applyFont="1" applyFill="1"/>
    <xf numFmtId="0" fontId="27" fillId="12" borderId="0" xfId="0" applyFont="1" applyFill="1"/>
    <xf numFmtId="0" fontId="8" fillId="12" borderId="0" xfId="0" applyFont="1" applyFill="1"/>
    <xf numFmtId="0" fontId="26" fillId="12" borderId="0" xfId="0" applyFont="1" applyFill="1"/>
    <xf numFmtId="0" fontId="9" fillId="15" borderId="0" xfId="0" applyFont="1" applyFill="1" applyAlignment="1">
      <alignment horizontal="right" vertical="center"/>
    </xf>
    <xf numFmtId="2" fontId="9" fillId="15" borderId="76" xfId="0" applyNumberFormat="1" applyFont="1" applyFill="1" applyBorder="1" applyAlignment="1">
      <alignment horizontal="center" vertical="center"/>
    </xf>
    <xf numFmtId="2" fontId="9" fillId="15" borderId="73" xfId="0" applyNumberFormat="1" applyFont="1" applyFill="1" applyBorder="1" applyAlignment="1">
      <alignment horizontal="center" vertical="center"/>
    </xf>
    <xf numFmtId="2" fontId="9" fillId="0" borderId="55" xfId="0" applyNumberFormat="1" applyFont="1" applyBorder="1" applyAlignment="1">
      <alignment horizontal="center" vertical="center"/>
    </xf>
    <xf numFmtId="1" fontId="9" fillId="15" borderId="55" xfId="0" applyNumberFormat="1" applyFont="1" applyFill="1" applyBorder="1" applyAlignment="1">
      <alignment horizontal="center" vertical="center"/>
    </xf>
    <xf numFmtId="167" fontId="9" fillId="0" borderId="55" xfId="0" applyNumberFormat="1" applyFont="1" applyBorder="1" applyAlignment="1">
      <alignment horizontal="center" vertical="center"/>
    </xf>
    <xf numFmtId="1" fontId="9" fillId="0" borderId="55" xfId="0" applyNumberFormat="1" applyFont="1" applyBorder="1" applyAlignment="1">
      <alignment horizontal="center" vertical="center"/>
    </xf>
    <xf numFmtId="0" fontId="45" fillId="15" borderId="0" xfId="0" applyFont="1" applyFill="1"/>
    <xf numFmtId="164" fontId="45" fillId="15" borderId="0" xfId="0" applyNumberFormat="1" applyFont="1" applyFill="1"/>
    <xf numFmtId="0" fontId="9" fillId="15" borderId="90" xfId="0" applyFont="1" applyFill="1" applyBorder="1" applyAlignment="1">
      <alignment horizontal="center" vertical="center"/>
    </xf>
    <xf numFmtId="0" fontId="9" fillId="15" borderId="13" xfId="0" applyFont="1" applyFill="1" applyBorder="1" applyAlignment="1">
      <alignment horizontal="center" vertical="center"/>
    </xf>
    <xf numFmtId="0" fontId="9" fillId="15" borderId="53" xfId="0" applyFont="1" applyFill="1" applyBorder="1" applyAlignment="1">
      <alignment horizontal="center" vertical="center"/>
    </xf>
    <xf numFmtId="0" fontId="9" fillId="15" borderId="14" xfId="0" applyFont="1" applyFill="1" applyBorder="1" applyAlignment="1">
      <alignment horizontal="center" vertical="center"/>
    </xf>
    <xf numFmtId="0" fontId="9" fillId="0" borderId="55" xfId="0" applyFont="1" applyBorder="1" applyAlignment="1">
      <alignment horizontal="center" vertical="center"/>
    </xf>
    <xf numFmtId="0" fontId="9" fillId="0" borderId="2" xfId="0" applyFont="1" applyBorder="1" applyAlignment="1">
      <alignment horizontal="center" vertical="center"/>
    </xf>
    <xf numFmtId="0" fontId="9" fillId="15" borderId="75" xfId="0" applyFont="1" applyFill="1" applyBorder="1" applyAlignment="1">
      <alignment horizontal="center" vertical="center"/>
    </xf>
    <xf numFmtId="0" fontId="9" fillId="15" borderId="2" xfId="0" applyFont="1" applyFill="1" applyBorder="1" applyAlignment="1">
      <alignment horizontal="center" vertical="center"/>
    </xf>
    <xf numFmtId="0" fontId="9" fillId="15" borderId="76" xfId="0" applyFont="1" applyFill="1" applyBorder="1" applyAlignment="1">
      <alignment horizontal="center" vertical="center"/>
    </xf>
    <xf numFmtId="0" fontId="9" fillId="15" borderId="32" xfId="0" applyFont="1" applyFill="1" applyBorder="1" applyAlignment="1">
      <alignment horizontal="center" vertical="center"/>
    </xf>
    <xf numFmtId="0" fontId="9" fillId="0" borderId="53" xfId="0" applyFont="1" applyBorder="1" applyAlignment="1">
      <alignment horizontal="center" vertical="center"/>
    </xf>
    <xf numFmtId="0" fontId="9" fillId="15" borderId="55" xfId="0" applyFont="1" applyFill="1" applyBorder="1" applyAlignment="1">
      <alignment horizontal="center" vertical="center"/>
    </xf>
    <xf numFmtId="0" fontId="6" fillId="15" borderId="90" xfId="0" applyFont="1" applyFill="1" applyBorder="1" applyAlignment="1">
      <alignment horizontal="center" vertical="center"/>
    </xf>
    <xf numFmtId="0" fontId="6" fillId="15" borderId="13" xfId="0" applyFont="1" applyFill="1" applyBorder="1" applyAlignment="1">
      <alignment horizontal="center" vertical="center"/>
    </xf>
    <xf numFmtId="0" fontId="6" fillId="15" borderId="53" xfId="0" applyFont="1" applyFill="1" applyBorder="1" applyAlignment="1">
      <alignment horizontal="center" vertical="center"/>
    </xf>
    <xf numFmtId="0" fontId="6" fillId="15" borderId="14" xfId="0" applyFont="1" applyFill="1" applyBorder="1" applyAlignment="1">
      <alignment horizontal="center" vertical="center"/>
    </xf>
    <xf numFmtId="0" fontId="6" fillId="0" borderId="2" xfId="0" applyFont="1" applyBorder="1" applyAlignment="1">
      <alignment horizontal="center" vertical="center"/>
    </xf>
    <xf numFmtId="0" fontId="6" fillId="15" borderId="75" xfId="0" applyFont="1" applyFill="1" applyBorder="1" applyAlignment="1">
      <alignment horizontal="center" vertical="center"/>
    </xf>
    <xf numFmtId="0" fontId="6" fillId="15" borderId="76" xfId="0" applyFont="1" applyFill="1" applyBorder="1" applyAlignment="1">
      <alignment horizontal="center" vertical="center"/>
    </xf>
    <xf numFmtId="0" fontId="6" fillId="15" borderId="32" xfId="0" applyFont="1" applyFill="1" applyBorder="1" applyAlignment="1">
      <alignment horizontal="center" vertical="center"/>
    </xf>
    <xf numFmtId="0" fontId="6" fillId="0" borderId="53" xfId="0" applyFont="1" applyBorder="1" applyAlignment="1">
      <alignment horizontal="center" vertical="center"/>
    </xf>
    <xf numFmtId="0" fontId="6" fillId="0" borderId="55" xfId="0" applyFont="1" applyBorder="1" applyAlignment="1">
      <alignment horizontal="center" vertical="center"/>
    </xf>
    <xf numFmtId="0" fontId="6" fillId="15" borderId="55" xfId="0" applyFont="1" applyFill="1" applyBorder="1" applyAlignment="1">
      <alignment horizontal="center" vertical="center"/>
    </xf>
    <xf numFmtId="1" fontId="6" fillId="15" borderId="40" xfId="0" applyNumberFormat="1" applyFont="1" applyFill="1" applyBorder="1" applyAlignment="1">
      <alignment horizontal="center" vertical="center"/>
    </xf>
    <xf numFmtId="1" fontId="6" fillId="15" borderId="91" xfId="0" applyNumberFormat="1" applyFont="1" applyFill="1" applyBorder="1" applyAlignment="1">
      <alignment horizontal="center" vertical="center"/>
    </xf>
    <xf numFmtId="0" fontId="8" fillId="15" borderId="40" xfId="0" applyFont="1" applyFill="1" applyBorder="1" applyAlignment="1">
      <alignment horizontal="center" vertical="center"/>
    </xf>
    <xf numFmtId="0" fontId="44" fillId="15" borderId="22" xfId="0" applyFont="1" applyFill="1" applyBorder="1" applyAlignment="1">
      <alignment horizontal="center" vertical="center"/>
    </xf>
    <xf numFmtId="0" fontId="44" fillId="15" borderId="10" xfId="0" applyFont="1" applyFill="1" applyBorder="1" applyAlignment="1">
      <alignment horizontal="center" vertical="center"/>
    </xf>
    <xf numFmtId="0" fontId="9" fillId="15" borderId="98" xfId="0" applyFont="1" applyFill="1" applyBorder="1" applyAlignment="1">
      <alignment horizontal="center"/>
    </xf>
    <xf numFmtId="0" fontId="9" fillId="15" borderId="94" xfId="0" applyFont="1" applyFill="1" applyBorder="1" applyAlignment="1">
      <alignment horizontal="center"/>
    </xf>
    <xf numFmtId="0" fontId="6" fillId="13" borderId="0" xfId="0" applyFont="1" applyFill="1" applyAlignment="1">
      <alignment vertical="top"/>
    </xf>
    <xf numFmtId="0" fontId="9" fillId="13" borderId="0" xfId="0" applyFont="1" applyFill="1" applyAlignment="1">
      <alignment vertical="top"/>
    </xf>
    <xf numFmtId="0" fontId="36" fillId="0" borderId="0" xfId="0" applyFont="1" applyAlignment="1">
      <alignment horizontal="center" vertical="center"/>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18" fillId="0" borderId="86" xfId="0" applyFont="1" applyBorder="1" applyAlignment="1">
      <alignment horizontal="left" vertical="center" wrapText="1"/>
    </xf>
    <xf numFmtId="0" fontId="18" fillId="0" borderId="79" xfId="0" applyFont="1" applyBorder="1" applyAlignment="1">
      <alignment horizontal="left" vertical="center" wrapText="1"/>
    </xf>
    <xf numFmtId="0" fontId="18" fillId="0" borderId="0" xfId="0" applyFont="1" applyAlignment="1">
      <alignment horizontal="left" vertical="center" wrapText="1"/>
    </xf>
    <xf numFmtId="0" fontId="18" fillId="0" borderId="84" xfId="0" applyFont="1" applyBorder="1" applyAlignment="1">
      <alignment horizontal="left" vertical="center" wrapText="1"/>
    </xf>
    <xf numFmtId="0" fontId="18" fillId="0" borderId="87" xfId="0" applyFont="1" applyBorder="1" applyAlignment="1">
      <alignment horizontal="left" vertical="center" wrapText="1"/>
    </xf>
    <xf numFmtId="0" fontId="18" fillId="0" borderId="81" xfId="0" applyFont="1" applyBorder="1" applyAlignment="1">
      <alignment horizontal="left" vertical="center" wrapText="1"/>
    </xf>
    <xf numFmtId="0" fontId="18" fillId="0" borderId="85" xfId="0" applyFont="1" applyBorder="1" applyAlignment="1">
      <alignment horizontal="left" vertical="center" wrapText="1"/>
    </xf>
    <xf numFmtId="168" fontId="18" fillId="0" borderId="65" xfId="0" applyNumberFormat="1" applyFont="1" applyBorder="1" applyAlignment="1">
      <alignment horizontal="left" wrapText="1"/>
    </xf>
    <xf numFmtId="168" fontId="18" fillId="0" borderId="83" xfId="0" applyNumberFormat="1" applyFont="1" applyBorder="1" applyAlignment="1">
      <alignment horizontal="left" wrapText="1"/>
    </xf>
    <xf numFmtId="14" fontId="18" fillId="0" borderId="0" xfId="0" applyNumberFormat="1" applyFont="1" applyAlignment="1">
      <alignment horizontal="left" wrapText="1"/>
    </xf>
    <xf numFmtId="0" fontId="18" fillId="0" borderId="0" xfId="0" applyFont="1" applyAlignment="1">
      <alignment horizontal="left" wrapText="1"/>
    </xf>
    <xf numFmtId="0" fontId="18" fillId="0" borderId="84" xfId="0" applyFont="1" applyBorder="1" applyAlignment="1">
      <alignment horizontal="left" wrapText="1"/>
    </xf>
    <xf numFmtId="0" fontId="18" fillId="0" borderId="0" xfId="0" applyFont="1" applyAlignment="1">
      <alignment wrapText="1"/>
    </xf>
    <xf numFmtId="0" fontId="18" fillId="0" borderId="84" xfId="0" applyFont="1" applyBorder="1" applyAlignment="1">
      <alignment wrapText="1"/>
    </xf>
    <xf numFmtId="0" fontId="18" fillId="0" borderId="81" xfId="0" applyFont="1" applyBorder="1" applyAlignment="1">
      <alignment wrapText="1"/>
    </xf>
    <xf numFmtId="0" fontId="18" fillId="0" borderId="85" xfId="0" applyFont="1" applyBorder="1" applyAlignment="1">
      <alignment wrapText="1"/>
    </xf>
    <xf numFmtId="0" fontId="6" fillId="13" borderId="0" xfId="0" applyFont="1" applyFill="1" applyAlignment="1">
      <alignment horizontal="left" vertical="top" wrapText="1"/>
    </xf>
    <xf numFmtId="0" fontId="10" fillId="15" borderId="95" xfId="0" applyFont="1" applyFill="1" applyBorder="1" applyAlignment="1">
      <alignment horizontal="center" vertical="center" wrapText="1"/>
    </xf>
    <xf numFmtId="0" fontId="10" fillId="15" borderId="97" xfId="0" applyFont="1" applyFill="1" applyBorder="1" applyAlignment="1">
      <alignment horizontal="center" vertical="center" wrapText="1"/>
    </xf>
    <xf numFmtId="0" fontId="8" fillId="13" borderId="100" xfId="0" applyFont="1" applyFill="1" applyBorder="1" applyAlignment="1">
      <alignment horizontal="center" vertical="center"/>
    </xf>
    <xf numFmtId="0" fontId="8" fillId="13" borderId="0" xfId="0" applyFont="1" applyFill="1" applyAlignment="1">
      <alignment horizontal="center" vertical="center"/>
    </xf>
    <xf numFmtId="0" fontId="8" fillId="13" borderId="34" xfId="0" applyFont="1" applyFill="1" applyBorder="1" applyAlignment="1">
      <alignment horizontal="center" vertical="center"/>
    </xf>
    <xf numFmtId="0" fontId="8" fillId="13" borderId="12" xfId="0" applyFont="1" applyFill="1" applyBorder="1" applyAlignment="1">
      <alignment horizontal="center" vertical="center"/>
    </xf>
    <xf numFmtId="0" fontId="8" fillId="13" borderId="20" xfId="0" applyFont="1" applyFill="1" applyBorder="1" applyAlignment="1">
      <alignment horizontal="center" vertical="center"/>
    </xf>
    <xf numFmtId="0" fontId="8" fillId="13" borderId="99" xfId="0" applyFont="1" applyFill="1" applyBorder="1" applyAlignment="1">
      <alignment horizontal="center" vertical="center"/>
    </xf>
    <xf numFmtId="0" fontId="10" fillId="13" borderId="22" xfId="0" applyFont="1" applyFill="1" applyBorder="1" applyAlignment="1">
      <alignment horizontal="center" vertical="center" wrapText="1"/>
    </xf>
    <xf numFmtId="0" fontId="10" fillId="13" borderId="36" xfId="0" applyFont="1" applyFill="1" applyBorder="1" applyAlignment="1">
      <alignment horizontal="center" vertical="center" wrapText="1"/>
    </xf>
    <xf numFmtId="0" fontId="10" fillId="13" borderId="98" xfId="0" applyFont="1" applyFill="1" applyBorder="1" applyAlignment="1">
      <alignment horizontal="center" vertical="center" wrapText="1"/>
    </xf>
    <xf numFmtId="0" fontId="6" fillId="15" borderId="0" xfId="0" applyFont="1" applyFill="1" applyAlignment="1">
      <alignment horizontal="center" vertical="center" wrapText="1"/>
    </xf>
    <xf numFmtId="0" fontId="8" fillId="15" borderId="95" xfId="0" applyFont="1" applyFill="1" applyBorder="1" applyAlignment="1">
      <alignment horizontal="center" vertical="center" wrapText="1"/>
    </xf>
    <xf numFmtId="0" fontId="10" fillId="15" borderId="92" xfId="0" applyFont="1" applyFill="1" applyBorder="1" applyAlignment="1">
      <alignment horizontal="center" vertical="center" wrapText="1"/>
    </xf>
    <xf numFmtId="0" fontId="10" fillId="15" borderId="96" xfId="0" applyFont="1" applyFill="1" applyBorder="1" applyAlignment="1">
      <alignment horizontal="center" vertical="center" wrapText="1"/>
    </xf>
    <xf numFmtId="2" fontId="8" fillId="15" borderId="92" xfId="0" applyNumberFormat="1" applyFont="1" applyFill="1" applyBorder="1" applyAlignment="1">
      <alignment horizontal="center" vertical="center" wrapText="1"/>
    </xf>
    <xf numFmtId="2" fontId="8" fillId="15" borderId="93" xfId="0" applyNumberFormat="1" applyFont="1" applyFill="1" applyBorder="1" applyAlignment="1">
      <alignment horizontal="center" vertical="center" wrapText="1"/>
    </xf>
    <xf numFmtId="0" fontId="8" fillId="13" borderId="44" xfId="0" applyFont="1" applyFill="1" applyBorder="1" applyAlignment="1">
      <alignment horizontal="center" vertical="center"/>
    </xf>
    <xf numFmtId="0" fontId="8" fillId="13" borderId="41" xfId="0" applyFont="1" applyFill="1" applyBorder="1" applyAlignment="1">
      <alignment horizontal="center" vertical="center"/>
    </xf>
    <xf numFmtId="0" fontId="8" fillId="13" borderId="26" xfId="0" applyFont="1" applyFill="1" applyBorder="1" applyAlignment="1">
      <alignment horizontal="center" vertical="center"/>
    </xf>
    <xf numFmtId="0" fontId="14" fillId="0" borderId="0" xfId="0" applyFont="1" applyAlignment="1">
      <alignment horizontal="left" wrapText="1"/>
    </xf>
    <xf numFmtId="0" fontId="40" fillId="0" borderId="0" xfId="0" applyFont="1" applyAlignment="1">
      <alignment horizontal="center" vertical="center" wrapText="1" readingOrder="1"/>
    </xf>
    <xf numFmtId="0" fontId="0" fillId="0" borderId="47" xfId="0" applyBorder="1" applyAlignment="1">
      <alignment horizontal="center" vertical="center" wrapText="1"/>
    </xf>
    <xf numFmtId="0" fontId="0" fillId="0" borderId="28" xfId="0" applyBorder="1" applyAlignment="1">
      <alignment horizontal="center" vertical="center" wrapText="1"/>
    </xf>
    <xf numFmtId="0" fontId="3" fillId="2" borderId="21" xfId="0" applyFont="1" applyFill="1" applyBorder="1" applyAlignment="1">
      <alignment horizontal="center" wrapText="1"/>
    </xf>
    <xf numFmtId="0" fontId="3" fillId="2" borderId="33" xfId="0" applyFont="1" applyFill="1" applyBorder="1" applyAlignment="1">
      <alignment horizontal="center" wrapText="1"/>
    </xf>
    <xf numFmtId="0" fontId="3" fillId="3" borderId="2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2" borderId="37" xfId="0" applyFont="1" applyFill="1" applyBorder="1" applyAlignment="1">
      <alignment horizontal="center"/>
    </xf>
    <xf numFmtId="0" fontId="3" fillId="2" borderId="27" xfId="0" applyFont="1" applyFill="1" applyBorder="1" applyAlignment="1">
      <alignment horizontal="center"/>
    </xf>
    <xf numFmtId="0" fontId="3" fillId="3" borderId="2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0" fillId="0" borderId="0" xfId="0" applyAlignment="1">
      <alignment horizontal="center" vertical="center" wrapText="1"/>
    </xf>
    <xf numFmtId="0" fontId="3" fillId="4" borderId="2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2" fillId="0" borderId="47" xfId="0" applyFont="1" applyBorder="1" applyAlignment="1">
      <alignment horizontal="center" vertical="center" wrapText="1"/>
    </xf>
    <xf numFmtId="0" fontId="3" fillId="2" borderId="13" xfId="0" applyFont="1" applyFill="1" applyBorder="1" applyAlignment="1">
      <alignment horizontal="center"/>
    </xf>
    <xf numFmtId="0" fontId="3" fillId="2" borderId="0" xfId="0" applyFont="1" applyFill="1" applyAlignment="1">
      <alignment horizontal="center"/>
    </xf>
  </cellXfs>
  <cellStyles count="2">
    <cellStyle name="Hyperlink" xfId="1" builtinId="8"/>
    <cellStyle name="Normal" xfId="0" builtinId="0"/>
  </cellStyles>
  <dxfs count="24">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
      <fill>
        <patternFill>
          <bgColor theme="5" tint="0.39994506668294322"/>
        </patternFill>
      </fill>
    </dxf>
    <dxf>
      <fill>
        <patternFill>
          <bgColor theme="9" tint="0.3999450666829432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1428750</xdr:colOff>
      <xdr:row>3</xdr:row>
      <xdr:rowOff>76200</xdr:rowOff>
    </xdr:to>
    <xdr:pic>
      <xdr:nvPicPr>
        <xdr:cNvPr id="2" name="Picture 1">
          <a:extLst>
            <a:ext uri="{FF2B5EF4-FFF2-40B4-BE49-F238E27FC236}">
              <a16:creationId xmlns:a16="http://schemas.microsoft.com/office/drawing/2014/main" id="{E911B42A-0286-BA6F-9E9B-A000A2E94CFA}"/>
            </a:ext>
          </a:extLst>
        </xdr:cNvPr>
        <xdr:cNvPicPr>
          <a:picLocks noChangeAspect="1"/>
        </xdr:cNvPicPr>
      </xdr:nvPicPr>
      <xdr:blipFill>
        <a:blip xmlns:r="http://schemas.openxmlformats.org/officeDocument/2006/relationships" r:embed="rId1"/>
        <a:stretch>
          <a:fillRect/>
        </a:stretch>
      </xdr:blipFill>
      <xdr:spPr>
        <a:xfrm>
          <a:off x="609600" y="76200"/>
          <a:ext cx="1428750"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15</xdr:row>
      <xdr:rowOff>9525</xdr:rowOff>
    </xdr:from>
    <xdr:to>
      <xdr:col>4</xdr:col>
      <xdr:colOff>1504950</xdr:colOff>
      <xdr:row>44</xdr:row>
      <xdr:rowOff>143519</xdr:rowOff>
    </xdr:to>
    <xdr:pic>
      <xdr:nvPicPr>
        <xdr:cNvPr id="2" name="Picture 1">
          <a:extLst>
            <a:ext uri="{FF2B5EF4-FFF2-40B4-BE49-F238E27FC236}">
              <a16:creationId xmlns:a16="http://schemas.microsoft.com/office/drawing/2014/main" id="{82F8C00D-6117-0CF3-B5DE-6BE6A4FBEEBA}"/>
            </a:ext>
          </a:extLst>
        </xdr:cNvPr>
        <xdr:cNvPicPr>
          <a:picLocks noChangeAspect="1"/>
        </xdr:cNvPicPr>
      </xdr:nvPicPr>
      <xdr:blipFill>
        <a:blip xmlns:r="http://schemas.openxmlformats.org/officeDocument/2006/relationships" r:embed="rId1"/>
        <a:stretch>
          <a:fillRect/>
        </a:stretch>
      </xdr:blipFill>
      <xdr:spPr>
        <a:xfrm>
          <a:off x="581025" y="3295650"/>
          <a:ext cx="5657850" cy="56553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35945</xdr:colOff>
      <xdr:row>17</xdr:row>
      <xdr:rowOff>119513</xdr:rowOff>
    </xdr:from>
    <xdr:to>
      <xdr:col>4</xdr:col>
      <xdr:colOff>2525493</xdr:colOff>
      <xdr:row>23</xdr:row>
      <xdr:rowOff>160788</xdr:rowOff>
    </xdr:to>
    <xdr:pic>
      <xdr:nvPicPr>
        <xdr:cNvPr id="2" name="Picture 1">
          <a:extLst>
            <a:ext uri="{FF2B5EF4-FFF2-40B4-BE49-F238E27FC236}">
              <a16:creationId xmlns:a16="http://schemas.microsoft.com/office/drawing/2014/main" id="{90A5BCD0-157B-754F-B10C-C3D2E18B5D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83" y="3276541"/>
          <a:ext cx="5909802" cy="116187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floridadep.gov/sites/default/files/5-Unionized-Ammonia-SOP_1.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CD61-4020-4BEE-80A8-30276CB221BB}">
  <sheetPr>
    <tabColor theme="0" tint="-0.14999847407452621"/>
    <pageSetUpPr fitToPage="1"/>
  </sheetPr>
  <dimension ref="A2:G26"/>
  <sheetViews>
    <sheetView tabSelected="1" topLeftCell="A3" zoomScale="65" workbookViewId="0">
      <selection activeCell="B6" sqref="B6:G6"/>
    </sheetView>
  </sheetViews>
  <sheetFormatPr defaultRowHeight="15" x14ac:dyDescent="0.25"/>
  <cols>
    <col min="1" max="1" width="21.5703125" customWidth="1"/>
    <col min="2" max="7" width="18.7109375" customWidth="1"/>
  </cols>
  <sheetData>
    <row r="2" spans="1:7" x14ac:dyDescent="0.25">
      <c r="B2" s="419" t="s">
        <v>0</v>
      </c>
      <c r="C2" s="419"/>
      <c r="D2" s="419"/>
      <c r="E2" s="419"/>
      <c r="F2" s="419"/>
      <c r="G2" s="419"/>
    </row>
    <row r="3" spans="1:7" x14ac:dyDescent="0.25">
      <c r="B3" s="419"/>
      <c r="C3" s="419"/>
      <c r="D3" s="419"/>
      <c r="E3" s="419"/>
      <c r="F3" s="419"/>
      <c r="G3" s="419"/>
    </row>
    <row r="5" spans="1:7" ht="15" customHeight="1" x14ac:dyDescent="0.25">
      <c r="A5" s="91" t="s">
        <v>1</v>
      </c>
      <c r="B5" s="429">
        <v>653313</v>
      </c>
      <c r="C5" s="429"/>
      <c r="D5" s="429"/>
      <c r="E5" s="429"/>
      <c r="F5" s="429"/>
      <c r="G5" s="430"/>
    </row>
    <row r="6" spans="1:7" x14ac:dyDescent="0.25">
      <c r="A6" s="92" t="s">
        <v>2</v>
      </c>
      <c r="B6" s="431">
        <v>45954</v>
      </c>
      <c r="C6" s="432"/>
      <c r="D6" s="432"/>
      <c r="E6" s="432"/>
      <c r="F6" s="432"/>
      <c r="G6" s="433"/>
    </row>
    <row r="7" spans="1:7" x14ac:dyDescent="0.25">
      <c r="A7" s="92" t="s">
        <v>4</v>
      </c>
      <c r="B7" s="434" t="s">
        <v>262</v>
      </c>
      <c r="C7" s="434"/>
      <c r="D7" s="434"/>
      <c r="E7" s="434"/>
      <c r="F7" s="434"/>
      <c r="G7" s="435"/>
    </row>
    <row r="8" spans="1:7" x14ac:dyDescent="0.25">
      <c r="A8" s="92" t="s">
        <v>5</v>
      </c>
      <c r="B8" s="434" t="s">
        <v>6</v>
      </c>
      <c r="C8" s="434"/>
      <c r="D8" s="434"/>
      <c r="E8" s="434"/>
      <c r="F8" s="434"/>
      <c r="G8" s="435"/>
    </row>
    <row r="9" spans="1:7" ht="15" customHeight="1" thickBot="1" x14ac:dyDescent="0.3">
      <c r="A9" s="93" t="s">
        <v>7</v>
      </c>
      <c r="B9" s="436" t="s">
        <v>8</v>
      </c>
      <c r="C9" s="436"/>
      <c r="D9" s="436"/>
      <c r="E9" s="436"/>
      <c r="F9" s="436"/>
      <c r="G9" s="437"/>
    </row>
    <row r="11" spans="1:7" ht="15.75" thickBot="1" x14ac:dyDescent="0.3">
      <c r="A11" s="107" t="s">
        <v>4</v>
      </c>
      <c r="B11" s="108" t="s">
        <v>9</v>
      </c>
      <c r="C11" s="109" t="s">
        <v>5</v>
      </c>
      <c r="D11" s="110" t="s">
        <v>10</v>
      </c>
      <c r="E11" s="107" t="s">
        <v>11</v>
      </c>
      <c r="F11" s="107" t="s">
        <v>2</v>
      </c>
      <c r="G11" s="111" t="s">
        <v>12</v>
      </c>
    </row>
    <row r="12" spans="1:7" s="95" customFormat="1" ht="30.75" thickBot="1" x14ac:dyDescent="0.3">
      <c r="A12" s="114" t="s">
        <v>13</v>
      </c>
      <c r="B12" s="116">
        <v>1</v>
      </c>
      <c r="C12" s="112" t="s">
        <v>6</v>
      </c>
      <c r="D12" s="113" t="s">
        <v>14</v>
      </c>
      <c r="E12" s="114" t="s">
        <v>15</v>
      </c>
      <c r="F12" s="115">
        <v>45360</v>
      </c>
      <c r="G12" s="117" t="s">
        <v>16</v>
      </c>
    </row>
    <row r="13" spans="1:7" s="95" customFormat="1" ht="30.75" thickBot="1" x14ac:dyDescent="0.3">
      <c r="A13" s="114" t="s">
        <v>13</v>
      </c>
      <c r="B13" s="116">
        <v>2</v>
      </c>
      <c r="C13" s="112" t="s">
        <v>6</v>
      </c>
      <c r="D13" s="113" t="s">
        <v>14</v>
      </c>
      <c r="E13" s="114" t="s">
        <v>15</v>
      </c>
      <c r="F13" s="114" t="s">
        <v>3</v>
      </c>
      <c r="G13" s="117" t="s">
        <v>16</v>
      </c>
    </row>
    <row r="14" spans="1:7" s="95" customFormat="1" ht="30.75" thickBot="1" x14ac:dyDescent="0.3">
      <c r="A14" s="114" t="s">
        <v>13</v>
      </c>
      <c r="B14" s="116">
        <v>3</v>
      </c>
      <c r="C14" s="112" t="s">
        <v>6</v>
      </c>
      <c r="D14" s="113" t="s">
        <v>14</v>
      </c>
      <c r="E14" s="114" t="s">
        <v>15</v>
      </c>
      <c r="F14" s="371">
        <v>45688</v>
      </c>
      <c r="G14" s="117" t="s">
        <v>17</v>
      </c>
    </row>
    <row r="15" spans="1:7" s="95" customFormat="1" ht="30.75" thickBot="1" x14ac:dyDescent="0.3">
      <c r="A15" s="114" t="s">
        <v>13</v>
      </c>
      <c r="B15" s="116">
        <v>4</v>
      </c>
      <c r="C15" s="112" t="s">
        <v>6</v>
      </c>
      <c r="D15" s="113" t="s">
        <v>14</v>
      </c>
      <c r="E15" s="114" t="s">
        <v>15</v>
      </c>
      <c r="F15" s="372">
        <v>45736</v>
      </c>
      <c r="G15" s="370" t="s">
        <v>17</v>
      </c>
    </row>
    <row r="16" spans="1:7" s="95" customFormat="1" ht="30.75" thickBot="1" x14ac:dyDescent="0.3">
      <c r="A16" s="114" t="s">
        <v>13</v>
      </c>
      <c r="B16" s="116">
        <v>5</v>
      </c>
      <c r="C16" s="112" t="s">
        <v>6</v>
      </c>
      <c r="D16" s="113" t="s">
        <v>14</v>
      </c>
      <c r="E16" s="114" t="s">
        <v>15</v>
      </c>
      <c r="F16" s="372">
        <v>45757</v>
      </c>
      <c r="G16" s="370" t="s">
        <v>253</v>
      </c>
    </row>
    <row r="17" spans="1:7" s="95" customFormat="1" ht="31.5" customHeight="1" thickBot="1" x14ac:dyDescent="0.3">
      <c r="A17" s="114" t="s">
        <v>13</v>
      </c>
      <c r="B17" s="116">
        <v>6</v>
      </c>
      <c r="C17" s="112" t="s">
        <v>261</v>
      </c>
      <c r="D17" s="113" t="s">
        <v>14</v>
      </c>
      <c r="E17" s="114" t="s">
        <v>15</v>
      </c>
      <c r="F17" s="372">
        <v>45954</v>
      </c>
      <c r="G17" s="370" t="s">
        <v>253</v>
      </c>
    </row>
    <row r="18" spans="1:7" ht="15.75" thickBot="1" x14ac:dyDescent="0.3"/>
    <row r="19" spans="1:7" x14ac:dyDescent="0.25">
      <c r="A19" s="420" t="s">
        <v>249</v>
      </c>
      <c r="B19" s="421"/>
      <c r="C19" s="421"/>
      <c r="D19" s="421"/>
      <c r="E19" s="421"/>
      <c r="F19" s="421"/>
      <c r="G19" s="422"/>
    </row>
    <row r="20" spans="1:7" x14ac:dyDescent="0.25">
      <c r="A20" s="423"/>
      <c r="B20" s="424"/>
      <c r="C20" s="424"/>
      <c r="D20" s="424"/>
      <c r="E20" s="424"/>
      <c r="F20" s="424"/>
      <c r="G20" s="425"/>
    </row>
    <row r="21" spans="1:7" x14ac:dyDescent="0.25">
      <c r="A21" s="423"/>
      <c r="B21" s="424"/>
      <c r="C21" s="424"/>
      <c r="D21" s="424"/>
      <c r="E21" s="424"/>
      <c r="F21" s="424"/>
      <c r="G21" s="425"/>
    </row>
    <row r="22" spans="1:7" x14ac:dyDescent="0.25">
      <c r="A22" s="423"/>
      <c r="B22" s="424"/>
      <c r="C22" s="424"/>
      <c r="D22" s="424"/>
      <c r="E22" s="424"/>
      <c r="F22" s="424"/>
      <c r="G22" s="425"/>
    </row>
    <row r="23" spans="1:7" x14ac:dyDescent="0.25">
      <c r="A23" s="423"/>
      <c r="B23" s="424"/>
      <c r="C23" s="424"/>
      <c r="D23" s="424"/>
      <c r="E23" s="424"/>
      <c r="F23" s="424"/>
      <c r="G23" s="425"/>
    </row>
    <row r="24" spans="1:7" x14ac:dyDescent="0.25">
      <c r="A24" s="423"/>
      <c r="B24" s="424"/>
      <c r="C24" s="424"/>
      <c r="D24" s="424"/>
      <c r="E24" s="424"/>
      <c r="F24" s="424"/>
      <c r="G24" s="425"/>
    </row>
    <row r="25" spans="1:7" x14ac:dyDescent="0.25">
      <c r="A25" s="423"/>
      <c r="B25" s="424"/>
      <c r="C25" s="424"/>
      <c r="D25" s="424"/>
      <c r="E25" s="424"/>
      <c r="F25" s="424"/>
      <c r="G25" s="425"/>
    </row>
    <row r="26" spans="1:7" ht="15.75" thickBot="1" x14ac:dyDescent="0.3">
      <c r="A26" s="426"/>
      <c r="B26" s="427"/>
      <c r="C26" s="427"/>
      <c r="D26" s="427"/>
      <c r="E26" s="427"/>
      <c r="F26" s="427"/>
      <c r="G26" s="428"/>
    </row>
  </sheetData>
  <mergeCells count="7">
    <mergeCell ref="B2:G3"/>
    <mergeCell ref="A19:G26"/>
    <mergeCell ref="B5:G5"/>
    <mergeCell ref="B6:G6"/>
    <mergeCell ref="B7:G7"/>
    <mergeCell ref="B8:G8"/>
    <mergeCell ref="B9:G9"/>
  </mergeCells>
  <pageMargins left="0.7" right="0.7" top="0.75" bottom="0.75" header="0.3" footer="0.3"/>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E791-9402-43D8-8D14-B9544AF67AE9}">
  <sheetPr>
    <tabColor theme="0"/>
  </sheetPr>
  <dimension ref="B1:C8"/>
  <sheetViews>
    <sheetView workbookViewId="0">
      <selection activeCell="B8" sqref="B8"/>
    </sheetView>
  </sheetViews>
  <sheetFormatPr defaultColWidth="9.140625" defaultRowHeight="15" x14ac:dyDescent="0.25"/>
  <cols>
    <col min="1" max="1" width="9.140625" style="95"/>
    <col min="2" max="2" width="30.85546875" style="95" customWidth="1"/>
    <col min="3" max="3" width="78.7109375" style="95" customWidth="1"/>
    <col min="4" max="16384" width="9.140625" style="95"/>
  </cols>
  <sheetData>
    <row r="1" spans="2:3" x14ac:dyDescent="0.25">
      <c r="B1" s="120" t="s">
        <v>18</v>
      </c>
    </row>
    <row r="2" spans="2:3" x14ac:dyDescent="0.25">
      <c r="B2" s="118"/>
    </row>
    <row r="3" spans="2:3" x14ac:dyDescent="0.25">
      <c r="B3" s="119" t="s">
        <v>19</v>
      </c>
      <c r="C3" s="94" t="s">
        <v>20</v>
      </c>
    </row>
    <row r="4" spans="2:3" ht="60" x14ac:dyDescent="0.25">
      <c r="B4" s="96" t="s">
        <v>21</v>
      </c>
      <c r="C4" s="97" t="s">
        <v>22</v>
      </c>
    </row>
    <row r="5" spans="2:3" ht="30" x14ac:dyDescent="0.25">
      <c r="B5" s="96" t="s">
        <v>23</v>
      </c>
      <c r="C5" s="97" t="s">
        <v>24</v>
      </c>
    </row>
    <row r="6" spans="2:3" ht="30" x14ac:dyDescent="0.25">
      <c r="B6" s="96" t="s">
        <v>25</v>
      </c>
      <c r="C6" s="97" t="s">
        <v>26</v>
      </c>
    </row>
    <row r="7" spans="2:3" x14ac:dyDescent="0.25">
      <c r="B7" s="96" t="s">
        <v>27</v>
      </c>
      <c r="C7" s="97" t="s">
        <v>28</v>
      </c>
    </row>
    <row r="8" spans="2:3" x14ac:dyDescent="0.25">
      <c r="B8" s="96" t="s">
        <v>29</v>
      </c>
      <c r="C8" s="97" t="s">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38E26-176B-4A3B-AD8A-917A94E2E9B8}">
  <sheetPr>
    <tabColor theme="5" tint="0.59999389629810485"/>
    <pageSetUpPr fitToPage="1"/>
  </sheetPr>
  <dimension ref="B1:Y45"/>
  <sheetViews>
    <sheetView zoomScale="117" zoomScaleNormal="117" workbookViewId="0">
      <pane xSplit="5" ySplit="6" topLeftCell="F7" activePane="bottomRight" state="frozen"/>
      <selection pane="topRight"/>
      <selection pane="bottomLeft"/>
      <selection pane="bottomRight" activeCell="I8" sqref="I8"/>
    </sheetView>
  </sheetViews>
  <sheetFormatPr defaultColWidth="8.7109375" defaultRowHeight="15" x14ac:dyDescent="0.25"/>
  <cols>
    <col min="1" max="2" width="1.140625" style="187" customWidth="1"/>
    <col min="3" max="3" width="13.5703125" style="187" customWidth="1"/>
    <col min="4" max="4" width="8.7109375" style="187"/>
    <col min="5" max="5" width="16.85546875" style="187" hidden="1" customWidth="1"/>
    <col min="6" max="6" width="15.28515625" style="187" customWidth="1"/>
    <col min="7" max="7" width="14.28515625" style="187" customWidth="1"/>
    <col min="8" max="8" width="10.7109375" style="187" customWidth="1"/>
    <col min="9" max="10" width="10.7109375" style="267" customWidth="1"/>
    <col min="11" max="14" width="10.7109375" style="189" customWidth="1"/>
    <col min="15" max="16" width="10.7109375" style="190" customWidth="1"/>
    <col min="17" max="18" width="10.7109375" style="189" customWidth="1"/>
    <col min="19" max="19" width="64.7109375" style="187" customWidth="1"/>
    <col min="20" max="20" width="8.7109375" style="191"/>
    <col min="21" max="22" width="8.7109375" style="192"/>
    <col min="23" max="16384" width="8.7109375" style="187"/>
  </cols>
  <sheetData>
    <row r="1" spans="2:25" x14ac:dyDescent="0.25">
      <c r="F1" s="188"/>
      <c r="G1" s="438" t="s">
        <v>31</v>
      </c>
      <c r="H1" s="438"/>
      <c r="I1" s="438"/>
      <c r="J1" s="438"/>
      <c r="K1" s="438"/>
      <c r="L1" s="438"/>
      <c r="M1" s="438"/>
      <c r="N1" s="438"/>
    </row>
    <row r="2" spans="2:25" x14ac:dyDescent="0.25">
      <c r="F2" s="292"/>
      <c r="G2" s="187" t="s">
        <v>32</v>
      </c>
    </row>
    <row r="3" spans="2:25" ht="48" customHeight="1" thickBot="1" x14ac:dyDescent="0.3">
      <c r="C3" s="193"/>
      <c r="E3" s="194"/>
      <c r="F3" s="418" t="s">
        <v>259</v>
      </c>
      <c r="G3" s="417" t="s">
        <v>260</v>
      </c>
      <c r="I3" s="378"/>
      <c r="K3" s="195" t="s">
        <v>33</v>
      </c>
      <c r="M3" s="450" t="s">
        <v>34</v>
      </c>
      <c r="N3" s="450"/>
    </row>
    <row r="4" spans="2:25" ht="51.75" customHeight="1" thickBot="1" x14ac:dyDescent="0.3">
      <c r="C4" s="447" t="s">
        <v>35</v>
      </c>
      <c r="D4" s="444" t="s">
        <v>36</v>
      </c>
      <c r="E4" s="441" t="s">
        <v>37</v>
      </c>
      <c r="F4" s="456" t="s">
        <v>38</v>
      </c>
      <c r="G4" s="457"/>
      <c r="H4" s="457"/>
      <c r="I4" s="457"/>
      <c r="J4" s="458"/>
      <c r="K4" s="451" t="s">
        <v>39</v>
      </c>
      <c r="L4" s="451"/>
      <c r="M4" s="452" t="s">
        <v>40</v>
      </c>
      <c r="N4" s="453"/>
      <c r="O4" s="454" t="s">
        <v>256</v>
      </c>
      <c r="P4" s="455"/>
      <c r="Q4" s="439" t="s">
        <v>41</v>
      </c>
      <c r="R4" s="440"/>
      <c r="S4" s="196" t="s">
        <v>12</v>
      </c>
    </row>
    <row r="5" spans="2:25" ht="15" customHeight="1" thickBot="1" x14ac:dyDescent="0.3">
      <c r="C5" s="448"/>
      <c r="D5" s="445"/>
      <c r="E5" s="442"/>
      <c r="F5" s="197">
        <v>43713</v>
      </c>
      <c r="G5" s="198">
        <v>43717</v>
      </c>
      <c r="H5" s="199">
        <v>43724</v>
      </c>
      <c r="I5" s="413" t="s">
        <v>42</v>
      </c>
      <c r="J5" s="414" t="s">
        <v>43</v>
      </c>
      <c r="K5" s="412" t="s">
        <v>42</v>
      </c>
      <c r="L5" s="200" t="s">
        <v>43</v>
      </c>
      <c r="M5" s="297" t="s">
        <v>44</v>
      </c>
      <c r="N5" s="298" t="s">
        <v>43</v>
      </c>
      <c r="O5" s="296" t="s">
        <v>44</v>
      </c>
      <c r="P5" s="201" t="s">
        <v>43</v>
      </c>
      <c r="Q5" s="202" t="s">
        <v>45</v>
      </c>
      <c r="R5" s="203" t="s">
        <v>46</v>
      </c>
      <c r="S5" s="204"/>
    </row>
    <row r="6" spans="2:25" ht="15" customHeight="1" thickBot="1" x14ac:dyDescent="0.3">
      <c r="C6" s="449"/>
      <c r="D6" s="446"/>
      <c r="E6" s="443"/>
      <c r="F6" s="205">
        <v>1308876</v>
      </c>
      <c r="G6" s="206">
        <v>1311550</v>
      </c>
      <c r="H6" s="207">
        <v>1317266</v>
      </c>
      <c r="I6" s="415" t="s">
        <v>254</v>
      </c>
      <c r="J6" s="416" t="s">
        <v>254</v>
      </c>
      <c r="K6" s="415" t="s">
        <v>254</v>
      </c>
      <c r="L6" s="416" t="s">
        <v>254</v>
      </c>
      <c r="M6" s="415" t="s">
        <v>254</v>
      </c>
      <c r="N6" s="416" t="s">
        <v>254</v>
      </c>
      <c r="O6" s="415" t="s">
        <v>254</v>
      </c>
      <c r="P6" s="416" t="s">
        <v>254</v>
      </c>
      <c r="Q6" s="415" t="s">
        <v>254</v>
      </c>
      <c r="R6" s="416" t="s">
        <v>254</v>
      </c>
      <c r="S6" s="204"/>
      <c r="W6" s="192"/>
      <c r="X6" s="192"/>
      <c r="Y6" s="192"/>
    </row>
    <row r="7" spans="2:25" ht="24" x14ac:dyDescent="0.25">
      <c r="C7" s="208" t="s">
        <v>47</v>
      </c>
      <c r="D7" s="209" t="s">
        <v>48</v>
      </c>
      <c r="E7" s="210"/>
      <c r="F7" s="211">
        <v>4.5</v>
      </c>
      <c r="G7" s="209">
        <v>3.2</v>
      </c>
      <c r="H7" s="212">
        <v>1</v>
      </c>
      <c r="I7" s="387">
        <f>AVERAGE(F7:H7)*1000</f>
        <v>2900</v>
      </c>
      <c r="J7" s="388">
        <f>MAX(F7:H7)*1000</f>
        <v>4500</v>
      </c>
      <c r="K7" s="399">
        <f>I7</f>
        <v>2900</v>
      </c>
      <c r="L7" s="400">
        <f>J7</f>
        <v>4500</v>
      </c>
      <c r="M7" s="346">
        <f>I7*2.7</f>
        <v>7830.0000000000009</v>
      </c>
      <c r="N7" s="347">
        <f t="shared" ref="N7" si="0">L7*2.7</f>
        <v>12150</v>
      </c>
      <c r="O7" s="410">
        <f>(K7*$K$40+M7*$M$40)/$O$40</f>
        <v>3020.2439024390246</v>
      </c>
      <c r="P7" s="411">
        <f>(L7*$K$40+N7*$M$40)/$O$40</f>
        <v>4686.5853658536589</v>
      </c>
      <c r="Q7" s="213" t="s">
        <v>49</v>
      </c>
      <c r="R7" s="213" t="s">
        <v>49</v>
      </c>
      <c r="S7" s="291"/>
      <c r="W7" s="192"/>
      <c r="X7" s="192"/>
      <c r="Y7" s="192"/>
    </row>
    <row r="8" spans="2:25" ht="24" x14ac:dyDescent="0.25">
      <c r="C8" s="215" t="s">
        <v>50</v>
      </c>
      <c r="D8" s="216" t="s">
        <v>48</v>
      </c>
      <c r="E8" s="217" t="s">
        <v>51</v>
      </c>
      <c r="F8" s="218" t="s">
        <v>52</v>
      </c>
      <c r="G8" s="216" t="s">
        <v>52</v>
      </c>
      <c r="H8" s="219" t="s">
        <v>52</v>
      </c>
      <c r="I8" s="379" t="s">
        <v>52</v>
      </c>
      <c r="J8" s="380" t="s">
        <v>52</v>
      </c>
      <c r="K8" s="220" t="s">
        <v>53</v>
      </c>
      <c r="L8" s="223" t="s">
        <v>53</v>
      </c>
      <c r="M8" s="299" t="s">
        <v>53</v>
      </c>
      <c r="N8" s="300" t="s">
        <v>53</v>
      </c>
      <c r="O8" s="222" t="s">
        <v>53</v>
      </c>
      <c r="P8" s="221" t="s">
        <v>53</v>
      </c>
      <c r="Q8" s="224">
        <v>21</v>
      </c>
      <c r="R8" s="225" t="s">
        <v>49</v>
      </c>
      <c r="S8" s="305" t="s">
        <v>54</v>
      </c>
      <c r="W8" s="192"/>
      <c r="X8" s="192"/>
      <c r="Y8" s="192"/>
    </row>
    <row r="9" spans="2:25" x14ac:dyDescent="0.25">
      <c r="C9" s="226" t="s">
        <v>55</v>
      </c>
      <c r="D9" s="227" t="s">
        <v>48</v>
      </c>
      <c r="E9" s="210"/>
      <c r="F9" s="228">
        <v>1.3</v>
      </c>
      <c r="G9" s="227">
        <v>1.2</v>
      </c>
      <c r="H9" s="229">
        <v>1.4</v>
      </c>
      <c r="I9" s="389">
        <f t="shared" ref="I9:I36" si="1">AVERAGE(F9:H9)*1000</f>
        <v>1300</v>
      </c>
      <c r="J9" s="390">
        <f t="shared" ref="J9:J36" si="2">MAX(F9:H9)*1000</f>
        <v>1400</v>
      </c>
      <c r="K9" s="401">
        <f>I9</f>
        <v>1300</v>
      </c>
      <c r="L9" s="402">
        <f>J9</f>
        <v>1400</v>
      </c>
      <c r="M9" s="326">
        <f t="shared" ref="M9:M39" si="3">I9*2.7</f>
        <v>3510.0000000000005</v>
      </c>
      <c r="N9" s="343">
        <f t="shared" ref="N9:N39" si="4">L9*2.7</f>
        <v>3780.0000000000005</v>
      </c>
      <c r="O9" s="344">
        <f t="shared" ref="O9:O29" si="5">(K9*$K$40+M9*$M$40)/$O$40</f>
        <v>1353.9024390243903</v>
      </c>
      <c r="P9" s="345">
        <f t="shared" ref="P9:P29" si="6">(L9*$K$40+N9*$M$40)/$O$40</f>
        <v>1458.0487804878048</v>
      </c>
      <c r="Q9" s="224" t="s">
        <v>49</v>
      </c>
      <c r="R9" s="225" t="s">
        <v>49</v>
      </c>
      <c r="S9" s="230"/>
      <c r="W9" s="192"/>
      <c r="X9" s="192"/>
      <c r="Y9" s="192"/>
    </row>
    <row r="10" spans="2:25" ht="25.5" customHeight="1" x14ac:dyDescent="0.25">
      <c r="B10" s="15"/>
      <c r="C10" s="284" t="s">
        <v>56</v>
      </c>
      <c r="D10" s="283" t="s">
        <v>57</v>
      </c>
      <c r="E10" s="286" t="s">
        <v>58</v>
      </c>
      <c r="F10" s="315">
        <v>1.02</v>
      </c>
      <c r="G10" s="306">
        <v>0.7</v>
      </c>
      <c r="H10" s="316">
        <v>0.54</v>
      </c>
      <c r="I10" s="381">
        <f>AVERAGE(F10:H10)</f>
        <v>0.7533333333333333</v>
      </c>
      <c r="J10" s="392">
        <f>MAX(F10:H10)</f>
        <v>1.02</v>
      </c>
      <c r="K10" s="317">
        <f t="shared" ref="K10:K39" si="7">I10</f>
        <v>0.7533333333333333</v>
      </c>
      <c r="L10" s="403">
        <f t="shared" ref="L10:L39" si="8">J10</f>
        <v>1.02</v>
      </c>
      <c r="M10" s="301">
        <f t="shared" si="3"/>
        <v>2.0340000000000003</v>
      </c>
      <c r="N10" s="302">
        <f t="shared" si="4"/>
        <v>2.7540000000000004</v>
      </c>
      <c r="O10" s="348">
        <f t="shared" si="5"/>
        <v>0.78456910569105698</v>
      </c>
      <c r="P10" s="349">
        <f t="shared" si="6"/>
        <v>1.0622926829268293</v>
      </c>
      <c r="Q10" s="281">
        <v>25</v>
      </c>
      <c r="R10" s="282" t="s">
        <v>49</v>
      </c>
      <c r="S10" s="230"/>
      <c r="W10" s="192"/>
      <c r="X10" s="192"/>
      <c r="Y10" s="192"/>
    </row>
    <row r="11" spans="2:25" ht="23.1" customHeight="1" x14ac:dyDescent="0.25">
      <c r="B11" s="15"/>
      <c r="C11" s="226" t="s">
        <v>59</v>
      </c>
      <c r="D11" s="227" t="s">
        <v>48</v>
      </c>
      <c r="E11" s="210"/>
      <c r="F11" s="228">
        <v>0.01</v>
      </c>
      <c r="G11" s="227">
        <v>0.01</v>
      </c>
      <c r="H11" s="229">
        <v>0.01</v>
      </c>
      <c r="I11" s="393">
        <f t="shared" si="1"/>
        <v>10</v>
      </c>
      <c r="J11" s="394">
        <f t="shared" si="2"/>
        <v>10</v>
      </c>
      <c r="K11" s="404">
        <f t="shared" si="7"/>
        <v>10</v>
      </c>
      <c r="L11" s="217">
        <f t="shared" si="8"/>
        <v>10</v>
      </c>
      <c r="M11" s="323">
        <f t="shared" si="3"/>
        <v>27</v>
      </c>
      <c r="N11" s="324">
        <f t="shared" si="4"/>
        <v>27</v>
      </c>
      <c r="O11" s="350">
        <f t="shared" si="5"/>
        <v>10.414634146341463</v>
      </c>
      <c r="P11" s="351">
        <f t="shared" si="6"/>
        <v>10.414634146341463</v>
      </c>
      <c r="Q11" s="224" t="s">
        <v>49</v>
      </c>
      <c r="R11" s="225" t="s">
        <v>49</v>
      </c>
      <c r="S11" s="230"/>
      <c r="W11" s="192"/>
      <c r="X11" s="192"/>
      <c r="Y11" s="192"/>
    </row>
    <row r="12" spans="2:25" x14ac:dyDescent="0.25">
      <c r="B12" s="15"/>
      <c r="C12" s="226" t="s">
        <v>60</v>
      </c>
      <c r="D12" s="227" t="s">
        <v>48</v>
      </c>
      <c r="E12" s="231" t="s">
        <v>61</v>
      </c>
      <c r="F12" s="228">
        <v>10</v>
      </c>
      <c r="G12" s="227">
        <v>10</v>
      </c>
      <c r="H12" s="229">
        <v>10</v>
      </c>
      <c r="I12" s="395">
        <f t="shared" si="1"/>
        <v>10000</v>
      </c>
      <c r="J12" s="396">
        <f t="shared" si="2"/>
        <v>10000</v>
      </c>
      <c r="K12" s="405">
        <f t="shared" si="7"/>
        <v>10000</v>
      </c>
      <c r="L12" s="406">
        <f t="shared" si="8"/>
        <v>10000</v>
      </c>
      <c r="M12" s="323">
        <f t="shared" si="3"/>
        <v>27000</v>
      </c>
      <c r="N12" s="324">
        <f t="shared" si="4"/>
        <v>27000</v>
      </c>
      <c r="O12" s="350">
        <f t="shared" si="5"/>
        <v>10414.634146341463</v>
      </c>
      <c r="P12" s="351">
        <f t="shared" si="6"/>
        <v>10414.634146341463</v>
      </c>
      <c r="Q12" s="224" t="s">
        <v>49</v>
      </c>
      <c r="R12" s="225" t="s">
        <v>49</v>
      </c>
      <c r="S12" s="230"/>
      <c r="W12" s="192"/>
      <c r="X12" s="192"/>
      <c r="Y12" s="192"/>
    </row>
    <row r="13" spans="2:25" ht="24" x14ac:dyDescent="0.25">
      <c r="B13" s="15"/>
      <c r="C13" s="284" t="s">
        <v>62</v>
      </c>
      <c r="D13" s="283" t="s">
        <v>48</v>
      </c>
      <c r="E13" s="285"/>
      <c r="F13" s="315">
        <v>0.5</v>
      </c>
      <c r="G13" s="306">
        <v>0.51</v>
      </c>
      <c r="H13" s="316">
        <v>0.52</v>
      </c>
      <c r="I13" s="397">
        <f t="shared" si="1"/>
        <v>510</v>
      </c>
      <c r="J13" s="392">
        <f t="shared" si="2"/>
        <v>520</v>
      </c>
      <c r="K13" s="407">
        <f t="shared" si="7"/>
        <v>510</v>
      </c>
      <c r="L13" s="403">
        <f t="shared" si="8"/>
        <v>520</v>
      </c>
      <c r="M13" s="332">
        <f t="shared" si="3"/>
        <v>1377</v>
      </c>
      <c r="N13" s="333">
        <f t="shared" si="4"/>
        <v>1404</v>
      </c>
      <c r="O13" s="352">
        <f t="shared" si="5"/>
        <v>531.14634146341461</v>
      </c>
      <c r="P13" s="353">
        <f t="shared" si="6"/>
        <v>541.56097560975604</v>
      </c>
      <c r="Q13" s="281">
        <v>7000</v>
      </c>
      <c r="R13" s="282" t="s">
        <v>49</v>
      </c>
      <c r="S13" s="230"/>
      <c r="W13" s="192"/>
      <c r="X13" s="192"/>
      <c r="Y13" s="192"/>
    </row>
    <row r="14" spans="2:25" ht="24" x14ac:dyDescent="0.25">
      <c r="B14" s="15"/>
      <c r="C14" s="284" t="s">
        <v>63</v>
      </c>
      <c r="D14" s="283" t="s">
        <v>57</v>
      </c>
      <c r="E14" s="233"/>
      <c r="F14" s="234">
        <v>0.02</v>
      </c>
      <c r="G14" s="235">
        <v>0.02</v>
      </c>
      <c r="H14" s="236">
        <v>0.02</v>
      </c>
      <c r="I14" s="391">
        <f>AVERAGE(F14:H14)</f>
        <v>0.02</v>
      </c>
      <c r="J14" s="392">
        <f>MAX(F14:H14)</f>
        <v>0.02</v>
      </c>
      <c r="K14" s="408">
        <f t="shared" si="7"/>
        <v>0.02</v>
      </c>
      <c r="L14" s="403">
        <f t="shared" si="8"/>
        <v>0.02</v>
      </c>
      <c r="M14" s="301">
        <f t="shared" si="3"/>
        <v>5.4000000000000006E-2</v>
      </c>
      <c r="N14" s="303">
        <f t="shared" si="4"/>
        <v>5.4000000000000006E-2</v>
      </c>
      <c r="O14" s="348">
        <f t="shared" si="5"/>
        <v>2.0829268292682928E-2</v>
      </c>
      <c r="P14" s="349">
        <f t="shared" si="6"/>
        <v>2.0829268292682928E-2</v>
      </c>
      <c r="Q14" s="281">
        <v>0.2</v>
      </c>
      <c r="R14" s="282" t="s">
        <v>49</v>
      </c>
      <c r="S14" s="230"/>
      <c r="W14" s="192"/>
      <c r="X14" s="192"/>
      <c r="Y14" s="192"/>
    </row>
    <row r="15" spans="2:25" ht="24" x14ac:dyDescent="0.25">
      <c r="B15" s="15"/>
      <c r="C15" s="226" t="s">
        <v>64</v>
      </c>
      <c r="D15" s="227" t="s">
        <v>48</v>
      </c>
      <c r="E15" s="210"/>
      <c r="F15" s="228">
        <v>150</v>
      </c>
      <c r="G15" s="227">
        <v>190</v>
      </c>
      <c r="H15" s="229">
        <v>140</v>
      </c>
      <c r="I15" s="398">
        <f t="shared" si="1"/>
        <v>160000</v>
      </c>
      <c r="J15" s="394">
        <f t="shared" si="2"/>
        <v>190000</v>
      </c>
      <c r="K15" s="409">
        <f t="shared" si="7"/>
        <v>160000</v>
      </c>
      <c r="L15" s="217">
        <f t="shared" si="8"/>
        <v>190000</v>
      </c>
      <c r="M15" s="326">
        <f t="shared" si="3"/>
        <v>432000</v>
      </c>
      <c r="N15" s="324">
        <f t="shared" si="4"/>
        <v>513000.00000000006</v>
      </c>
      <c r="O15" s="350">
        <f t="shared" si="5"/>
        <v>166634.14634146341</v>
      </c>
      <c r="P15" s="351">
        <f t="shared" si="6"/>
        <v>197878.04878048782</v>
      </c>
      <c r="Q15" s="224" t="s">
        <v>49</v>
      </c>
      <c r="R15" s="225" t="s">
        <v>49</v>
      </c>
      <c r="S15" s="230"/>
      <c r="W15" s="192"/>
      <c r="X15" s="192"/>
      <c r="Y15" s="192"/>
    </row>
    <row r="16" spans="2:25" x14ac:dyDescent="0.25">
      <c r="B16" s="15"/>
      <c r="C16" s="226" t="s">
        <v>65</v>
      </c>
      <c r="D16" s="227" t="s">
        <v>48</v>
      </c>
      <c r="E16" s="231" t="s">
        <v>66</v>
      </c>
      <c r="F16" s="228">
        <v>820</v>
      </c>
      <c r="G16" s="227">
        <v>830</v>
      </c>
      <c r="H16" s="229">
        <v>840</v>
      </c>
      <c r="I16" s="398">
        <f t="shared" si="1"/>
        <v>830000</v>
      </c>
      <c r="J16" s="394">
        <f t="shared" si="2"/>
        <v>840000</v>
      </c>
      <c r="K16" s="409">
        <f t="shared" si="7"/>
        <v>830000</v>
      </c>
      <c r="L16" s="217">
        <f t="shared" si="8"/>
        <v>840000</v>
      </c>
      <c r="M16" s="323">
        <f t="shared" si="3"/>
        <v>2241000</v>
      </c>
      <c r="N16" s="324">
        <f t="shared" si="4"/>
        <v>2268000</v>
      </c>
      <c r="O16" s="350">
        <f t="shared" si="5"/>
        <v>864414.63414634147</v>
      </c>
      <c r="P16" s="351">
        <f t="shared" si="6"/>
        <v>874829.26829268294</v>
      </c>
      <c r="Q16" s="224" t="s">
        <v>49</v>
      </c>
      <c r="R16" s="237" t="s">
        <v>49</v>
      </c>
      <c r="S16" s="230"/>
      <c r="W16" s="192"/>
      <c r="X16" s="192"/>
      <c r="Y16" s="192"/>
    </row>
    <row r="17" spans="2:25" ht="24" x14ac:dyDescent="0.25">
      <c r="B17" s="15"/>
      <c r="C17" s="369" t="s">
        <v>67</v>
      </c>
      <c r="D17" s="306" t="s">
        <v>57</v>
      </c>
      <c r="E17" s="233"/>
      <c r="F17" s="234">
        <v>0.2</v>
      </c>
      <c r="G17" s="306">
        <v>0.3</v>
      </c>
      <c r="H17" s="236">
        <v>0.2</v>
      </c>
      <c r="I17" s="383">
        <f>AVERAGE(F17:H17)</f>
        <v>0.23333333333333331</v>
      </c>
      <c r="J17" s="392">
        <f>MAX(F17:H17)</f>
        <v>0.3</v>
      </c>
      <c r="K17" s="327">
        <f t="shared" si="7"/>
        <v>0.23333333333333331</v>
      </c>
      <c r="L17" s="403">
        <f t="shared" si="8"/>
        <v>0.3</v>
      </c>
      <c r="M17" s="363">
        <f t="shared" si="3"/>
        <v>0.63</v>
      </c>
      <c r="N17" s="364">
        <f t="shared" si="4"/>
        <v>0.81</v>
      </c>
      <c r="O17" s="365">
        <f t="shared" si="5"/>
        <v>0.24300813008130079</v>
      </c>
      <c r="P17" s="366">
        <f t="shared" si="6"/>
        <v>0.3124390243902439</v>
      </c>
      <c r="Q17" s="367" t="s">
        <v>49</v>
      </c>
      <c r="R17" s="368" t="s">
        <v>49</v>
      </c>
      <c r="S17" s="230" t="s">
        <v>258</v>
      </c>
      <c r="W17" s="192"/>
      <c r="X17" s="192"/>
      <c r="Y17" s="192"/>
    </row>
    <row r="18" spans="2:25" x14ac:dyDescent="0.25">
      <c r="B18" s="15"/>
      <c r="C18" s="226" t="s">
        <v>68</v>
      </c>
      <c r="D18" s="227" t="s">
        <v>69</v>
      </c>
      <c r="E18" s="238" t="s">
        <v>70</v>
      </c>
      <c r="F18" s="228">
        <v>3.8</v>
      </c>
      <c r="G18" s="227">
        <v>3.9</v>
      </c>
      <c r="H18" s="229">
        <v>3.9</v>
      </c>
      <c r="I18" s="383">
        <f>AVERAGE(F18:H18)</f>
        <v>3.8666666666666667</v>
      </c>
      <c r="J18" s="392">
        <f>MAX(F18:H18)</f>
        <v>3.9</v>
      </c>
      <c r="K18" s="327">
        <f t="shared" si="7"/>
        <v>3.8666666666666667</v>
      </c>
      <c r="L18" s="403">
        <f t="shared" si="8"/>
        <v>3.9</v>
      </c>
      <c r="M18" s="321">
        <f t="shared" si="3"/>
        <v>10.440000000000001</v>
      </c>
      <c r="N18" s="322">
        <f t="shared" si="4"/>
        <v>10.530000000000001</v>
      </c>
      <c r="O18" s="356">
        <f t="shared" si="5"/>
        <v>4.0269918699186986</v>
      </c>
      <c r="P18" s="357">
        <f t="shared" si="6"/>
        <v>4.0617073170731706</v>
      </c>
      <c r="Q18" s="224" t="s">
        <v>49</v>
      </c>
      <c r="R18" s="225" t="s">
        <v>49</v>
      </c>
      <c r="S18" s="230"/>
      <c r="W18" s="192"/>
      <c r="X18" s="192"/>
      <c r="Y18" s="192"/>
    </row>
    <row r="19" spans="2:25" ht="26.1" customHeight="1" x14ac:dyDescent="0.25">
      <c r="B19" s="15"/>
      <c r="C19" s="239" t="s">
        <v>71</v>
      </c>
      <c r="D19" s="240" t="s">
        <v>57</v>
      </c>
      <c r="E19" s="241" t="s">
        <v>72</v>
      </c>
      <c r="F19" s="315">
        <v>8.1</v>
      </c>
      <c r="G19" s="306">
        <v>6.4</v>
      </c>
      <c r="H19" s="316">
        <v>2.4</v>
      </c>
      <c r="I19" s="383">
        <f>AVERAGE(F19:H19)</f>
        <v>5.6333333333333329</v>
      </c>
      <c r="J19" s="392">
        <f>MAX(F19:H19)</f>
        <v>8.1</v>
      </c>
      <c r="K19" s="327">
        <f t="shared" si="7"/>
        <v>5.6333333333333329</v>
      </c>
      <c r="L19" s="403">
        <f t="shared" si="8"/>
        <v>8.1</v>
      </c>
      <c r="M19" s="330">
        <f t="shared" si="3"/>
        <v>15.209999999999999</v>
      </c>
      <c r="N19" s="331">
        <f t="shared" si="4"/>
        <v>21.87</v>
      </c>
      <c r="O19" s="358">
        <f t="shared" si="5"/>
        <v>5.8669105691056904</v>
      </c>
      <c r="P19" s="359">
        <f t="shared" si="6"/>
        <v>8.4358536585365851</v>
      </c>
      <c r="Q19" s="242">
        <v>3.76</v>
      </c>
      <c r="R19" s="243" t="s">
        <v>49</v>
      </c>
      <c r="S19" s="230"/>
      <c r="W19" s="192"/>
      <c r="X19" s="192"/>
      <c r="Y19" s="192"/>
    </row>
    <row r="20" spans="2:25" ht="24" x14ac:dyDescent="0.25">
      <c r="C20" s="226" t="s">
        <v>73</v>
      </c>
      <c r="D20" s="227" t="s">
        <v>48</v>
      </c>
      <c r="E20" s="238" t="s">
        <v>74</v>
      </c>
      <c r="F20" s="218">
        <v>2.61</v>
      </c>
      <c r="G20" s="227">
        <v>1.86</v>
      </c>
      <c r="H20" s="229">
        <v>1.85</v>
      </c>
      <c r="I20" s="382">
        <f t="shared" si="1"/>
        <v>2106.666666666667</v>
      </c>
      <c r="J20" s="394">
        <f t="shared" si="2"/>
        <v>2610</v>
      </c>
      <c r="K20" s="325">
        <f t="shared" si="7"/>
        <v>2106.666666666667</v>
      </c>
      <c r="L20" s="217">
        <f t="shared" si="8"/>
        <v>2610</v>
      </c>
      <c r="M20" s="323">
        <f t="shared" si="3"/>
        <v>5688.0000000000009</v>
      </c>
      <c r="N20" s="324">
        <f t="shared" si="4"/>
        <v>7047.0000000000009</v>
      </c>
      <c r="O20" s="350">
        <f t="shared" si="5"/>
        <v>2194.0162601626021</v>
      </c>
      <c r="P20" s="351">
        <f t="shared" si="6"/>
        <v>2718.2195121951218</v>
      </c>
      <c r="Q20" s="224" t="s">
        <v>49</v>
      </c>
      <c r="R20" s="225" t="s">
        <v>49</v>
      </c>
      <c r="S20" s="230"/>
      <c r="W20" s="192"/>
      <c r="X20" s="192"/>
      <c r="Y20" s="192"/>
    </row>
    <row r="21" spans="2:25" x14ac:dyDescent="0.25">
      <c r="C21" s="284" t="s">
        <v>75</v>
      </c>
      <c r="D21" s="283" t="s">
        <v>48</v>
      </c>
      <c r="E21" s="285"/>
      <c r="F21" s="315">
        <v>1</v>
      </c>
      <c r="G21" s="306">
        <v>0.09</v>
      </c>
      <c r="H21" s="316">
        <v>0.02</v>
      </c>
      <c r="I21" s="391">
        <f t="shared" si="1"/>
        <v>370.00000000000006</v>
      </c>
      <c r="J21" s="392">
        <f t="shared" si="2"/>
        <v>1000</v>
      </c>
      <c r="K21" s="408">
        <f t="shared" si="7"/>
        <v>370.00000000000006</v>
      </c>
      <c r="L21" s="403">
        <f t="shared" si="8"/>
        <v>1000</v>
      </c>
      <c r="M21" s="335">
        <f t="shared" si="3"/>
        <v>999.00000000000023</v>
      </c>
      <c r="N21" s="333">
        <f t="shared" si="4"/>
        <v>2700</v>
      </c>
      <c r="O21" s="352">
        <f t="shared" si="5"/>
        <v>385.34146341463418</v>
      </c>
      <c r="P21" s="353">
        <f t="shared" si="6"/>
        <v>1041.4634146341464</v>
      </c>
      <c r="Q21" s="281">
        <v>1000</v>
      </c>
      <c r="R21" s="282" t="s">
        <v>49</v>
      </c>
      <c r="S21" s="230"/>
      <c r="W21" s="192"/>
      <c r="X21" s="192"/>
      <c r="Y21" s="192"/>
    </row>
    <row r="22" spans="2:25" ht="24" x14ac:dyDescent="0.25">
      <c r="C22" s="284" t="s">
        <v>76</v>
      </c>
      <c r="D22" s="283" t="s">
        <v>57</v>
      </c>
      <c r="E22" s="285"/>
      <c r="F22" s="315">
        <v>0.2</v>
      </c>
      <c r="G22" s="235">
        <v>0.2</v>
      </c>
      <c r="H22" s="236">
        <v>0.2</v>
      </c>
      <c r="I22" s="391">
        <f>AVERAGE(F22:H22)</f>
        <v>0.20000000000000004</v>
      </c>
      <c r="J22" s="392">
        <f>MAX(F22:H22)</f>
        <v>0.2</v>
      </c>
      <c r="K22" s="408">
        <f t="shared" si="7"/>
        <v>0.20000000000000004</v>
      </c>
      <c r="L22" s="403">
        <f t="shared" si="8"/>
        <v>0.2</v>
      </c>
      <c r="M22" s="328">
        <f t="shared" si="3"/>
        <v>0.54000000000000015</v>
      </c>
      <c r="N22" s="329">
        <f t="shared" si="4"/>
        <v>0.54</v>
      </c>
      <c r="O22" s="354">
        <f t="shared" si="5"/>
        <v>0.20829268292682931</v>
      </c>
      <c r="P22" s="355">
        <f t="shared" si="6"/>
        <v>0.20829268292682929</v>
      </c>
      <c r="Q22" s="281">
        <v>1.3</v>
      </c>
      <c r="R22" s="282">
        <v>14</v>
      </c>
      <c r="S22" s="230"/>
      <c r="W22" s="192"/>
      <c r="X22" s="192"/>
      <c r="Y22" s="192"/>
    </row>
    <row r="23" spans="2:25" ht="21" customHeight="1" x14ac:dyDescent="0.25">
      <c r="C23" s="226" t="s">
        <v>77</v>
      </c>
      <c r="D23" s="227" t="s">
        <v>48</v>
      </c>
      <c r="E23" s="210"/>
      <c r="F23" s="228">
        <v>0.02</v>
      </c>
      <c r="G23" s="227">
        <v>0.02</v>
      </c>
      <c r="H23" s="229">
        <v>0.02</v>
      </c>
      <c r="I23" s="398">
        <f t="shared" si="1"/>
        <v>20</v>
      </c>
      <c r="J23" s="394">
        <f t="shared" si="2"/>
        <v>20</v>
      </c>
      <c r="K23" s="409">
        <f t="shared" si="7"/>
        <v>20</v>
      </c>
      <c r="L23" s="217">
        <f t="shared" si="8"/>
        <v>20</v>
      </c>
      <c r="M23" s="323">
        <f t="shared" si="3"/>
        <v>54</v>
      </c>
      <c r="N23" s="324">
        <f t="shared" si="4"/>
        <v>54</v>
      </c>
      <c r="O23" s="350">
        <f t="shared" si="5"/>
        <v>20.829268292682926</v>
      </c>
      <c r="P23" s="351">
        <f t="shared" si="6"/>
        <v>20.829268292682926</v>
      </c>
      <c r="Q23" s="224" t="s">
        <v>49</v>
      </c>
      <c r="R23" s="225" t="s">
        <v>49</v>
      </c>
      <c r="S23" s="230"/>
      <c r="W23" s="192"/>
      <c r="X23" s="192"/>
      <c r="Y23" s="192"/>
    </row>
    <row r="24" spans="2:25" ht="24" x14ac:dyDescent="0.25">
      <c r="C24" s="226" t="s">
        <v>78</v>
      </c>
      <c r="D24" s="227" t="s">
        <v>48</v>
      </c>
      <c r="E24" s="210"/>
      <c r="F24" s="228">
        <v>82</v>
      </c>
      <c r="G24" s="227">
        <v>95</v>
      </c>
      <c r="H24" s="229">
        <v>86</v>
      </c>
      <c r="I24" s="382">
        <f t="shared" si="1"/>
        <v>87666.666666666672</v>
      </c>
      <c r="J24" s="394">
        <f t="shared" si="2"/>
        <v>95000</v>
      </c>
      <c r="K24" s="325">
        <f t="shared" si="7"/>
        <v>87666.666666666672</v>
      </c>
      <c r="L24" s="217">
        <f t="shared" si="8"/>
        <v>95000</v>
      </c>
      <c r="M24" s="323">
        <f t="shared" si="3"/>
        <v>236700.00000000003</v>
      </c>
      <c r="N24" s="324">
        <f t="shared" si="4"/>
        <v>256500.00000000003</v>
      </c>
      <c r="O24" s="350">
        <f t="shared" si="5"/>
        <v>91301.626016260168</v>
      </c>
      <c r="P24" s="351">
        <f t="shared" si="6"/>
        <v>98939.024390243911</v>
      </c>
      <c r="Q24" s="224" t="s">
        <v>49</v>
      </c>
      <c r="R24" s="237" t="s">
        <v>49</v>
      </c>
      <c r="S24" s="230"/>
      <c r="W24" s="192"/>
      <c r="X24" s="192"/>
      <c r="Y24" s="192"/>
    </row>
    <row r="25" spans="2:25" ht="24" x14ac:dyDescent="0.25">
      <c r="C25" s="226" t="s">
        <v>79</v>
      </c>
      <c r="D25" s="227" t="s">
        <v>48</v>
      </c>
      <c r="E25" s="210"/>
      <c r="F25" s="228">
        <v>0.02</v>
      </c>
      <c r="G25" s="227">
        <v>0.03</v>
      </c>
      <c r="H25" s="229">
        <v>0.02</v>
      </c>
      <c r="I25" s="382">
        <f t="shared" si="1"/>
        <v>23.333333333333336</v>
      </c>
      <c r="J25" s="394">
        <f t="shared" si="2"/>
        <v>30</v>
      </c>
      <c r="K25" s="325">
        <f t="shared" si="7"/>
        <v>23.333333333333336</v>
      </c>
      <c r="L25" s="217">
        <f t="shared" si="8"/>
        <v>30</v>
      </c>
      <c r="M25" s="323">
        <f t="shared" si="3"/>
        <v>63.000000000000007</v>
      </c>
      <c r="N25" s="324">
        <f t="shared" si="4"/>
        <v>81</v>
      </c>
      <c r="O25" s="350">
        <f t="shared" si="5"/>
        <v>24.300813008130085</v>
      </c>
      <c r="P25" s="351">
        <f t="shared" si="6"/>
        <v>31.243902439024392</v>
      </c>
      <c r="Q25" s="224" t="s">
        <v>49</v>
      </c>
      <c r="R25" s="237" t="s">
        <v>49</v>
      </c>
      <c r="S25" s="230"/>
      <c r="W25" s="192"/>
      <c r="X25" s="192"/>
      <c r="Y25" s="192"/>
    </row>
    <row r="26" spans="2:25" ht="24" x14ac:dyDescent="0.25">
      <c r="C26" s="239" t="s">
        <v>80</v>
      </c>
      <c r="D26" s="240" t="s">
        <v>57</v>
      </c>
      <c r="E26" s="233"/>
      <c r="F26" s="234">
        <v>0.05</v>
      </c>
      <c r="G26" s="235">
        <v>0.05</v>
      </c>
      <c r="H26" s="236">
        <v>0.05</v>
      </c>
      <c r="I26" s="391">
        <f>AVERAGE(F26:H26)</f>
        <v>5.000000000000001E-2</v>
      </c>
      <c r="J26" s="392">
        <f>MAX(F26:H26)</f>
        <v>0.05</v>
      </c>
      <c r="K26" s="408">
        <f t="shared" si="7"/>
        <v>5.000000000000001E-2</v>
      </c>
      <c r="L26" s="403">
        <f t="shared" si="8"/>
        <v>0.05</v>
      </c>
      <c r="M26" s="301">
        <f t="shared" si="3"/>
        <v>0.13500000000000004</v>
      </c>
      <c r="N26" s="302">
        <f t="shared" si="4"/>
        <v>0.13500000000000001</v>
      </c>
      <c r="O26" s="348">
        <f t="shared" si="5"/>
        <v>5.2073170731707329E-2</v>
      </c>
      <c r="P26" s="349">
        <f t="shared" si="6"/>
        <v>5.2073170731707322E-2</v>
      </c>
      <c r="Q26" s="281" t="s">
        <v>49</v>
      </c>
      <c r="R26" s="282">
        <v>7.0000000000000007E-2</v>
      </c>
      <c r="S26" s="304" t="s">
        <v>257</v>
      </c>
      <c r="W26" s="192"/>
      <c r="X26" s="192"/>
      <c r="Y26" s="192"/>
    </row>
    <row r="27" spans="2:25" ht="24" x14ac:dyDescent="0.25">
      <c r="C27" s="226" t="s">
        <v>81</v>
      </c>
      <c r="D27" s="227" t="s">
        <v>57</v>
      </c>
      <c r="E27" s="210"/>
      <c r="F27" s="218">
        <v>1.4</v>
      </c>
      <c r="G27" s="216">
        <v>1.1000000000000001</v>
      </c>
      <c r="H27" s="219">
        <v>1.2</v>
      </c>
      <c r="I27" s="383">
        <f>AVERAGE(F27:H27)</f>
        <v>1.2333333333333334</v>
      </c>
      <c r="J27" s="392">
        <f>MAX(F27:H27)</f>
        <v>1.4</v>
      </c>
      <c r="K27" s="327">
        <f t="shared" si="7"/>
        <v>1.2333333333333334</v>
      </c>
      <c r="L27" s="403">
        <f t="shared" si="8"/>
        <v>1.4</v>
      </c>
      <c r="M27" s="321">
        <f t="shared" si="3"/>
        <v>3.3300000000000005</v>
      </c>
      <c r="N27" s="322">
        <f t="shared" si="4"/>
        <v>3.78</v>
      </c>
      <c r="O27" s="356">
        <f t="shared" si="5"/>
        <v>1.2844715447154473</v>
      </c>
      <c r="P27" s="357">
        <f t="shared" si="6"/>
        <v>1.4580487804878048</v>
      </c>
      <c r="Q27" s="224" t="s">
        <v>49</v>
      </c>
      <c r="R27" s="237" t="s">
        <v>49</v>
      </c>
      <c r="S27" s="230"/>
      <c r="W27" s="192"/>
      <c r="X27" s="192"/>
      <c r="Y27" s="192"/>
    </row>
    <row r="28" spans="2:25" ht="24" x14ac:dyDescent="0.25">
      <c r="C28" s="284" t="s">
        <v>82</v>
      </c>
      <c r="D28" s="283" t="s">
        <v>57</v>
      </c>
      <c r="E28" s="232"/>
      <c r="F28" s="315">
        <v>0.7</v>
      </c>
      <c r="G28" s="306">
        <v>1.4</v>
      </c>
      <c r="H28" s="316">
        <v>1.1000000000000001</v>
      </c>
      <c r="I28" s="383">
        <f>AVERAGE(F28:H28)</f>
        <v>1.0666666666666667</v>
      </c>
      <c r="J28" s="392">
        <f>MAX(F28:H28)</f>
        <v>1.4</v>
      </c>
      <c r="K28" s="327">
        <f t="shared" si="7"/>
        <v>1.0666666666666667</v>
      </c>
      <c r="L28" s="403">
        <f t="shared" si="8"/>
        <v>1.4</v>
      </c>
      <c r="M28" s="328">
        <f t="shared" si="3"/>
        <v>2.8800000000000003</v>
      </c>
      <c r="N28" s="329">
        <f t="shared" si="4"/>
        <v>3.78</v>
      </c>
      <c r="O28" s="354">
        <f t="shared" si="5"/>
        <v>1.1108943089430894</v>
      </c>
      <c r="P28" s="355">
        <f t="shared" si="6"/>
        <v>1.4580487804878048</v>
      </c>
      <c r="Q28" s="281">
        <v>8.6</v>
      </c>
      <c r="R28" s="282">
        <v>34</v>
      </c>
      <c r="S28" s="230"/>
      <c r="W28" s="192"/>
      <c r="X28" s="192"/>
      <c r="Y28" s="192"/>
    </row>
    <row r="29" spans="2:25" x14ac:dyDescent="0.25">
      <c r="C29" s="226" t="s">
        <v>83</v>
      </c>
      <c r="D29" s="227" t="s">
        <v>48</v>
      </c>
      <c r="E29" s="210"/>
      <c r="F29" s="228">
        <v>0.51</v>
      </c>
      <c r="G29" s="227">
        <v>0.43</v>
      </c>
      <c r="H29" s="229">
        <v>0.48</v>
      </c>
      <c r="I29" s="382">
        <f t="shared" si="1"/>
        <v>473.33333333333331</v>
      </c>
      <c r="J29" s="394">
        <f t="shared" si="2"/>
        <v>510</v>
      </c>
      <c r="K29" s="325">
        <f t="shared" si="7"/>
        <v>473.33333333333331</v>
      </c>
      <c r="L29" s="217">
        <f t="shared" si="8"/>
        <v>510</v>
      </c>
      <c r="M29" s="336">
        <f t="shared" si="3"/>
        <v>1278</v>
      </c>
      <c r="N29" s="324">
        <f t="shared" si="4"/>
        <v>1377</v>
      </c>
      <c r="O29" s="360">
        <f t="shared" si="5"/>
        <v>492.95934959349597</v>
      </c>
      <c r="P29" s="351">
        <f t="shared" si="6"/>
        <v>531.14634146341461</v>
      </c>
      <c r="Q29" s="224" t="s">
        <v>49</v>
      </c>
      <c r="R29" s="225" t="s">
        <v>49</v>
      </c>
      <c r="S29" s="230"/>
      <c r="W29" s="192"/>
      <c r="X29" s="192"/>
      <c r="Y29" s="192"/>
    </row>
    <row r="30" spans="2:25" ht="24" x14ac:dyDescent="0.25">
      <c r="C30" s="226" t="s">
        <v>84</v>
      </c>
      <c r="D30" s="244"/>
      <c r="E30" s="231" t="s">
        <v>85</v>
      </c>
      <c r="F30" s="228">
        <v>7.2</v>
      </c>
      <c r="G30" s="227">
        <v>7.2</v>
      </c>
      <c r="H30" s="229">
        <v>7.4</v>
      </c>
      <c r="I30" s="383">
        <f>AVERAGE(F30:H30)</f>
        <v>7.2666666666666666</v>
      </c>
      <c r="J30" s="392">
        <f>MAX(F30:H30)</f>
        <v>7.4</v>
      </c>
      <c r="K30" s="327">
        <f t="shared" si="7"/>
        <v>7.2666666666666666</v>
      </c>
      <c r="L30" s="403">
        <f t="shared" si="8"/>
        <v>7.4</v>
      </c>
      <c r="M30" s="337">
        <f>I30</f>
        <v>7.2666666666666666</v>
      </c>
      <c r="N30" s="338">
        <f>L30</f>
        <v>7.4</v>
      </c>
      <c r="O30" s="339">
        <f t="shared" ref="O30:P30" si="9">M30</f>
        <v>7.2666666666666666</v>
      </c>
      <c r="P30" s="340">
        <f t="shared" si="9"/>
        <v>7.4</v>
      </c>
      <c r="Q30" s="224" t="s">
        <v>49</v>
      </c>
      <c r="R30" s="225" t="s">
        <v>49</v>
      </c>
      <c r="S30" s="305" t="s">
        <v>86</v>
      </c>
      <c r="W30" s="192"/>
      <c r="X30" s="192"/>
      <c r="Y30" s="192"/>
    </row>
    <row r="31" spans="2:25" ht="24" x14ac:dyDescent="0.25">
      <c r="C31" s="226" t="s">
        <v>87</v>
      </c>
      <c r="D31" s="227" t="s">
        <v>48</v>
      </c>
      <c r="E31" s="210"/>
      <c r="F31" s="228">
        <v>32</v>
      </c>
      <c r="G31" s="227">
        <v>32</v>
      </c>
      <c r="H31" s="229">
        <v>30</v>
      </c>
      <c r="I31" s="382">
        <f t="shared" si="1"/>
        <v>31333.333333333332</v>
      </c>
      <c r="J31" s="394">
        <f t="shared" si="2"/>
        <v>32000</v>
      </c>
      <c r="K31" s="325">
        <f t="shared" si="7"/>
        <v>31333.333333333332</v>
      </c>
      <c r="L31" s="217">
        <f t="shared" si="8"/>
        <v>32000</v>
      </c>
      <c r="M31" s="323">
        <f t="shared" si="3"/>
        <v>84600</v>
      </c>
      <c r="N31" s="324">
        <f t="shared" si="4"/>
        <v>86400</v>
      </c>
      <c r="O31" s="350">
        <f t="shared" ref="O31:O39" si="10">(K31*$K$40+M31*$M$40)/$O$40</f>
        <v>32632.520325203252</v>
      </c>
      <c r="P31" s="351">
        <f t="shared" ref="P31:P39" si="11">(L31*$K$40+N31*$M$40)/$O$40</f>
        <v>33326.829268292684</v>
      </c>
      <c r="Q31" s="224" t="s">
        <v>49</v>
      </c>
      <c r="R31" s="225" t="s">
        <v>49</v>
      </c>
      <c r="S31" s="214"/>
      <c r="W31" s="192"/>
      <c r="X31" s="192"/>
      <c r="Y31" s="192"/>
    </row>
    <row r="32" spans="2:25" ht="24" customHeight="1" x14ac:dyDescent="0.25">
      <c r="C32" s="226" t="s">
        <v>88</v>
      </c>
      <c r="D32" s="227" t="s">
        <v>48</v>
      </c>
      <c r="E32" s="231" t="s">
        <v>89</v>
      </c>
      <c r="F32" s="228">
        <v>550</v>
      </c>
      <c r="G32" s="227">
        <v>550</v>
      </c>
      <c r="H32" s="229">
        <v>570</v>
      </c>
      <c r="I32" s="382">
        <f t="shared" si="1"/>
        <v>556666.66666666663</v>
      </c>
      <c r="J32" s="394">
        <f t="shared" si="2"/>
        <v>570000</v>
      </c>
      <c r="K32" s="325">
        <f t="shared" si="7"/>
        <v>556666.66666666663</v>
      </c>
      <c r="L32" s="217">
        <f t="shared" si="8"/>
        <v>570000</v>
      </c>
      <c r="M32" s="323">
        <f t="shared" si="3"/>
        <v>1503000</v>
      </c>
      <c r="N32" s="324">
        <f t="shared" si="4"/>
        <v>1539000</v>
      </c>
      <c r="O32" s="350">
        <f t="shared" si="10"/>
        <v>579747.96747967484</v>
      </c>
      <c r="P32" s="351">
        <f t="shared" si="11"/>
        <v>593634.14634146343</v>
      </c>
      <c r="Q32" s="224" t="s">
        <v>49</v>
      </c>
      <c r="R32" s="237" t="s">
        <v>49</v>
      </c>
      <c r="S32" s="214"/>
      <c r="W32" s="192"/>
      <c r="X32" s="192"/>
      <c r="Y32" s="192"/>
    </row>
    <row r="33" spans="3:25" ht="24" x14ac:dyDescent="0.25">
      <c r="C33" s="226" t="s">
        <v>90</v>
      </c>
      <c r="D33" s="227" t="s">
        <v>48</v>
      </c>
      <c r="E33" s="210"/>
      <c r="F33" s="228">
        <v>6.9</v>
      </c>
      <c r="G33" s="227">
        <v>8.3000000000000007</v>
      </c>
      <c r="H33" s="229">
        <v>10</v>
      </c>
      <c r="I33" s="398">
        <f t="shared" si="1"/>
        <v>8400</v>
      </c>
      <c r="J33" s="394">
        <f t="shared" si="2"/>
        <v>10000</v>
      </c>
      <c r="K33" s="409">
        <f t="shared" si="7"/>
        <v>8400</v>
      </c>
      <c r="L33" s="217">
        <f t="shared" si="8"/>
        <v>10000</v>
      </c>
      <c r="M33" s="323">
        <f t="shared" si="3"/>
        <v>22680</v>
      </c>
      <c r="N33" s="324">
        <f t="shared" si="4"/>
        <v>27000</v>
      </c>
      <c r="O33" s="350">
        <f t="shared" si="10"/>
        <v>8748.292682926829</v>
      </c>
      <c r="P33" s="351">
        <f t="shared" si="11"/>
        <v>10414.634146341463</v>
      </c>
      <c r="Q33" s="224" t="s">
        <v>49</v>
      </c>
      <c r="R33" s="225" t="s">
        <v>49</v>
      </c>
      <c r="S33" s="214"/>
      <c r="W33" s="192"/>
      <c r="X33" s="192"/>
      <c r="Y33" s="192"/>
    </row>
    <row r="34" spans="3:25" x14ac:dyDescent="0.25">
      <c r="C34" s="226" t="s">
        <v>91</v>
      </c>
      <c r="D34" s="227" t="s">
        <v>48</v>
      </c>
      <c r="E34" s="210"/>
      <c r="F34" s="228">
        <v>640</v>
      </c>
      <c r="G34" s="227">
        <v>575</v>
      </c>
      <c r="H34" s="229">
        <v>703</v>
      </c>
      <c r="I34" s="382">
        <f t="shared" si="1"/>
        <v>639333.33333333337</v>
      </c>
      <c r="J34" s="394">
        <f t="shared" si="2"/>
        <v>703000</v>
      </c>
      <c r="K34" s="325">
        <f t="shared" si="7"/>
        <v>639333.33333333337</v>
      </c>
      <c r="L34" s="217">
        <f t="shared" si="8"/>
        <v>703000</v>
      </c>
      <c r="M34" s="323">
        <f t="shared" si="3"/>
        <v>1726200.0000000002</v>
      </c>
      <c r="N34" s="324">
        <f t="shared" si="4"/>
        <v>1898100.0000000002</v>
      </c>
      <c r="O34" s="350">
        <f t="shared" si="10"/>
        <v>665842.27642276429</v>
      </c>
      <c r="P34" s="351">
        <f t="shared" si="11"/>
        <v>732148.78048780491</v>
      </c>
      <c r="Q34" s="224" t="s">
        <v>49</v>
      </c>
      <c r="R34" s="225" t="s">
        <v>49</v>
      </c>
      <c r="S34" s="214"/>
      <c r="W34" s="192"/>
      <c r="X34" s="192"/>
      <c r="Y34" s="192"/>
    </row>
    <row r="35" spans="3:25" ht="12" x14ac:dyDescent="0.2">
      <c r="C35" s="284" t="s">
        <v>92</v>
      </c>
      <c r="D35" s="283" t="s">
        <v>57</v>
      </c>
      <c r="E35" s="241" t="s">
        <v>93</v>
      </c>
      <c r="F35" s="293">
        <v>10</v>
      </c>
      <c r="G35" s="294">
        <v>10</v>
      </c>
      <c r="H35" s="295">
        <v>10</v>
      </c>
      <c r="I35" s="391">
        <f>AVERAGE(F35:H35)</f>
        <v>10</v>
      </c>
      <c r="J35" s="392">
        <f>MAX(F35:H35)</f>
        <v>10</v>
      </c>
      <c r="K35" s="408">
        <f t="shared" si="7"/>
        <v>10</v>
      </c>
      <c r="L35" s="403">
        <f t="shared" si="8"/>
        <v>10</v>
      </c>
      <c r="M35" s="335">
        <f t="shared" si="3"/>
        <v>27</v>
      </c>
      <c r="N35" s="333">
        <f t="shared" si="4"/>
        <v>27</v>
      </c>
      <c r="O35" s="352">
        <f t="shared" si="10"/>
        <v>10.414634146341463</v>
      </c>
      <c r="P35" s="353">
        <f t="shared" si="11"/>
        <v>10.414634146341463</v>
      </c>
      <c r="Q35" s="281">
        <v>1</v>
      </c>
      <c r="R35" s="282">
        <v>5</v>
      </c>
      <c r="S35" s="304" t="s">
        <v>257</v>
      </c>
      <c r="T35" s="187"/>
      <c r="W35" s="192"/>
      <c r="X35" s="192"/>
      <c r="Y35" s="192"/>
    </row>
    <row r="36" spans="3:25" ht="24" x14ac:dyDescent="0.25">
      <c r="C36" s="226" t="s">
        <v>94</v>
      </c>
      <c r="D36" s="227" t="s">
        <v>48</v>
      </c>
      <c r="E36" s="210"/>
      <c r="F36" s="228">
        <v>2.4500000000000002</v>
      </c>
      <c r="G36" s="227">
        <v>3</v>
      </c>
      <c r="H36" s="229">
        <v>2.37</v>
      </c>
      <c r="I36" s="382">
        <f t="shared" si="1"/>
        <v>2606.666666666667</v>
      </c>
      <c r="J36" s="394">
        <f t="shared" si="2"/>
        <v>3000</v>
      </c>
      <c r="K36" s="325">
        <f t="shared" si="7"/>
        <v>2606.666666666667</v>
      </c>
      <c r="L36" s="217">
        <f t="shared" si="8"/>
        <v>3000</v>
      </c>
      <c r="M36" s="323">
        <f t="shared" si="3"/>
        <v>7038.0000000000009</v>
      </c>
      <c r="N36" s="324">
        <f t="shared" si="4"/>
        <v>8100.0000000000009</v>
      </c>
      <c r="O36" s="350">
        <f t="shared" si="10"/>
        <v>2714.7479674796755</v>
      </c>
      <c r="P36" s="351">
        <f t="shared" si="11"/>
        <v>3124.3902439024391</v>
      </c>
      <c r="Q36" s="224" t="s">
        <v>49</v>
      </c>
      <c r="R36" s="225" t="s">
        <v>49</v>
      </c>
      <c r="S36" s="214"/>
      <c r="W36" s="192"/>
      <c r="X36" s="192"/>
      <c r="Y36" s="192"/>
    </row>
    <row r="37" spans="3:25" x14ac:dyDescent="0.25">
      <c r="C37" s="245" t="s">
        <v>95</v>
      </c>
      <c r="D37" s="246" t="s">
        <v>57</v>
      </c>
      <c r="E37" s="247"/>
      <c r="F37" s="248">
        <v>10</v>
      </c>
      <c r="G37" s="249">
        <v>16</v>
      </c>
      <c r="H37" s="250">
        <v>16</v>
      </c>
      <c r="I37" s="391">
        <f>AVERAGE(F37:H37)</f>
        <v>14</v>
      </c>
      <c r="J37" s="392">
        <f>MAX(F37:H37)</f>
        <v>16</v>
      </c>
      <c r="K37" s="408">
        <f t="shared" si="7"/>
        <v>14</v>
      </c>
      <c r="L37" s="403">
        <f t="shared" si="8"/>
        <v>16</v>
      </c>
      <c r="M37" s="323">
        <f t="shared" si="3"/>
        <v>37.800000000000004</v>
      </c>
      <c r="N37" s="324">
        <f t="shared" si="4"/>
        <v>43.2</v>
      </c>
      <c r="O37" s="350">
        <f t="shared" si="10"/>
        <v>14.58048780487805</v>
      </c>
      <c r="P37" s="351">
        <f t="shared" si="11"/>
        <v>16.663414634146342</v>
      </c>
      <c r="Q37" s="251" t="s">
        <v>49</v>
      </c>
      <c r="R37" s="252" t="s">
        <v>49</v>
      </c>
      <c r="S37" s="214"/>
      <c r="W37" s="192"/>
      <c r="X37" s="192"/>
      <c r="Y37" s="192"/>
    </row>
    <row r="38" spans="3:25" x14ac:dyDescent="0.25">
      <c r="C38" s="289" t="s">
        <v>96</v>
      </c>
      <c r="D38" s="290" t="s">
        <v>57</v>
      </c>
      <c r="E38" s="253"/>
      <c r="F38" s="254">
        <v>0.2</v>
      </c>
      <c r="G38" s="255">
        <v>0.2</v>
      </c>
      <c r="H38" s="256">
        <v>0.2</v>
      </c>
      <c r="I38" s="391">
        <f>AVERAGE(F38:H38)</f>
        <v>0.20000000000000004</v>
      </c>
      <c r="J38" s="392">
        <f>MAX(F38:H38)</f>
        <v>0.2</v>
      </c>
      <c r="K38" s="408">
        <f t="shared" si="7"/>
        <v>0.20000000000000004</v>
      </c>
      <c r="L38" s="403">
        <f t="shared" si="8"/>
        <v>0.2</v>
      </c>
      <c r="M38" s="328">
        <f t="shared" si="3"/>
        <v>0.54000000000000015</v>
      </c>
      <c r="N38" s="329">
        <f t="shared" si="4"/>
        <v>0.54</v>
      </c>
      <c r="O38" s="354">
        <f t="shared" si="10"/>
        <v>0.20829268292682931</v>
      </c>
      <c r="P38" s="355">
        <f t="shared" si="11"/>
        <v>0.20829268292682929</v>
      </c>
      <c r="Q38" s="287">
        <v>10</v>
      </c>
      <c r="R38" s="288" t="s">
        <v>49</v>
      </c>
      <c r="S38" s="214"/>
      <c r="W38" s="192"/>
      <c r="X38" s="192"/>
      <c r="Y38" s="192"/>
    </row>
    <row r="39" spans="3:25" ht="15.75" thickBot="1" x14ac:dyDescent="0.3">
      <c r="C39" s="257" t="s">
        <v>97</v>
      </c>
      <c r="D39" s="258" t="s">
        <v>57</v>
      </c>
      <c r="E39" s="259"/>
      <c r="F39" s="318">
        <v>44</v>
      </c>
      <c r="G39" s="319">
        <v>62</v>
      </c>
      <c r="H39" s="320">
        <v>51</v>
      </c>
      <c r="I39" s="384">
        <f>AVERAGE(F39:H39)</f>
        <v>52.333333333333336</v>
      </c>
      <c r="J39" s="392">
        <f>MAX(F39:H39)</f>
        <v>62</v>
      </c>
      <c r="K39" s="334">
        <f t="shared" si="7"/>
        <v>52.333333333333336</v>
      </c>
      <c r="L39" s="403">
        <f t="shared" si="8"/>
        <v>62</v>
      </c>
      <c r="M39" s="341">
        <f t="shared" si="3"/>
        <v>141.30000000000001</v>
      </c>
      <c r="N39" s="342">
        <f t="shared" si="4"/>
        <v>167.4</v>
      </c>
      <c r="O39" s="361">
        <f t="shared" si="10"/>
        <v>54.503252032520322</v>
      </c>
      <c r="P39" s="362">
        <f t="shared" si="11"/>
        <v>64.57073170731708</v>
      </c>
      <c r="Q39" s="260">
        <v>6.8</v>
      </c>
      <c r="R39" s="261" t="s">
        <v>49</v>
      </c>
      <c r="S39" s="262"/>
      <c r="W39" s="192"/>
      <c r="X39" s="192"/>
      <c r="Y39" s="192"/>
    </row>
    <row r="40" spans="3:25" s="263" customFormat="1" x14ac:dyDescent="0.25">
      <c r="C40" s="264" t="s">
        <v>98</v>
      </c>
      <c r="D40" s="264" t="s">
        <v>99</v>
      </c>
      <c r="E40" s="264"/>
      <c r="F40" s="264"/>
      <c r="G40" s="264"/>
      <c r="H40" s="264"/>
      <c r="I40" s="385"/>
      <c r="J40" s="385"/>
      <c r="K40" s="265">
        <v>3744</v>
      </c>
      <c r="L40" s="265"/>
      <c r="M40" s="265">
        <v>93.6</v>
      </c>
      <c r="N40" s="265"/>
      <c r="O40" s="266">
        <f>K40+M40</f>
        <v>3837.6</v>
      </c>
      <c r="P40" s="190"/>
      <c r="Q40" s="267"/>
      <c r="R40" s="267"/>
      <c r="T40" s="268"/>
    </row>
    <row r="41" spans="3:25" s="263" customFormat="1" x14ac:dyDescent="0.25">
      <c r="C41" s="264"/>
      <c r="D41" s="264" t="s">
        <v>100</v>
      </c>
      <c r="E41" s="264"/>
      <c r="F41" s="264"/>
      <c r="G41" s="264"/>
      <c r="H41" s="264"/>
      <c r="I41" s="386"/>
      <c r="J41" s="386"/>
      <c r="K41" s="269">
        <f>K40/24/3600</f>
        <v>4.3333333333333335E-2</v>
      </c>
      <c r="L41" s="269"/>
      <c r="M41" s="269">
        <f>M40/24/3600</f>
        <v>1.0833333333333333E-3</v>
      </c>
      <c r="N41" s="269"/>
      <c r="O41" s="269">
        <f>O40/24/3600</f>
        <v>4.4416666666666667E-2</v>
      </c>
      <c r="P41" s="190"/>
      <c r="Q41" s="267"/>
      <c r="R41" s="267"/>
      <c r="T41" s="268"/>
    </row>
    <row r="43" spans="3:25" x14ac:dyDescent="0.25">
      <c r="C43" s="270" t="s">
        <v>101</v>
      </c>
    </row>
    <row r="44" spans="3:25" x14ac:dyDescent="0.25">
      <c r="C44" s="271" t="s">
        <v>255</v>
      </c>
    </row>
    <row r="45" spans="3:25" x14ac:dyDescent="0.25">
      <c r="C45" s="271" t="s">
        <v>102</v>
      </c>
    </row>
  </sheetData>
  <mergeCells count="10">
    <mergeCell ref="G1:N1"/>
    <mergeCell ref="Q4:R4"/>
    <mergeCell ref="E4:E6"/>
    <mergeCell ref="D4:D6"/>
    <mergeCell ref="C4:C6"/>
    <mergeCell ref="M3:N3"/>
    <mergeCell ref="K4:L4"/>
    <mergeCell ref="M4:N4"/>
    <mergeCell ref="O4:P4"/>
    <mergeCell ref="F4:J4"/>
  </mergeCells>
  <pageMargins left="0.70866141732283472" right="0.70866141732283472" top="0.74803149606299213" bottom="0.74803149606299213" header="0.31496062992125984" footer="0.31496062992125984"/>
  <pageSetup paperSize="9" scale="40" orientation="portrait" r:id="rId1"/>
  <ignoredErrors>
    <ignoredError sqref="O30:P3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A243-D786-457F-873E-A4CF13F3937D}">
  <sheetPr>
    <tabColor theme="7" tint="0.79998168889431442"/>
    <pageSetUpPr fitToPage="1"/>
  </sheetPr>
  <dimension ref="A1:AD89"/>
  <sheetViews>
    <sheetView topLeftCell="A48" zoomScale="76" zoomScaleNormal="76" workbookViewId="0">
      <selection activeCell="A48" sqref="A48"/>
    </sheetView>
  </sheetViews>
  <sheetFormatPr defaultColWidth="8.7109375" defaultRowHeight="15" x14ac:dyDescent="0.25"/>
  <cols>
    <col min="1" max="1" width="8.7109375" style="98"/>
    <col min="2" max="2" width="16.85546875" style="98" customWidth="1"/>
    <col min="3" max="8" width="22.7109375" style="98" customWidth="1"/>
    <col min="9" max="9" width="33.5703125" style="98" customWidth="1"/>
    <col min="10" max="10" width="29.85546875" style="98" customWidth="1"/>
    <col min="11" max="11" width="25.85546875" style="98" customWidth="1"/>
    <col min="12" max="14" width="12.7109375" style="98" customWidth="1"/>
    <col min="15" max="15" width="48.7109375" style="100" bestFit="1" customWidth="1"/>
    <col min="16" max="16" width="12.7109375" style="100" customWidth="1"/>
    <col min="17" max="18" width="8.85546875" style="98" customWidth="1"/>
    <col min="19" max="19" width="14.42578125" style="98" customWidth="1"/>
    <col min="20" max="20" width="49.5703125" style="101" customWidth="1"/>
    <col min="21" max="21" width="8.7109375" style="102"/>
    <col min="22" max="23" width="8.7109375" style="103"/>
    <col min="24" max="16384" width="8.7109375" style="98"/>
  </cols>
  <sheetData>
    <row r="1" spans="1:30" s="375" customFormat="1" ht="15" customHeight="1" x14ac:dyDescent="0.2">
      <c r="A1" s="374" t="s">
        <v>103</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row>
    <row r="2" spans="1:30" x14ac:dyDescent="0.25">
      <c r="A2" s="15"/>
      <c r="B2" s="99"/>
      <c r="C2" s="15"/>
      <c r="D2" s="15"/>
      <c r="E2" s="15"/>
      <c r="F2" s="15"/>
      <c r="G2" s="15"/>
      <c r="H2" s="15"/>
      <c r="I2" s="15"/>
      <c r="J2" s="15"/>
      <c r="K2" s="15"/>
      <c r="L2" s="15"/>
      <c r="M2" s="15"/>
      <c r="N2" s="15"/>
      <c r="O2" s="27"/>
      <c r="P2" s="27"/>
      <c r="Q2" s="15"/>
      <c r="R2" s="15"/>
      <c r="S2" s="15"/>
      <c r="T2" s="106"/>
      <c r="U2" s="45"/>
      <c r="V2" s="46"/>
      <c r="W2" s="46"/>
      <c r="X2" s="15"/>
      <c r="Y2" s="15"/>
      <c r="Z2" s="15"/>
      <c r="AA2" s="15"/>
      <c r="AB2" s="15"/>
      <c r="AC2" s="15"/>
      <c r="AD2" s="15"/>
    </row>
    <row r="3" spans="1:30" ht="38.25" customHeight="1" x14ac:dyDescent="0.25">
      <c r="A3" s="15"/>
      <c r="B3" s="15"/>
      <c r="C3" s="163" t="s">
        <v>104</v>
      </c>
      <c r="D3" s="162" t="s">
        <v>105</v>
      </c>
      <c r="E3" s="373" t="s">
        <v>250</v>
      </c>
      <c r="F3" s="15"/>
      <c r="G3" s="127"/>
      <c r="H3" s="127"/>
      <c r="I3" s="127"/>
      <c r="J3" s="127"/>
      <c r="K3" s="127"/>
      <c r="L3" s="127"/>
      <c r="M3" s="127"/>
      <c r="N3" s="15"/>
      <c r="O3" s="27"/>
      <c r="P3" s="27"/>
      <c r="Q3" s="15"/>
      <c r="R3" s="15"/>
      <c r="S3" s="15"/>
      <c r="T3" s="106"/>
      <c r="U3" s="45"/>
      <c r="V3" s="46"/>
      <c r="W3" s="46"/>
      <c r="X3" s="15"/>
      <c r="Y3" s="15"/>
      <c r="Z3" s="15"/>
      <c r="AA3" s="15"/>
      <c r="AB3" s="15"/>
      <c r="AC3" s="15"/>
      <c r="AD3" s="15"/>
    </row>
    <row r="4" spans="1:30" x14ac:dyDescent="0.25">
      <c r="A4" s="15"/>
      <c r="B4" s="125" t="s">
        <v>106</v>
      </c>
      <c r="C4" s="137">
        <v>26</v>
      </c>
      <c r="D4" s="128">
        <v>10</v>
      </c>
      <c r="E4" s="138">
        <v>15.9</v>
      </c>
      <c r="F4" s="15"/>
      <c r="G4" s="15"/>
      <c r="H4" s="15"/>
      <c r="I4" s="15"/>
      <c r="J4" s="121"/>
      <c r="K4" s="121"/>
      <c r="L4" s="121"/>
      <c r="M4" s="121"/>
      <c r="N4" s="129"/>
      <c r="O4" s="27"/>
      <c r="P4" s="27"/>
      <c r="Q4" s="130"/>
      <c r="R4" s="131"/>
      <c r="S4" s="15"/>
      <c r="T4" s="106"/>
      <c r="U4" s="45"/>
      <c r="V4" s="46"/>
      <c r="W4" s="46"/>
      <c r="X4" s="15"/>
      <c r="Y4" s="15"/>
      <c r="Z4" s="15"/>
      <c r="AA4" s="15"/>
      <c r="AB4" s="15"/>
      <c r="AC4" s="15"/>
      <c r="AD4" s="15"/>
    </row>
    <row r="5" spans="1:30" ht="28.5" customHeight="1" x14ac:dyDescent="0.25">
      <c r="A5" s="15"/>
      <c r="B5" s="132" t="s">
        <v>107</v>
      </c>
      <c r="C5" s="164">
        <f>'1.Sample Analysis'!O30</f>
        <v>7.2666666666666666</v>
      </c>
      <c r="D5" s="132">
        <v>7.6</v>
      </c>
      <c r="E5" s="165">
        <v>8.1</v>
      </c>
      <c r="F5" s="15"/>
      <c r="G5" s="15"/>
      <c r="H5" s="15"/>
      <c r="I5" s="15"/>
      <c r="J5" s="121"/>
      <c r="K5" s="121"/>
      <c r="L5" s="121"/>
      <c r="M5" s="121"/>
      <c r="N5" s="15"/>
      <c r="O5" s="27"/>
      <c r="P5" s="27"/>
      <c r="Q5" s="15"/>
      <c r="R5" s="15"/>
      <c r="S5" s="15"/>
      <c r="T5" s="106"/>
      <c r="U5" s="45"/>
      <c r="V5" s="46"/>
      <c r="W5" s="46"/>
      <c r="X5" s="15"/>
      <c r="Y5" s="15"/>
      <c r="Z5" s="15"/>
      <c r="AA5" s="15"/>
      <c r="AB5" s="15"/>
      <c r="AC5" s="15"/>
      <c r="AD5" s="15"/>
    </row>
    <row r="6" spans="1:30" x14ac:dyDescent="0.25">
      <c r="A6" s="15"/>
      <c r="B6" s="133" t="s">
        <v>108</v>
      </c>
      <c r="C6" s="140">
        <v>111</v>
      </c>
      <c r="D6" s="133">
        <v>5.4</v>
      </c>
      <c r="E6" s="141">
        <v>34.25</v>
      </c>
      <c r="F6" s="15"/>
      <c r="G6" s="15"/>
      <c r="H6" s="15"/>
      <c r="I6" s="15"/>
      <c r="J6" s="15"/>
      <c r="K6" s="15"/>
      <c r="L6" s="15"/>
      <c r="M6" s="15"/>
      <c r="N6" s="15"/>
      <c r="O6" s="27"/>
      <c r="P6" s="27"/>
      <c r="Q6" s="15"/>
      <c r="R6" s="15"/>
      <c r="S6" s="15"/>
      <c r="T6" s="106"/>
      <c r="U6" s="45"/>
      <c r="V6" s="46"/>
      <c r="W6" s="46"/>
      <c r="X6" s="15"/>
      <c r="Y6" s="15"/>
      <c r="Z6" s="15"/>
      <c r="AA6" s="15"/>
      <c r="AB6" s="15"/>
      <c r="AC6" s="15"/>
      <c r="AD6" s="15"/>
    </row>
    <row r="7" spans="1:30" x14ac:dyDescent="0.25">
      <c r="A7" s="15"/>
      <c r="B7" s="125" t="s">
        <v>109</v>
      </c>
      <c r="C7" s="122">
        <f>'1.Sample Analysis'!O9</f>
        <v>1353.9024390243903</v>
      </c>
      <c r="D7" s="124">
        <f>'1.Sample Analysis'!M9</f>
        <v>3510.0000000000005</v>
      </c>
      <c r="E7" s="123"/>
      <c r="F7" s="15"/>
      <c r="G7" s="15"/>
      <c r="H7" s="15"/>
      <c r="I7" s="15"/>
      <c r="J7" s="15"/>
      <c r="K7" s="15"/>
      <c r="L7" s="15"/>
      <c r="M7" s="15"/>
      <c r="N7" s="15"/>
      <c r="O7" s="27"/>
      <c r="P7" s="27"/>
      <c r="Q7" s="15"/>
      <c r="R7" s="15"/>
      <c r="S7" s="15"/>
      <c r="T7" s="106"/>
      <c r="U7" s="45"/>
      <c r="V7" s="46"/>
      <c r="W7" s="46"/>
      <c r="X7" s="15"/>
      <c r="Y7" s="15"/>
      <c r="Z7" s="15"/>
      <c r="AA7" s="15"/>
      <c r="AB7" s="15"/>
      <c r="AC7" s="15"/>
      <c r="AD7" s="15"/>
    </row>
    <row r="8" spans="1:30" x14ac:dyDescent="0.25">
      <c r="A8" s="15"/>
      <c r="B8" s="459" t="s">
        <v>251</v>
      </c>
      <c r="C8" s="459"/>
      <c r="D8" s="459"/>
      <c r="E8" s="459"/>
      <c r="F8" s="15"/>
      <c r="G8" s="15"/>
      <c r="H8" s="15"/>
      <c r="I8" s="15"/>
      <c r="J8" s="15"/>
      <c r="K8" s="15"/>
      <c r="L8" s="15"/>
      <c r="M8" s="15"/>
      <c r="N8" s="15"/>
      <c r="O8" s="27"/>
      <c r="P8" s="27"/>
      <c r="Q8" s="15"/>
      <c r="R8" s="15"/>
      <c r="S8" s="15"/>
      <c r="T8" s="106"/>
      <c r="U8" s="45"/>
      <c r="V8" s="46"/>
      <c r="W8" s="46"/>
      <c r="X8" s="15"/>
      <c r="Y8" s="15"/>
      <c r="Z8" s="15"/>
      <c r="AA8" s="15"/>
      <c r="AB8" s="15"/>
      <c r="AC8" s="15"/>
      <c r="AD8" s="15"/>
    </row>
    <row r="9" spans="1:30" x14ac:dyDescent="0.25">
      <c r="A9" s="15"/>
      <c r="B9" s="459"/>
      <c r="C9" s="459"/>
      <c r="D9" s="459"/>
      <c r="E9" s="459"/>
      <c r="F9" s="15"/>
      <c r="G9" s="15"/>
      <c r="H9" s="15"/>
      <c r="I9" s="15"/>
      <c r="J9" s="15"/>
      <c r="K9" s="15"/>
      <c r="L9" s="15"/>
      <c r="M9" s="15"/>
      <c r="N9" s="15"/>
      <c r="O9" s="27"/>
      <c r="P9" s="27"/>
      <c r="Q9" s="15"/>
      <c r="R9" s="15"/>
      <c r="S9" s="15"/>
      <c r="T9" s="106"/>
      <c r="U9" s="45"/>
      <c r="V9" s="46"/>
      <c r="W9" s="46"/>
      <c r="X9" s="15"/>
      <c r="Y9" s="15"/>
      <c r="Z9" s="15"/>
      <c r="AA9" s="15"/>
      <c r="AB9" s="15"/>
      <c r="AC9" s="15"/>
      <c r="AD9" s="15"/>
    </row>
    <row r="10" spans="1:30" x14ac:dyDescent="0.25">
      <c r="A10" s="15"/>
      <c r="B10" s="15"/>
      <c r="C10" s="15"/>
      <c r="D10" s="15"/>
      <c r="E10" s="15"/>
      <c r="F10" s="15"/>
      <c r="G10" s="15"/>
      <c r="H10" s="15"/>
      <c r="I10" s="15"/>
      <c r="J10" s="15"/>
      <c r="K10" s="15"/>
      <c r="L10" s="15"/>
      <c r="M10" s="15"/>
      <c r="N10" s="15"/>
      <c r="O10" s="27"/>
      <c r="P10" s="27"/>
      <c r="Q10" s="15"/>
      <c r="R10" s="15"/>
      <c r="S10" s="15"/>
      <c r="T10" s="106"/>
      <c r="U10" s="45"/>
      <c r="V10" s="46"/>
      <c r="W10" s="46"/>
      <c r="X10" s="15"/>
      <c r="Y10" s="15"/>
      <c r="Z10" s="15"/>
      <c r="AA10" s="15"/>
      <c r="AB10" s="15"/>
      <c r="AC10" s="15"/>
      <c r="AD10" s="15"/>
    </row>
    <row r="11" spans="1:30" x14ac:dyDescent="0.25">
      <c r="A11" s="15"/>
      <c r="B11" s="15"/>
      <c r="C11" s="15"/>
      <c r="D11" s="15"/>
      <c r="E11" s="15"/>
      <c r="F11" s="15"/>
      <c r="G11" s="15"/>
      <c r="H11" s="15"/>
      <c r="I11" s="15"/>
      <c r="J11" s="15"/>
      <c r="K11" s="15"/>
      <c r="L11" s="15"/>
      <c r="M11" s="15"/>
      <c r="N11" s="15"/>
      <c r="O11" s="27"/>
      <c r="P11" s="27"/>
      <c r="Q11" s="15"/>
      <c r="R11" s="15"/>
      <c r="S11" s="15"/>
      <c r="T11" s="106"/>
      <c r="U11" s="45"/>
      <c r="V11" s="46"/>
      <c r="W11" s="46"/>
      <c r="X11" s="15"/>
      <c r="Y11" s="15"/>
      <c r="Z11" s="15"/>
      <c r="AA11" s="15"/>
      <c r="AB11" s="15"/>
      <c r="AC11" s="15"/>
      <c r="AD11" s="15"/>
    </row>
    <row r="12" spans="1:30" s="377" customFormat="1" ht="12" x14ac:dyDescent="0.2">
      <c r="A12" s="376" t="s">
        <v>110</v>
      </c>
      <c r="B12" s="376"/>
      <c r="C12" s="376"/>
      <c r="D12" s="376"/>
      <c r="E12" s="376"/>
      <c r="F12" s="376"/>
      <c r="G12" s="376"/>
      <c r="H12" s="376"/>
      <c r="I12" s="376"/>
      <c r="J12" s="376"/>
      <c r="K12" s="376"/>
      <c r="L12" s="376"/>
      <c r="M12" s="376"/>
      <c r="N12" s="376"/>
      <c r="O12" s="376"/>
      <c r="P12" s="376"/>
      <c r="Q12" s="376"/>
      <c r="R12" s="376"/>
      <c r="S12" s="376"/>
      <c r="T12" s="376"/>
      <c r="U12" s="376"/>
      <c r="V12" s="376"/>
      <c r="W12" s="376"/>
      <c r="X12" s="376"/>
      <c r="Y12" s="376"/>
      <c r="Z12" s="376"/>
      <c r="AA12" s="376"/>
      <c r="AB12" s="376"/>
      <c r="AC12" s="376"/>
      <c r="AD12" s="376"/>
    </row>
    <row r="13" spans="1:30" x14ac:dyDescent="0.25">
      <c r="A13" s="15"/>
      <c r="B13" s="15" t="s">
        <v>111</v>
      </c>
      <c r="C13" s="15"/>
      <c r="D13" s="15"/>
      <c r="E13" s="15"/>
      <c r="F13" s="15"/>
      <c r="G13" s="15"/>
      <c r="H13" s="15"/>
      <c r="I13" s="15"/>
      <c r="J13" s="15"/>
      <c r="K13" s="15"/>
      <c r="L13" s="15"/>
      <c r="M13" s="15"/>
      <c r="N13" s="15"/>
      <c r="O13" s="27"/>
      <c r="P13" s="27"/>
      <c r="Q13" s="15"/>
      <c r="R13" s="15"/>
      <c r="S13" s="15"/>
      <c r="T13" s="106"/>
      <c r="U13" s="45"/>
      <c r="V13" s="46"/>
      <c r="W13" s="46"/>
      <c r="X13" s="15"/>
      <c r="Y13" s="15"/>
      <c r="Z13" s="15"/>
      <c r="AA13" s="15"/>
      <c r="AB13" s="15"/>
      <c r="AC13" s="15"/>
      <c r="AD13" s="15"/>
    </row>
    <row r="14" spans="1:30" x14ac:dyDescent="0.25">
      <c r="A14" s="15"/>
      <c r="B14" s="15" t="s">
        <v>112</v>
      </c>
      <c r="C14" s="126" t="s">
        <v>113</v>
      </c>
      <c r="D14" s="15"/>
      <c r="E14" s="15"/>
      <c r="F14" s="15"/>
      <c r="G14" s="15"/>
      <c r="H14" s="15"/>
      <c r="I14" s="15"/>
      <c r="J14" s="15"/>
      <c r="K14" s="15"/>
      <c r="L14" s="15"/>
      <c r="M14" s="15"/>
      <c r="N14" s="15"/>
      <c r="O14" s="27"/>
      <c r="P14" s="27"/>
      <c r="Q14" s="15"/>
      <c r="R14" s="15"/>
      <c r="S14" s="15"/>
      <c r="T14" s="106"/>
      <c r="U14" s="45"/>
      <c r="V14" s="46"/>
      <c r="W14" s="46"/>
      <c r="X14" s="15"/>
      <c r="Y14" s="15"/>
      <c r="Z14" s="15"/>
      <c r="AA14" s="15"/>
      <c r="AB14" s="15"/>
      <c r="AC14" s="15"/>
      <c r="AD14" s="15"/>
    </row>
    <row r="15" spans="1:30" x14ac:dyDescent="0.25">
      <c r="A15" s="15"/>
      <c r="B15" s="15"/>
      <c r="C15" s="15"/>
      <c r="D15" s="15"/>
      <c r="E15" s="15"/>
      <c r="F15" s="15"/>
      <c r="G15" s="15"/>
      <c r="H15" s="15"/>
      <c r="I15" s="15"/>
      <c r="J15" s="15"/>
      <c r="K15" s="15"/>
      <c r="L15" s="15"/>
      <c r="M15" s="15"/>
      <c r="N15" s="15"/>
      <c r="O15" s="27"/>
      <c r="P15" s="27"/>
      <c r="Q15" s="15"/>
      <c r="R15" s="15"/>
      <c r="S15" s="15"/>
      <c r="T15" s="106"/>
      <c r="U15" s="45"/>
      <c r="V15" s="46"/>
      <c r="W15" s="46"/>
      <c r="X15" s="15"/>
      <c r="Y15" s="15"/>
      <c r="Z15" s="15"/>
      <c r="AA15" s="15"/>
      <c r="AB15" s="15"/>
      <c r="AC15" s="15"/>
      <c r="AD15" s="15"/>
    </row>
    <row r="16" spans="1:30" x14ac:dyDescent="0.25">
      <c r="A16" s="15"/>
      <c r="B16" s="15"/>
      <c r="C16" s="15"/>
      <c r="D16" s="15"/>
      <c r="E16" s="15"/>
      <c r="F16" s="15"/>
      <c r="G16" s="15"/>
      <c r="H16" s="15"/>
      <c r="I16" s="15"/>
      <c r="J16" s="15"/>
      <c r="K16" s="15"/>
      <c r="L16" s="15"/>
      <c r="M16" s="15"/>
      <c r="N16" s="15"/>
      <c r="O16" s="27"/>
      <c r="P16" s="27"/>
      <c r="Q16" s="15"/>
      <c r="R16" s="15"/>
      <c r="S16" s="15"/>
      <c r="T16" s="106"/>
      <c r="U16" s="45"/>
      <c r="V16" s="46"/>
      <c r="W16" s="46"/>
      <c r="X16" s="15"/>
      <c r="Y16" s="15"/>
      <c r="Z16" s="15"/>
      <c r="AA16" s="15"/>
      <c r="AB16" s="15"/>
      <c r="AC16" s="15"/>
      <c r="AD16" s="15"/>
    </row>
    <row r="19" spans="1:30" x14ac:dyDescent="0.25">
      <c r="A19" s="15"/>
      <c r="B19" s="15"/>
      <c r="C19" s="15"/>
      <c r="D19" s="15"/>
      <c r="E19" s="15"/>
      <c r="F19" s="15"/>
      <c r="G19" s="15"/>
      <c r="H19" s="15"/>
      <c r="I19" s="15"/>
      <c r="J19" s="15"/>
      <c r="K19" s="15"/>
      <c r="L19" s="15"/>
      <c r="M19" s="15"/>
      <c r="N19" s="15"/>
      <c r="O19" s="27"/>
      <c r="P19" s="27"/>
      <c r="Q19" s="15"/>
      <c r="R19" s="15"/>
      <c r="S19" s="15"/>
      <c r="T19" s="106"/>
      <c r="U19" s="45"/>
      <c r="V19" s="46"/>
      <c r="W19" s="46"/>
      <c r="X19" s="15"/>
      <c r="Y19" s="15"/>
      <c r="Z19" s="15"/>
      <c r="AA19" s="15"/>
      <c r="AB19" s="15"/>
      <c r="AC19" s="15"/>
      <c r="AD19" s="15"/>
    </row>
    <row r="28" spans="1:30" x14ac:dyDescent="0.25">
      <c r="A28" s="15"/>
      <c r="B28" s="15"/>
      <c r="C28" s="15"/>
      <c r="D28" s="15"/>
      <c r="E28" s="15"/>
      <c r="F28" s="15"/>
      <c r="G28" s="15"/>
      <c r="H28" s="15"/>
      <c r="I28" s="15"/>
      <c r="J28" s="15"/>
      <c r="K28" s="15"/>
      <c r="L28" s="15"/>
      <c r="M28" s="15"/>
      <c r="N28" s="15"/>
      <c r="O28" s="27"/>
      <c r="P28" s="27"/>
      <c r="Q28" s="15"/>
      <c r="R28" s="15"/>
      <c r="S28" s="15"/>
      <c r="T28" s="106"/>
      <c r="U28" s="45"/>
      <c r="V28" s="46"/>
      <c r="W28" s="46"/>
      <c r="X28" s="15"/>
      <c r="Y28" s="15"/>
      <c r="Z28" s="15"/>
      <c r="AA28" s="15"/>
      <c r="AB28" s="15"/>
      <c r="AC28" s="15"/>
      <c r="AD28" s="15"/>
    </row>
    <row r="29" spans="1:30" x14ac:dyDescent="0.25">
      <c r="A29" s="15"/>
      <c r="B29" s="15"/>
      <c r="C29" s="15"/>
      <c r="D29" s="15"/>
      <c r="E29" s="15"/>
      <c r="F29" s="15"/>
      <c r="G29" s="15"/>
      <c r="H29" s="15"/>
      <c r="I29" s="15"/>
      <c r="J29" s="15"/>
      <c r="K29" s="15"/>
      <c r="L29" s="15"/>
      <c r="M29" s="15"/>
      <c r="N29" s="15"/>
      <c r="O29" s="27"/>
      <c r="P29" s="27"/>
      <c r="Q29" s="15"/>
      <c r="R29" s="15"/>
      <c r="S29" s="15"/>
      <c r="T29" s="106"/>
      <c r="U29" s="45"/>
      <c r="V29" s="46"/>
      <c r="W29" s="46"/>
      <c r="X29" s="15"/>
      <c r="Y29" s="15"/>
      <c r="Z29" s="15"/>
      <c r="AA29" s="15"/>
      <c r="AB29" s="15"/>
      <c r="AC29" s="15"/>
      <c r="AD29" s="15"/>
    </row>
    <row r="43" spans="1:30" x14ac:dyDescent="0.25">
      <c r="A43" s="15"/>
      <c r="B43" s="15"/>
      <c r="C43" s="15"/>
      <c r="D43" s="15"/>
      <c r="E43" s="15"/>
      <c r="F43" s="15"/>
      <c r="G43" s="15"/>
      <c r="H43" s="15"/>
      <c r="I43" s="15"/>
      <c r="J43" s="15"/>
      <c r="K43" s="15"/>
      <c r="L43" s="15"/>
      <c r="M43" s="15"/>
      <c r="N43" s="15"/>
      <c r="O43" s="27"/>
      <c r="P43" s="27"/>
      <c r="Q43" s="15"/>
      <c r="R43" s="15"/>
      <c r="S43" s="15"/>
      <c r="T43" s="106"/>
      <c r="U43" s="45"/>
      <c r="V43" s="46"/>
      <c r="W43" s="46"/>
      <c r="X43" s="15"/>
      <c r="Y43" s="15"/>
      <c r="Z43" s="15"/>
      <c r="AA43" s="15"/>
      <c r="AB43" s="15"/>
      <c r="AC43" s="15"/>
      <c r="AD43" s="15"/>
    </row>
    <row r="44" spans="1:30" x14ac:dyDescent="0.25">
      <c r="A44" s="15"/>
      <c r="B44" s="15"/>
      <c r="C44" s="15"/>
      <c r="D44" s="15"/>
      <c r="E44" s="15"/>
      <c r="F44" s="15"/>
      <c r="G44" s="15"/>
      <c r="H44" s="15"/>
      <c r="I44" s="15"/>
      <c r="J44" s="15"/>
      <c r="K44" s="15"/>
      <c r="L44" s="15"/>
      <c r="M44" s="15"/>
      <c r="N44" s="15"/>
      <c r="O44" s="27"/>
      <c r="P44" s="27"/>
      <c r="Q44" s="15"/>
      <c r="R44" s="15"/>
      <c r="S44" s="15"/>
      <c r="T44" s="106"/>
      <c r="U44" s="45"/>
      <c r="V44" s="46"/>
      <c r="W44" s="46"/>
      <c r="X44" s="15"/>
      <c r="Y44" s="15"/>
      <c r="Z44" s="15"/>
      <c r="AA44" s="15"/>
      <c r="AB44" s="15"/>
      <c r="AC44" s="15"/>
      <c r="AD44" s="15"/>
    </row>
    <row r="46" spans="1:30" ht="12" x14ac:dyDescent="0.2">
      <c r="A46" s="376" t="s">
        <v>114</v>
      </c>
      <c r="B46" s="376"/>
      <c r="C46" s="376"/>
      <c r="D46" s="376"/>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15"/>
    </row>
    <row r="47" spans="1:30" x14ac:dyDescent="0.25">
      <c r="A47" s="15"/>
      <c r="B47" s="15"/>
      <c r="C47" s="15"/>
      <c r="D47" s="15"/>
      <c r="E47" s="15"/>
      <c r="F47" s="15"/>
      <c r="G47" s="15"/>
      <c r="H47" s="15"/>
      <c r="I47" s="15"/>
      <c r="J47" s="15"/>
      <c r="K47" s="15"/>
      <c r="L47" s="15"/>
      <c r="M47" s="15"/>
      <c r="N47" s="15"/>
      <c r="O47" s="15"/>
      <c r="P47" s="15"/>
      <c r="Q47" s="15"/>
      <c r="R47" s="15"/>
      <c r="S47" s="15"/>
      <c r="T47" s="106"/>
      <c r="U47" s="45"/>
      <c r="V47" s="46"/>
      <c r="W47" s="46"/>
      <c r="X47" s="15"/>
      <c r="Y47" s="15"/>
      <c r="Z47" s="15"/>
      <c r="AA47" s="15"/>
      <c r="AB47" s="15"/>
      <c r="AC47" s="15"/>
      <c r="AD47" s="15"/>
    </row>
    <row r="48" spans="1:30" x14ac:dyDescent="0.25">
      <c r="A48" s="15"/>
      <c r="B48" s="15" t="s">
        <v>115</v>
      </c>
      <c r="C48" s="15"/>
      <c r="D48" s="15"/>
      <c r="E48" s="15"/>
      <c r="F48" s="15"/>
      <c r="G48" s="15"/>
      <c r="H48" s="15"/>
      <c r="I48" s="27"/>
      <c r="J48" s="27"/>
      <c r="K48" s="15"/>
      <c r="L48" s="15"/>
      <c r="M48" s="15"/>
      <c r="N48" s="15"/>
      <c r="O48" s="15"/>
      <c r="P48" s="15"/>
      <c r="Q48" s="15"/>
      <c r="R48" s="15"/>
      <c r="S48" s="15"/>
      <c r="T48" s="106"/>
      <c r="U48" s="45"/>
      <c r="V48" s="46"/>
      <c r="W48" s="46"/>
      <c r="X48" s="15"/>
      <c r="Y48" s="15"/>
      <c r="Z48" s="15"/>
      <c r="AA48" s="15"/>
      <c r="AB48" s="15"/>
      <c r="AC48" s="15"/>
      <c r="AD48" s="15"/>
    </row>
    <row r="49" spans="1:30" x14ac:dyDescent="0.25">
      <c r="A49" s="15"/>
      <c r="B49" s="15"/>
      <c r="C49" s="47"/>
      <c r="D49" s="47"/>
      <c r="E49" s="47"/>
      <c r="F49" s="47"/>
      <c r="G49" s="47"/>
      <c r="H49" s="15"/>
      <c r="I49" s="15"/>
      <c r="J49" s="15"/>
      <c r="K49" s="15"/>
      <c r="L49" s="15"/>
      <c r="M49" s="15"/>
      <c r="N49" s="15"/>
      <c r="O49" s="27"/>
      <c r="P49" s="27"/>
      <c r="Q49" s="15"/>
      <c r="R49" s="15"/>
      <c r="S49" s="15"/>
      <c r="T49" s="106"/>
      <c r="U49" s="45"/>
      <c r="V49" s="46"/>
      <c r="W49" s="46"/>
      <c r="X49" s="15"/>
      <c r="Y49" s="15"/>
      <c r="Z49" s="15"/>
      <c r="AA49" s="15"/>
      <c r="AB49" s="15"/>
      <c r="AC49" s="15"/>
      <c r="AD49" s="15"/>
    </row>
    <row r="50" spans="1:30" ht="36" x14ac:dyDescent="0.25">
      <c r="A50" s="15"/>
      <c r="B50" s="15"/>
      <c r="C50" s="140"/>
      <c r="D50" s="160"/>
      <c r="E50" s="143" t="s">
        <v>104</v>
      </c>
      <c r="F50" s="142" t="s">
        <v>116</v>
      </c>
      <c r="G50" s="143" t="s">
        <v>105</v>
      </c>
      <c r="H50" s="144" t="s">
        <v>116</v>
      </c>
      <c r="I50" s="15"/>
      <c r="J50" s="15"/>
      <c r="K50" s="15"/>
      <c r="L50" s="15"/>
      <c r="M50" s="15"/>
      <c r="N50" s="15"/>
      <c r="O50" s="27"/>
      <c r="P50" s="27"/>
      <c r="Q50" s="15"/>
      <c r="R50" s="15"/>
      <c r="S50" s="15"/>
      <c r="T50" s="106"/>
      <c r="U50" s="45"/>
      <c r="V50" s="46"/>
      <c r="W50" s="46"/>
      <c r="X50" s="15"/>
      <c r="Y50" s="15"/>
      <c r="Z50" s="15"/>
      <c r="AA50" s="15"/>
      <c r="AB50" s="15"/>
      <c r="AC50" s="15"/>
      <c r="AD50" s="15"/>
    </row>
    <row r="51" spans="1:30" x14ac:dyDescent="0.25">
      <c r="A51" s="15"/>
      <c r="B51" s="15"/>
      <c r="C51" s="134" t="s">
        <v>117</v>
      </c>
      <c r="D51" s="15" t="s">
        <v>118</v>
      </c>
      <c r="E51" s="134">
        <f>C4</f>
        <v>26</v>
      </c>
      <c r="F51" s="15">
        <f>E4</f>
        <v>15.9</v>
      </c>
      <c r="G51" s="134">
        <f>D4</f>
        <v>10</v>
      </c>
      <c r="H51" s="136">
        <f>E4</f>
        <v>15.9</v>
      </c>
      <c r="I51" s="15"/>
      <c r="J51" s="15"/>
      <c r="K51" s="15"/>
      <c r="L51" s="15"/>
      <c r="M51" s="15"/>
      <c r="N51" s="15"/>
      <c r="O51" s="27"/>
      <c r="P51" s="27"/>
      <c r="Q51" s="15"/>
      <c r="R51" s="15"/>
      <c r="S51" s="15"/>
      <c r="T51" s="106"/>
      <c r="U51" s="45"/>
      <c r="V51" s="46"/>
      <c r="W51" s="46"/>
      <c r="X51" s="15"/>
      <c r="Y51" s="15"/>
      <c r="Z51" s="15"/>
      <c r="AA51" s="15"/>
      <c r="AB51" s="15"/>
      <c r="AC51" s="15"/>
      <c r="AD51" s="15"/>
    </row>
    <row r="52" spans="1:30" x14ac:dyDescent="0.25">
      <c r="A52" s="15"/>
      <c r="B52" s="15"/>
      <c r="C52" s="134" t="s">
        <v>119</v>
      </c>
      <c r="D52" s="15" t="s">
        <v>120</v>
      </c>
      <c r="E52" s="134">
        <f>C6</f>
        <v>111</v>
      </c>
      <c r="F52" s="15">
        <f>E6</f>
        <v>34.25</v>
      </c>
      <c r="G52" s="134">
        <f>D6</f>
        <v>5.4</v>
      </c>
      <c r="H52" s="136">
        <f>E6</f>
        <v>34.25</v>
      </c>
      <c r="I52" s="15"/>
      <c r="J52" s="15"/>
      <c r="K52" s="15"/>
      <c r="L52" s="15"/>
      <c r="M52" s="15"/>
      <c r="N52" s="15"/>
      <c r="O52" s="27"/>
      <c r="P52" s="27"/>
      <c r="Q52" s="15"/>
      <c r="R52" s="15"/>
      <c r="S52" s="15"/>
      <c r="T52" s="15"/>
      <c r="U52" s="45"/>
      <c r="V52" s="46"/>
      <c r="W52" s="46"/>
      <c r="X52" s="15"/>
      <c r="Y52" s="15"/>
      <c r="Z52" s="15"/>
      <c r="AA52" s="15"/>
      <c r="AB52" s="15"/>
      <c r="AC52" s="15"/>
      <c r="AD52" s="15"/>
    </row>
    <row r="53" spans="1:30" x14ac:dyDescent="0.25">
      <c r="A53" s="15"/>
      <c r="B53" s="15"/>
      <c r="C53" s="134" t="s">
        <v>84</v>
      </c>
      <c r="D53" s="15" t="s">
        <v>121</v>
      </c>
      <c r="E53" s="134">
        <f>C5</f>
        <v>7.2666666666666666</v>
      </c>
      <c r="F53" s="15">
        <f>E5</f>
        <v>8.1</v>
      </c>
      <c r="G53" s="134">
        <f>D5</f>
        <v>7.6</v>
      </c>
      <c r="H53" s="145">
        <f>E5</f>
        <v>8.1</v>
      </c>
      <c r="I53" s="15"/>
      <c r="J53" s="15"/>
      <c r="K53" s="15"/>
      <c r="L53" s="15"/>
      <c r="M53" s="15"/>
      <c r="N53" s="15"/>
      <c r="O53" s="27"/>
      <c r="P53" s="27"/>
      <c r="Q53" s="15"/>
      <c r="R53" s="15"/>
      <c r="S53" s="15"/>
      <c r="T53" s="15"/>
      <c r="U53" s="45"/>
      <c r="V53" s="46"/>
      <c r="W53" s="46"/>
      <c r="X53" s="15"/>
      <c r="Y53" s="15"/>
      <c r="Z53" s="15"/>
      <c r="AA53" s="15"/>
      <c r="AB53" s="15"/>
      <c r="AC53" s="15"/>
      <c r="AD53" s="15"/>
    </row>
    <row r="54" spans="1:30" x14ac:dyDescent="0.25">
      <c r="A54" s="15"/>
      <c r="B54" s="15"/>
      <c r="C54" s="134" t="s">
        <v>122</v>
      </c>
      <c r="D54" s="15"/>
      <c r="E54" s="146">
        <f>19.973*E52/(1000-1.2005109*E52)</f>
        <v>2.5578542404916851</v>
      </c>
      <c r="F54" s="156">
        <f>19.973*F52/(1000-1.2005109*F52)</f>
        <v>0.71340883664582488</v>
      </c>
      <c r="G54" s="146">
        <f>19.973*G52/(1000-1.2005109*G52)</f>
        <v>0.10855795504489076</v>
      </c>
      <c r="H54" s="147">
        <f>19.973*H52/(1000-1.2005109*H52)</f>
        <v>0.71340883664582488</v>
      </c>
      <c r="I54" s="15"/>
      <c r="J54" s="15"/>
      <c r="K54" s="15"/>
      <c r="L54" s="15"/>
      <c r="M54" s="15"/>
      <c r="N54" s="15"/>
      <c r="O54" s="27"/>
      <c r="P54" s="27"/>
      <c r="Q54" s="15"/>
      <c r="R54" s="15"/>
      <c r="S54" s="15"/>
      <c r="T54" s="15"/>
      <c r="U54" s="45"/>
      <c r="V54" s="46"/>
      <c r="W54" s="46"/>
      <c r="X54" s="15"/>
      <c r="Y54" s="15"/>
      <c r="Z54" s="15"/>
      <c r="AA54" s="15"/>
      <c r="AB54" s="15"/>
      <c r="AC54" s="15"/>
      <c r="AD54" s="15"/>
    </row>
    <row r="55" spans="1:30" x14ac:dyDescent="0.25">
      <c r="A55" s="15"/>
      <c r="B55" s="15"/>
      <c r="C55" s="148" t="s">
        <v>123</v>
      </c>
      <c r="D55" s="15"/>
      <c r="E55" s="146">
        <f>0.0901821+2729.92/(E51+273.15)+(0.1552-0.0003142*E51)*E54</f>
        <v>9.5918546245759391</v>
      </c>
      <c r="F55" s="156">
        <f>0.0901821+2729.92/(F51+273.15)+(0.1552-0.0003142*F51)*F54</f>
        <v>9.6417950943241539</v>
      </c>
      <c r="G55" s="146">
        <f>0.0901821+2729.92/(G51+273.15)+(0.1552-0.0003142*G51)*G54</f>
        <v>9.7479394262592791</v>
      </c>
      <c r="H55" s="147">
        <f>0.0901821+2729.92/(H51+273.15)+(0.1552-0.0003142*H51)*H54</f>
        <v>9.6417950943241539</v>
      </c>
      <c r="I55" s="15"/>
      <c r="J55" s="15"/>
      <c r="K55" s="15"/>
      <c r="L55" s="15"/>
      <c r="M55" s="15"/>
      <c r="N55" s="15"/>
      <c r="O55" s="27"/>
      <c r="P55" s="27"/>
      <c r="Q55" s="15"/>
      <c r="R55" s="15"/>
      <c r="S55" s="15"/>
      <c r="T55" s="106"/>
      <c r="U55" s="45"/>
      <c r="V55" s="46"/>
      <c r="W55" s="46"/>
      <c r="X55" s="15"/>
      <c r="Y55" s="15"/>
      <c r="Z55" s="15"/>
      <c r="AA55" s="15"/>
      <c r="AB55" s="15"/>
      <c r="AC55" s="15"/>
      <c r="AD55" s="15"/>
    </row>
    <row r="56" spans="1:30" ht="24.75" x14ac:dyDescent="0.25">
      <c r="A56" s="15"/>
      <c r="B56" s="15"/>
      <c r="C56" s="135" t="s">
        <v>124</v>
      </c>
      <c r="D56" s="15" t="s">
        <v>121</v>
      </c>
      <c r="E56" s="149">
        <f>1/(10^(E55-E53)+1)</f>
        <v>4.7072027337694026E-3</v>
      </c>
      <c r="F56" s="157">
        <f>1/(10^(F55-F53)+1)</f>
        <v>2.791946878615667E-2</v>
      </c>
      <c r="G56" s="149">
        <f>1/(10^(G55-G53)+1)</f>
        <v>7.0628879589389165E-3</v>
      </c>
      <c r="H56" s="150">
        <f>1/(10^(H55-H53)+1)</f>
        <v>2.791946878615667E-2</v>
      </c>
      <c r="I56" s="15"/>
      <c r="J56" s="15"/>
      <c r="K56" s="15"/>
      <c r="L56" s="15"/>
      <c r="M56" s="15"/>
      <c r="N56" s="15"/>
      <c r="O56" s="27"/>
      <c r="P56" s="27"/>
      <c r="Q56" s="15"/>
      <c r="R56" s="15"/>
      <c r="S56" s="15"/>
      <c r="T56" s="106"/>
      <c r="U56" s="45"/>
      <c r="V56" s="46"/>
      <c r="W56" s="46"/>
      <c r="X56" s="15"/>
      <c r="Y56" s="15"/>
      <c r="Z56" s="15"/>
      <c r="AA56" s="15"/>
      <c r="AB56" s="15"/>
      <c r="AC56" s="15"/>
      <c r="AD56" s="15"/>
    </row>
    <row r="57" spans="1:30" x14ac:dyDescent="0.25">
      <c r="A57" s="15"/>
      <c r="B57" s="15"/>
      <c r="C57" s="134" t="s">
        <v>125</v>
      </c>
      <c r="D57" s="15" t="s">
        <v>57</v>
      </c>
      <c r="E57" s="139">
        <f>C7</f>
        <v>1353.9024390243903</v>
      </c>
      <c r="F57" s="27">
        <f>E57</f>
        <v>1353.9024390243903</v>
      </c>
      <c r="G57" s="139">
        <f>D7</f>
        <v>3510.0000000000005</v>
      </c>
      <c r="H57" s="151">
        <f>G57</f>
        <v>3510.0000000000005</v>
      </c>
      <c r="I57" s="15"/>
      <c r="J57" s="15"/>
      <c r="K57" s="15"/>
      <c r="L57" s="15"/>
      <c r="M57" s="15"/>
      <c r="N57" s="15"/>
      <c r="O57" s="27"/>
      <c r="P57" s="27"/>
      <c r="Q57" s="15"/>
      <c r="R57" s="15"/>
      <c r="S57" s="15"/>
      <c r="T57" s="106"/>
      <c r="U57" s="45"/>
      <c r="V57" s="46"/>
      <c r="W57" s="46"/>
      <c r="X57" s="15"/>
      <c r="Y57" s="15"/>
      <c r="Z57" s="15"/>
      <c r="AA57" s="15"/>
      <c r="AB57" s="15"/>
      <c r="AC57" s="15"/>
      <c r="AD57" s="15"/>
    </row>
    <row r="58" spans="1:30" x14ac:dyDescent="0.25">
      <c r="A58" s="15"/>
      <c r="B58" s="15"/>
      <c r="C58" s="134" t="s">
        <v>126</v>
      </c>
      <c r="D58" s="15" t="s">
        <v>57</v>
      </c>
      <c r="E58" s="152">
        <f>E56*E57</f>
        <v>6.3730932622326719</v>
      </c>
      <c r="F58" s="158">
        <f>F$56*F57</f>
        <v>37.80023688584285</v>
      </c>
      <c r="G58" s="152">
        <f>G56*G57</f>
        <v>24.790736735875601</v>
      </c>
      <c r="H58" s="153">
        <f>H$56*H57</f>
        <v>97.997335439409923</v>
      </c>
      <c r="I58" s="15"/>
      <c r="J58" s="15"/>
      <c r="K58" s="15"/>
      <c r="L58" s="15"/>
      <c r="M58" s="15"/>
      <c r="N58" s="15"/>
      <c r="O58" s="27"/>
      <c r="P58" s="27"/>
      <c r="Q58" s="15"/>
      <c r="R58" s="15"/>
      <c r="S58" s="15"/>
      <c r="T58" s="106"/>
      <c r="U58" s="45"/>
      <c r="V58" s="46"/>
      <c r="W58" s="46"/>
      <c r="X58" s="15"/>
      <c r="Y58" s="15"/>
      <c r="Z58" s="15"/>
      <c r="AA58" s="15"/>
      <c r="AB58" s="15"/>
      <c r="AC58" s="15"/>
      <c r="AD58" s="15"/>
    </row>
    <row r="59" spans="1:30" x14ac:dyDescent="0.25">
      <c r="A59" s="15"/>
      <c r="B59" s="15"/>
      <c r="C59" s="134"/>
      <c r="D59" s="15"/>
      <c r="E59" s="134"/>
      <c r="F59" s="15"/>
      <c r="G59" s="134"/>
      <c r="H59" s="136"/>
      <c r="I59" s="15"/>
      <c r="J59" s="15"/>
      <c r="K59" s="15"/>
      <c r="L59" s="15"/>
      <c r="M59" s="15"/>
      <c r="N59" s="15"/>
      <c r="O59" s="27"/>
      <c r="P59" s="27"/>
      <c r="Q59" s="15"/>
      <c r="R59" s="15"/>
      <c r="S59" s="15"/>
      <c r="T59" s="106"/>
      <c r="U59" s="45"/>
      <c r="V59" s="46"/>
      <c r="W59" s="46"/>
      <c r="X59" s="15"/>
      <c r="Y59" s="15"/>
      <c r="Z59" s="15"/>
      <c r="AA59" s="15"/>
      <c r="AB59" s="15"/>
      <c r="AC59" s="15"/>
      <c r="AD59" s="15"/>
    </row>
    <row r="60" spans="1:30" x14ac:dyDescent="0.25">
      <c r="A60" s="15"/>
      <c r="B60" s="15"/>
      <c r="C60" s="134" t="s">
        <v>127</v>
      </c>
      <c r="D60" s="15" t="s">
        <v>57</v>
      </c>
      <c r="E60" s="139">
        <f>'1.Sample Analysis'!P9</f>
        <v>1458.0487804878048</v>
      </c>
      <c r="F60" s="27">
        <f>'1.Sample Analysis'!P9</f>
        <v>1458.0487804878048</v>
      </c>
      <c r="G60" s="139">
        <f>'1.Sample Analysis'!N9</f>
        <v>3780.0000000000005</v>
      </c>
      <c r="H60" s="151">
        <f>'1.Sample Analysis'!N9</f>
        <v>3780.0000000000005</v>
      </c>
      <c r="I60" s="15"/>
      <c r="J60" s="15"/>
      <c r="K60" s="15"/>
      <c r="L60" s="15"/>
      <c r="M60" s="15"/>
      <c r="N60" s="15"/>
      <c r="O60" s="27"/>
      <c r="P60" s="27"/>
      <c r="Q60" s="15"/>
      <c r="R60" s="15"/>
      <c r="S60" s="15"/>
      <c r="T60" s="106"/>
      <c r="U60" s="45"/>
      <c r="V60" s="46"/>
      <c r="W60" s="46"/>
      <c r="X60" s="15"/>
      <c r="Y60" s="15"/>
      <c r="Z60" s="15"/>
      <c r="AA60" s="15"/>
      <c r="AB60" s="15"/>
      <c r="AC60" s="15"/>
      <c r="AD60" s="15"/>
    </row>
    <row r="61" spans="1:30" x14ac:dyDescent="0.25">
      <c r="A61" s="15"/>
      <c r="B61" s="15"/>
      <c r="C61" s="137" t="s">
        <v>128</v>
      </c>
      <c r="D61" s="161" t="s">
        <v>57</v>
      </c>
      <c r="E61" s="159">
        <f>E$56*E60</f>
        <v>6.8633312054813382</v>
      </c>
      <c r="F61" s="154">
        <f>F$56*F60</f>
        <v>40.707947415523066</v>
      </c>
      <c r="G61" s="159">
        <f>G$56*G60</f>
        <v>26.697716484789108</v>
      </c>
      <c r="H61" s="155">
        <f>H$56*H60</f>
        <v>105.53559201167222</v>
      </c>
      <c r="I61" s="15"/>
      <c r="J61" s="15"/>
      <c r="K61" s="15"/>
      <c r="L61" s="15"/>
      <c r="M61" s="15"/>
      <c r="N61" s="15"/>
      <c r="O61" s="27"/>
      <c r="P61" s="27"/>
      <c r="Q61" s="15"/>
      <c r="R61" s="15"/>
      <c r="S61" s="15"/>
      <c r="T61" s="106"/>
      <c r="U61" s="45"/>
      <c r="V61" s="46"/>
      <c r="W61" s="46"/>
      <c r="X61" s="15"/>
      <c r="Y61" s="15"/>
      <c r="Z61" s="15"/>
      <c r="AA61" s="15"/>
      <c r="AB61" s="15"/>
      <c r="AC61" s="15"/>
      <c r="AD61" s="15"/>
    </row>
    <row r="62" spans="1:30" x14ac:dyDescent="0.25">
      <c r="A62" s="15"/>
      <c r="B62" s="15"/>
      <c r="C62" s="15"/>
      <c r="D62" s="15"/>
      <c r="E62" s="15"/>
      <c r="F62" s="15"/>
      <c r="G62" s="15"/>
      <c r="H62" s="15"/>
      <c r="I62" s="15"/>
      <c r="J62" s="15"/>
      <c r="K62" s="15"/>
      <c r="L62" s="15"/>
      <c r="M62" s="15"/>
      <c r="N62" s="15"/>
      <c r="O62" s="27"/>
      <c r="P62" s="27"/>
      <c r="Q62" s="15"/>
      <c r="R62" s="15"/>
      <c r="S62" s="15"/>
      <c r="T62" s="106"/>
      <c r="U62" s="45"/>
      <c r="V62" s="46"/>
      <c r="W62" s="46"/>
      <c r="X62" s="15"/>
      <c r="Y62" s="15"/>
      <c r="Z62" s="15"/>
      <c r="AA62" s="15"/>
      <c r="AB62" s="15"/>
      <c r="AC62" s="15"/>
      <c r="AD62" s="15"/>
    </row>
    <row r="63" spans="1:30" x14ac:dyDescent="0.25">
      <c r="A63" s="15"/>
      <c r="B63" s="15"/>
      <c r="C63" s="15"/>
      <c r="D63" s="15"/>
      <c r="E63" s="15"/>
      <c r="F63" s="15"/>
      <c r="G63" s="15"/>
      <c r="H63" s="15"/>
      <c r="I63" s="15"/>
      <c r="J63" s="15"/>
      <c r="K63" s="15"/>
      <c r="L63" s="15"/>
      <c r="M63" s="15"/>
      <c r="N63" s="15"/>
      <c r="O63" s="27"/>
      <c r="P63" s="27"/>
      <c r="Q63" s="15"/>
      <c r="R63" s="15"/>
      <c r="S63" s="15"/>
      <c r="T63" s="106"/>
      <c r="U63" s="45"/>
      <c r="V63" s="46"/>
      <c r="W63" s="46"/>
      <c r="X63" s="15"/>
      <c r="Y63" s="15"/>
      <c r="Z63" s="15"/>
      <c r="AA63" s="15"/>
      <c r="AB63" s="15"/>
      <c r="AC63" s="15"/>
      <c r="AD63" s="15"/>
    </row>
    <row r="64" spans="1:30" x14ac:dyDescent="0.25">
      <c r="A64" s="15"/>
      <c r="B64" s="15"/>
      <c r="C64" s="15"/>
      <c r="D64" s="15"/>
      <c r="E64" s="15"/>
      <c r="F64" s="15"/>
      <c r="G64" s="15"/>
      <c r="H64" s="15"/>
      <c r="I64" s="15"/>
      <c r="J64" s="15"/>
      <c r="K64" s="15"/>
      <c r="L64" s="15"/>
      <c r="M64" s="15"/>
      <c r="N64" s="15"/>
      <c r="O64" s="27"/>
      <c r="P64" s="27"/>
      <c r="Q64" s="15"/>
      <c r="R64" s="15"/>
      <c r="S64" s="15"/>
      <c r="T64" s="106"/>
      <c r="U64" s="45"/>
      <c r="V64" s="46"/>
      <c r="W64" s="46"/>
      <c r="X64" s="15"/>
      <c r="Y64" s="15"/>
      <c r="Z64" s="15"/>
      <c r="AA64" s="15"/>
      <c r="AB64" s="15"/>
      <c r="AC64" s="15"/>
      <c r="AD64" s="15"/>
    </row>
    <row r="65" spans="1:30" x14ac:dyDescent="0.25">
      <c r="A65" s="15"/>
      <c r="B65" s="15"/>
      <c r="C65" s="15"/>
      <c r="D65" s="15"/>
      <c r="E65" s="15"/>
      <c r="F65" s="15"/>
      <c r="G65" s="15"/>
      <c r="H65" s="15"/>
      <c r="I65" s="15"/>
      <c r="J65" s="15"/>
      <c r="K65" s="15"/>
      <c r="L65" s="15"/>
      <c r="M65" s="15"/>
      <c r="N65" s="15"/>
      <c r="O65" s="27"/>
      <c r="P65" s="27"/>
      <c r="Q65" s="15"/>
      <c r="R65" s="15"/>
      <c r="S65" s="15"/>
      <c r="T65" s="106"/>
      <c r="U65" s="45"/>
      <c r="V65" s="46"/>
      <c r="W65" s="46"/>
      <c r="X65" s="15"/>
      <c r="Y65" s="15"/>
      <c r="Z65" s="15"/>
      <c r="AA65" s="15"/>
      <c r="AB65" s="15"/>
      <c r="AC65" s="15"/>
      <c r="AD65" s="15"/>
    </row>
    <row r="66" spans="1:30" x14ac:dyDescent="0.25">
      <c r="A66" s="15"/>
      <c r="B66" s="15"/>
      <c r="C66" s="15"/>
      <c r="D66" s="15"/>
      <c r="E66" s="15"/>
      <c r="F66" s="15"/>
      <c r="G66" s="15"/>
      <c r="H66" s="15"/>
      <c r="I66" s="15"/>
      <c r="J66" s="15"/>
      <c r="K66" s="15"/>
      <c r="L66" s="15"/>
      <c r="M66" s="15"/>
      <c r="N66" s="15"/>
      <c r="O66" s="27"/>
      <c r="P66" s="27"/>
      <c r="Q66" s="15"/>
      <c r="R66" s="15"/>
      <c r="S66" s="15"/>
      <c r="T66" s="106"/>
      <c r="U66" s="45"/>
      <c r="V66" s="46"/>
      <c r="W66" s="46"/>
      <c r="X66" s="15"/>
      <c r="Y66" s="15"/>
      <c r="Z66" s="15"/>
      <c r="AA66" s="15"/>
      <c r="AB66" s="15"/>
      <c r="AC66" s="15"/>
      <c r="AD66" s="15"/>
    </row>
    <row r="67" spans="1:30" x14ac:dyDescent="0.25">
      <c r="A67" s="15"/>
      <c r="B67" s="15"/>
      <c r="C67" s="15"/>
      <c r="D67" s="15"/>
      <c r="E67" s="15"/>
      <c r="F67" s="15"/>
      <c r="G67" s="15"/>
      <c r="H67" s="15"/>
      <c r="I67" s="15"/>
      <c r="J67" s="15"/>
      <c r="K67" s="15"/>
      <c r="L67" s="15"/>
      <c r="M67" s="15"/>
      <c r="N67" s="15"/>
      <c r="O67" s="27"/>
      <c r="P67" s="27"/>
      <c r="Q67" s="15"/>
      <c r="R67" s="15"/>
      <c r="S67" s="15"/>
      <c r="T67" s="106"/>
      <c r="U67" s="45"/>
      <c r="V67" s="46"/>
      <c r="W67" s="46"/>
      <c r="X67" s="15"/>
      <c r="Y67" s="15"/>
      <c r="Z67" s="15"/>
      <c r="AA67" s="15"/>
      <c r="AB67" s="15"/>
      <c r="AC67" s="15"/>
      <c r="AD67" s="15"/>
    </row>
    <row r="68" spans="1:30" x14ac:dyDescent="0.25">
      <c r="A68" s="15"/>
      <c r="B68" s="15"/>
      <c r="C68" s="15"/>
      <c r="D68" s="15"/>
      <c r="E68" s="15"/>
      <c r="F68" s="15"/>
      <c r="G68" s="15"/>
      <c r="H68" s="15"/>
      <c r="I68" s="15"/>
      <c r="J68" s="15"/>
      <c r="K68" s="15"/>
      <c r="L68" s="15"/>
      <c r="M68" s="15"/>
      <c r="N68" s="15"/>
      <c r="O68" s="27"/>
      <c r="P68" s="27"/>
      <c r="Q68" s="15"/>
      <c r="R68" s="15"/>
      <c r="S68" s="15"/>
      <c r="T68" s="106"/>
      <c r="U68" s="45"/>
      <c r="V68" s="46"/>
      <c r="W68" s="46"/>
      <c r="X68" s="15"/>
      <c r="Y68" s="15"/>
      <c r="Z68" s="15"/>
      <c r="AA68" s="15"/>
      <c r="AB68" s="15"/>
      <c r="AC68" s="15"/>
      <c r="AD68" s="15"/>
    </row>
    <row r="69" spans="1:30" x14ac:dyDescent="0.25">
      <c r="A69" s="15"/>
      <c r="B69" s="15"/>
      <c r="C69" s="15"/>
      <c r="D69" s="15"/>
      <c r="E69" s="15"/>
      <c r="F69" s="15"/>
      <c r="G69" s="15"/>
      <c r="H69" s="15"/>
      <c r="I69" s="15"/>
      <c r="J69" s="15"/>
      <c r="K69" s="15"/>
      <c r="L69" s="15"/>
      <c r="M69" s="15"/>
      <c r="N69" s="15"/>
      <c r="O69" s="27"/>
      <c r="P69" s="27"/>
      <c r="Q69" s="15"/>
      <c r="R69" s="15"/>
      <c r="S69" s="15"/>
      <c r="T69" s="106"/>
      <c r="U69" s="45"/>
      <c r="V69" s="46"/>
      <c r="W69" s="46"/>
      <c r="X69" s="15"/>
      <c r="Y69" s="15"/>
      <c r="Z69" s="15"/>
      <c r="AA69" s="15"/>
      <c r="AB69" s="15"/>
      <c r="AC69" s="15"/>
      <c r="AD69" s="15"/>
    </row>
    <row r="70" spans="1:30" x14ac:dyDescent="0.25">
      <c r="A70" s="15"/>
      <c r="B70" s="15"/>
      <c r="C70" s="15"/>
      <c r="D70" s="15"/>
      <c r="E70" s="15"/>
      <c r="F70" s="15"/>
      <c r="G70" s="15"/>
      <c r="H70" s="15"/>
      <c r="I70" s="15"/>
      <c r="J70" s="15"/>
      <c r="K70" s="15"/>
      <c r="L70" s="15"/>
      <c r="M70" s="15"/>
      <c r="N70" s="15"/>
      <c r="O70" s="27"/>
      <c r="P70" s="27"/>
      <c r="Q70" s="15"/>
      <c r="R70" s="15"/>
      <c r="S70" s="15"/>
      <c r="T70" s="106"/>
      <c r="U70" s="45"/>
      <c r="V70" s="46"/>
      <c r="W70" s="46"/>
      <c r="X70" s="15"/>
      <c r="Y70" s="15"/>
      <c r="Z70" s="15"/>
      <c r="AA70" s="15"/>
      <c r="AB70" s="15"/>
      <c r="AC70" s="15"/>
      <c r="AD70" s="15"/>
    </row>
    <row r="71" spans="1:30" x14ac:dyDescent="0.25">
      <c r="A71" s="15"/>
      <c r="B71" s="15"/>
      <c r="C71" s="15"/>
      <c r="D71" s="15"/>
      <c r="E71" s="15"/>
      <c r="F71" s="15"/>
      <c r="G71" s="15"/>
      <c r="H71" s="15"/>
      <c r="I71" s="15"/>
      <c r="J71" s="15"/>
      <c r="K71" s="15"/>
      <c r="L71" s="15"/>
      <c r="M71" s="15"/>
      <c r="N71" s="15"/>
      <c r="O71" s="27"/>
      <c r="P71" s="27"/>
      <c r="Q71" s="15"/>
      <c r="R71" s="15"/>
      <c r="S71" s="15"/>
      <c r="T71" s="106"/>
      <c r="U71" s="45"/>
      <c r="V71" s="46"/>
      <c r="W71" s="46"/>
      <c r="X71" s="15"/>
      <c r="Y71" s="15"/>
      <c r="Z71" s="15"/>
      <c r="AA71" s="15"/>
      <c r="AB71" s="15"/>
      <c r="AC71" s="15"/>
      <c r="AD71" s="15"/>
    </row>
    <row r="72" spans="1:30" x14ac:dyDescent="0.25">
      <c r="A72" s="15"/>
      <c r="B72" s="15"/>
      <c r="C72" s="15"/>
      <c r="D72" s="15"/>
      <c r="E72" s="15"/>
      <c r="F72" s="15"/>
      <c r="G72" s="15"/>
      <c r="H72" s="15"/>
      <c r="I72" s="15"/>
      <c r="J72" s="15"/>
      <c r="K72" s="15"/>
      <c r="L72" s="15"/>
      <c r="M72" s="15"/>
      <c r="N72" s="15"/>
      <c r="O72" s="27"/>
      <c r="P72" s="27"/>
      <c r="Q72" s="15"/>
      <c r="R72" s="15"/>
      <c r="S72" s="15"/>
      <c r="T72" s="106"/>
      <c r="U72" s="45"/>
      <c r="V72" s="46"/>
      <c r="W72" s="46"/>
      <c r="X72" s="15"/>
      <c r="Y72" s="15"/>
      <c r="Z72" s="15"/>
      <c r="AA72" s="15"/>
      <c r="AB72" s="15"/>
      <c r="AC72" s="15"/>
      <c r="AD72" s="15"/>
    </row>
    <row r="73" spans="1:30" x14ac:dyDescent="0.25">
      <c r="A73" s="15"/>
      <c r="B73" s="15"/>
      <c r="C73" s="15"/>
      <c r="D73" s="15"/>
      <c r="E73" s="15"/>
      <c r="F73" s="15"/>
      <c r="G73" s="15"/>
      <c r="H73" s="15"/>
      <c r="I73" s="15"/>
      <c r="J73" s="15"/>
      <c r="K73" s="15"/>
      <c r="L73" s="15"/>
      <c r="M73" s="15"/>
      <c r="N73" s="15"/>
      <c r="O73" s="27"/>
      <c r="P73" s="27"/>
      <c r="Q73" s="15"/>
      <c r="R73" s="15"/>
      <c r="S73" s="15"/>
      <c r="T73" s="106"/>
      <c r="U73" s="45"/>
      <c r="V73" s="46"/>
      <c r="W73" s="46"/>
      <c r="X73" s="15"/>
      <c r="Y73" s="15"/>
      <c r="Z73" s="15"/>
      <c r="AA73" s="15"/>
      <c r="AB73" s="15"/>
      <c r="AC73" s="15"/>
      <c r="AD73" s="15"/>
    </row>
    <row r="74" spans="1:30" x14ac:dyDescent="0.25">
      <c r="A74" s="15"/>
      <c r="B74" s="15"/>
      <c r="C74" s="15"/>
      <c r="D74" s="15"/>
      <c r="E74" s="15"/>
      <c r="F74" s="15"/>
      <c r="G74" s="15"/>
      <c r="H74" s="15"/>
      <c r="I74" s="15"/>
      <c r="J74" s="15"/>
      <c r="K74" s="15"/>
      <c r="L74" s="15"/>
      <c r="M74" s="15"/>
      <c r="N74" s="15"/>
      <c r="O74" s="27"/>
      <c r="P74" s="27"/>
      <c r="Q74" s="15"/>
      <c r="R74" s="15"/>
      <c r="S74" s="15"/>
      <c r="T74" s="106"/>
      <c r="U74" s="45"/>
      <c r="V74" s="46"/>
      <c r="W74" s="46"/>
      <c r="X74" s="15"/>
      <c r="Y74" s="15"/>
      <c r="Z74" s="15"/>
      <c r="AA74" s="15"/>
      <c r="AB74" s="15"/>
      <c r="AC74" s="15"/>
      <c r="AD74" s="15"/>
    </row>
    <row r="75" spans="1:30" x14ac:dyDescent="0.25">
      <c r="A75" s="15"/>
      <c r="B75" s="15"/>
      <c r="C75" s="15"/>
      <c r="D75" s="15"/>
      <c r="E75" s="15"/>
      <c r="F75" s="15"/>
      <c r="G75" s="15"/>
      <c r="H75" s="15"/>
      <c r="I75" s="15"/>
      <c r="J75" s="15"/>
      <c r="K75" s="15"/>
      <c r="L75" s="15"/>
      <c r="M75" s="15"/>
      <c r="N75" s="15"/>
      <c r="O75" s="27"/>
      <c r="P75" s="27"/>
      <c r="Q75" s="15"/>
      <c r="R75" s="15"/>
      <c r="S75" s="15"/>
      <c r="T75" s="106"/>
      <c r="U75" s="45"/>
      <c r="V75" s="46"/>
      <c r="W75" s="46"/>
      <c r="X75" s="15"/>
      <c r="Y75" s="15"/>
      <c r="Z75" s="15"/>
      <c r="AA75" s="15"/>
      <c r="AB75" s="15"/>
      <c r="AC75" s="15"/>
      <c r="AD75" s="15"/>
    </row>
    <row r="76" spans="1:30" x14ac:dyDescent="0.25">
      <c r="A76" s="15"/>
      <c r="B76" s="15"/>
      <c r="C76" s="15"/>
      <c r="D76" s="15"/>
      <c r="E76" s="15"/>
      <c r="F76" s="15"/>
      <c r="G76" s="15"/>
      <c r="H76" s="15"/>
      <c r="I76" s="15"/>
      <c r="J76" s="15"/>
      <c r="K76" s="15"/>
      <c r="L76" s="15"/>
      <c r="M76" s="15"/>
      <c r="N76" s="15"/>
      <c r="O76" s="27"/>
      <c r="P76" s="27"/>
      <c r="Q76" s="15"/>
      <c r="R76" s="15"/>
      <c r="S76" s="15"/>
      <c r="T76" s="106"/>
      <c r="U76" s="45"/>
      <c r="V76" s="46"/>
      <c r="W76" s="46"/>
      <c r="X76" s="15"/>
      <c r="Y76" s="15"/>
      <c r="Z76" s="15"/>
      <c r="AA76" s="15"/>
      <c r="AB76" s="15"/>
      <c r="AC76" s="15"/>
      <c r="AD76" s="15"/>
    </row>
    <row r="77" spans="1:30" x14ac:dyDescent="0.25">
      <c r="A77" s="15"/>
      <c r="B77" s="15"/>
      <c r="C77" s="15"/>
      <c r="D77" s="15"/>
      <c r="E77" s="15"/>
      <c r="F77" s="15"/>
      <c r="G77" s="15"/>
      <c r="H77" s="15"/>
      <c r="I77" s="15"/>
      <c r="J77" s="15"/>
      <c r="K77" s="15"/>
      <c r="L77" s="15"/>
      <c r="M77" s="15"/>
      <c r="N77" s="15"/>
      <c r="O77" s="27"/>
      <c r="P77" s="27"/>
      <c r="Q77" s="15"/>
      <c r="R77" s="15"/>
      <c r="S77" s="15"/>
      <c r="T77" s="106"/>
      <c r="U77" s="45"/>
      <c r="V77" s="46"/>
      <c r="W77" s="46"/>
      <c r="X77" s="15"/>
      <c r="Y77" s="15"/>
      <c r="Z77" s="15"/>
      <c r="AA77" s="15"/>
      <c r="AB77" s="15"/>
      <c r="AC77" s="15"/>
      <c r="AD77" s="15"/>
    </row>
    <row r="78" spans="1:30" x14ac:dyDescent="0.25">
      <c r="A78" s="15"/>
      <c r="B78" s="15"/>
      <c r="C78" s="15"/>
      <c r="D78" s="15"/>
      <c r="E78" s="15"/>
      <c r="F78" s="15"/>
      <c r="G78" s="15"/>
      <c r="H78" s="15"/>
      <c r="I78" s="15"/>
      <c r="J78" s="15"/>
      <c r="K78" s="15"/>
      <c r="L78" s="15"/>
      <c r="M78" s="15"/>
      <c r="N78" s="15"/>
      <c r="O78" s="27"/>
      <c r="P78" s="27"/>
      <c r="Q78" s="15"/>
      <c r="R78" s="15"/>
      <c r="S78" s="15"/>
      <c r="T78" s="106"/>
      <c r="U78" s="45"/>
      <c r="V78" s="46"/>
      <c r="W78" s="46"/>
      <c r="X78" s="15"/>
      <c r="Y78" s="15"/>
      <c r="Z78" s="15"/>
      <c r="AA78" s="15"/>
      <c r="AB78" s="15"/>
      <c r="AC78" s="15"/>
      <c r="AD78" s="15"/>
    </row>
    <row r="79" spans="1:30" x14ac:dyDescent="0.25">
      <c r="A79" s="15"/>
      <c r="B79" s="15"/>
      <c r="C79" s="15"/>
      <c r="D79" s="15"/>
      <c r="E79" s="15"/>
      <c r="F79" s="15"/>
      <c r="G79" s="15"/>
      <c r="H79" s="15"/>
      <c r="I79" s="15"/>
      <c r="J79" s="15"/>
      <c r="K79" s="15"/>
      <c r="L79" s="15"/>
      <c r="M79" s="15"/>
      <c r="N79" s="15"/>
      <c r="O79" s="27"/>
      <c r="P79" s="27"/>
      <c r="Q79" s="15"/>
      <c r="R79" s="15"/>
      <c r="S79" s="15"/>
      <c r="T79" s="106"/>
      <c r="U79" s="45"/>
      <c r="V79" s="46"/>
      <c r="W79" s="46"/>
      <c r="X79" s="15"/>
      <c r="Y79" s="15"/>
      <c r="Z79" s="15"/>
      <c r="AA79" s="15"/>
      <c r="AB79" s="15"/>
      <c r="AC79" s="15"/>
      <c r="AD79" s="15"/>
    </row>
    <row r="80" spans="1:30" x14ac:dyDescent="0.25">
      <c r="A80" s="15"/>
      <c r="B80" s="15"/>
      <c r="C80" s="15"/>
      <c r="D80" s="15"/>
      <c r="E80" s="15"/>
      <c r="F80" s="15"/>
      <c r="G80" s="15"/>
      <c r="H80" s="15"/>
      <c r="I80" s="15"/>
      <c r="J80" s="15"/>
      <c r="K80" s="15"/>
      <c r="L80" s="15"/>
      <c r="M80" s="15"/>
      <c r="N80" s="15"/>
      <c r="O80" s="27"/>
      <c r="P80" s="27"/>
      <c r="Q80" s="15"/>
      <c r="R80" s="15"/>
      <c r="S80" s="15"/>
      <c r="T80" s="106"/>
      <c r="U80" s="45"/>
      <c r="V80" s="46"/>
      <c r="W80" s="46"/>
      <c r="X80" s="15"/>
      <c r="Y80" s="15"/>
      <c r="Z80" s="15"/>
      <c r="AA80" s="15"/>
      <c r="AB80" s="15"/>
      <c r="AC80" s="15"/>
      <c r="AD80" s="15"/>
    </row>
    <row r="81" spans="1:30" x14ac:dyDescent="0.25">
      <c r="A81" s="15"/>
      <c r="B81" s="15"/>
      <c r="C81" s="15"/>
      <c r="D81" s="15"/>
      <c r="E81" s="15"/>
      <c r="F81" s="15"/>
      <c r="G81" s="15"/>
      <c r="H81" s="15"/>
      <c r="I81" s="15"/>
      <c r="J81" s="15"/>
      <c r="K81" s="15"/>
      <c r="L81" s="15"/>
      <c r="M81" s="15"/>
      <c r="N81" s="15"/>
      <c r="O81" s="27"/>
      <c r="P81" s="27"/>
      <c r="Q81" s="15"/>
      <c r="R81" s="15"/>
      <c r="S81" s="15"/>
      <c r="T81" s="106"/>
      <c r="U81" s="45"/>
      <c r="V81" s="46"/>
      <c r="W81" s="46"/>
      <c r="X81" s="15"/>
      <c r="Y81" s="15"/>
      <c r="Z81" s="15"/>
      <c r="AA81" s="15"/>
      <c r="AB81" s="15"/>
      <c r="AC81" s="15"/>
      <c r="AD81" s="15"/>
    </row>
    <row r="82" spans="1:30" x14ac:dyDescent="0.25">
      <c r="A82" s="15"/>
      <c r="B82" s="15"/>
      <c r="C82" s="15"/>
      <c r="D82" s="15"/>
      <c r="E82" s="15"/>
      <c r="F82" s="15"/>
      <c r="G82" s="15"/>
      <c r="H82" s="15"/>
      <c r="I82" s="15"/>
      <c r="J82" s="15"/>
      <c r="K82" s="15"/>
      <c r="L82" s="15"/>
      <c r="M82" s="15"/>
      <c r="N82" s="15"/>
      <c r="O82" s="27"/>
      <c r="P82" s="27"/>
      <c r="Q82" s="15"/>
      <c r="R82" s="15"/>
      <c r="S82" s="15"/>
      <c r="T82" s="106"/>
      <c r="U82" s="45"/>
      <c r="V82" s="46"/>
      <c r="W82" s="46"/>
      <c r="X82" s="15"/>
      <c r="Y82" s="15"/>
      <c r="Z82" s="15"/>
      <c r="AA82" s="15"/>
      <c r="AB82" s="15"/>
      <c r="AC82" s="15"/>
      <c r="AD82" s="15"/>
    </row>
    <row r="83" spans="1:30" x14ac:dyDescent="0.25">
      <c r="A83" s="15"/>
      <c r="B83" s="15"/>
      <c r="C83" s="15"/>
      <c r="D83" s="15"/>
      <c r="E83" s="15"/>
      <c r="F83" s="15"/>
      <c r="G83" s="15"/>
      <c r="H83" s="15"/>
      <c r="I83" s="15"/>
      <c r="J83" s="15"/>
      <c r="K83" s="15"/>
      <c r="L83" s="15"/>
      <c r="M83" s="15"/>
      <c r="N83" s="15"/>
      <c r="O83" s="27"/>
      <c r="P83" s="27"/>
      <c r="Q83" s="15"/>
      <c r="R83" s="15"/>
      <c r="S83" s="15"/>
      <c r="T83" s="106"/>
      <c r="U83" s="45"/>
      <c r="V83" s="46"/>
      <c r="W83" s="46"/>
      <c r="X83" s="15"/>
      <c r="Y83" s="15"/>
      <c r="Z83" s="15"/>
      <c r="AA83" s="15"/>
      <c r="AB83" s="15"/>
      <c r="AC83" s="15"/>
      <c r="AD83" s="15"/>
    </row>
    <row r="84" spans="1:30" x14ac:dyDescent="0.25">
      <c r="A84" s="15"/>
      <c r="B84" s="15"/>
      <c r="C84" s="15"/>
      <c r="D84" s="15"/>
      <c r="E84" s="15"/>
      <c r="F84" s="15"/>
      <c r="G84" s="15"/>
      <c r="H84" s="15"/>
      <c r="I84" s="15"/>
      <c r="J84" s="15"/>
      <c r="K84" s="15"/>
      <c r="L84" s="15"/>
      <c r="M84" s="15"/>
      <c r="N84" s="15"/>
      <c r="O84" s="27"/>
      <c r="P84" s="27"/>
      <c r="Q84" s="15"/>
      <c r="R84" s="15"/>
      <c r="S84" s="15"/>
      <c r="T84" s="106"/>
      <c r="U84" s="45"/>
      <c r="V84" s="46"/>
      <c r="W84" s="46"/>
      <c r="X84" s="15"/>
      <c r="Y84" s="15"/>
      <c r="Z84" s="15"/>
      <c r="AA84" s="15"/>
      <c r="AB84" s="15"/>
      <c r="AC84" s="15"/>
      <c r="AD84" s="15"/>
    </row>
    <row r="85" spans="1:30" x14ac:dyDescent="0.25">
      <c r="A85" s="15"/>
      <c r="B85" s="15"/>
      <c r="C85" s="15"/>
      <c r="D85" s="15"/>
      <c r="E85" s="15"/>
      <c r="F85" s="15"/>
      <c r="G85" s="15"/>
      <c r="H85" s="15"/>
      <c r="I85" s="15"/>
      <c r="J85" s="15"/>
      <c r="K85" s="15"/>
      <c r="L85" s="15"/>
      <c r="M85" s="15"/>
      <c r="N85" s="15"/>
      <c r="O85" s="27"/>
      <c r="P85" s="27"/>
      <c r="Q85" s="15"/>
      <c r="R85" s="15"/>
      <c r="S85" s="15"/>
      <c r="T85" s="106"/>
      <c r="U85" s="45"/>
      <c r="V85" s="46"/>
      <c r="W85" s="46"/>
      <c r="X85" s="15"/>
      <c r="Y85" s="15"/>
      <c r="Z85" s="15"/>
      <c r="AA85" s="15"/>
      <c r="AB85" s="15"/>
      <c r="AC85" s="15"/>
      <c r="AD85" s="15"/>
    </row>
    <row r="86" spans="1:30" x14ac:dyDescent="0.25">
      <c r="A86" s="15"/>
      <c r="B86" s="15"/>
      <c r="C86" s="15"/>
      <c r="D86" s="15"/>
      <c r="E86" s="15"/>
      <c r="F86" s="15"/>
      <c r="G86" s="15"/>
      <c r="H86" s="15"/>
      <c r="I86" s="15"/>
      <c r="J86" s="15"/>
      <c r="K86" s="15"/>
      <c r="L86" s="15"/>
      <c r="M86" s="15"/>
      <c r="N86" s="15"/>
      <c r="O86" s="27"/>
      <c r="P86" s="27"/>
      <c r="Q86" s="15"/>
      <c r="R86" s="15"/>
      <c r="S86" s="15"/>
      <c r="T86" s="106"/>
      <c r="U86" s="45"/>
      <c r="V86" s="46"/>
      <c r="W86" s="46"/>
      <c r="X86" s="15"/>
      <c r="Y86" s="15"/>
      <c r="Z86" s="15"/>
      <c r="AA86" s="15"/>
      <c r="AB86" s="15"/>
      <c r="AC86" s="15"/>
      <c r="AD86" s="15"/>
    </row>
    <row r="87" spans="1:30" x14ac:dyDescent="0.25">
      <c r="A87" s="15"/>
      <c r="B87" s="15"/>
      <c r="C87" s="15"/>
      <c r="D87" s="15"/>
      <c r="E87" s="15"/>
      <c r="F87" s="15"/>
      <c r="G87" s="15"/>
      <c r="H87" s="15"/>
      <c r="I87" s="15"/>
      <c r="J87" s="15"/>
      <c r="K87" s="15"/>
      <c r="L87" s="15"/>
      <c r="M87" s="15"/>
      <c r="N87" s="15"/>
      <c r="O87" s="27"/>
      <c r="P87" s="27"/>
      <c r="Q87" s="15"/>
      <c r="R87" s="15"/>
      <c r="S87" s="15"/>
      <c r="T87" s="106"/>
      <c r="U87" s="45"/>
      <c r="V87" s="46"/>
      <c r="W87" s="46"/>
      <c r="X87" s="15"/>
      <c r="Y87" s="15"/>
      <c r="Z87" s="15"/>
      <c r="AA87" s="15"/>
      <c r="AB87" s="15"/>
      <c r="AC87" s="15"/>
      <c r="AD87" s="15"/>
    </row>
    <row r="88" spans="1:30" x14ac:dyDescent="0.25">
      <c r="A88" s="15"/>
      <c r="B88" s="15"/>
      <c r="C88" s="15"/>
      <c r="D88" s="15"/>
      <c r="E88" s="15"/>
      <c r="F88" s="15"/>
      <c r="G88" s="15"/>
      <c r="H88" s="15"/>
      <c r="I88" s="15"/>
      <c r="J88" s="15"/>
      <c r="K88" s="15"/>
      <c r="L88" s="15"/>
      <c r="M88" s="15"/>
      <c r="N88" s="15"/>
      <c r="O88" s="27"/>
      <c r="P88" s="27"/>
      <c r="Q88" s="15"/>
      <c r="R88" s="15"/>
      <c r="S88" s="15"/>
      <c r="T88" s="106"/>
      <c r="U88" s="45"/>
      <c r="V88" s="46"/>
      <c r="W88" s="46"/>
      <c r="X88" s="15"/>
      <c r="Y88" s="15"/>
      <c r="Z88" s="15"/>
      <c r="AA88" s="15"/>
      <c r="AB88" s="15"/>
      <c r="AC88" s="15"/>
      <c r="AD88" s="15"/>
    </row>
    <row r="89" spans="1:30" x14ac:dyDescent="0.25">
      <c r="A89" s="15"/>
      <c r="B89" s="15"/>
      <c r="C89" s="15"/>
      <c r="D89" s="15"/>
      <c r="E89" s="15"/>
      <c r="F89" s="15"/>
      <c r="G89" s="15"/>
      <c r="H89" s="15"/>
      <c r="I89" s="15"/>
      <c r="J89" s="15"/>
      <c r="K89" s="15"/>
      <c r="L89" s="15"/>
      <c r="M89" s="15"/>
      <c r="N89" s="15"/>
      <c r="O89" s="27"/>
      <c r="P89" s="27"/>
      <c r="Q89" s="15"/>
      <c r="R89" s="15"/>
      <c r="S89" s="15"/>
      <c r="T89" s="106"/>
      <c r="U89" s="45"/>
      <c r="V89" s="46"/>
      <c r="W89" s="46"/>
      <c r="X89" s="15"/>
      <c r="Y89" s="15"/>
      <c r="Z89" s="15"/>
      <c r="AA89" s="15"/>
      <c r="AB89" s="15"/>
      <c r="AC89" s="15"/>
      <c r="AD89" s="15"/>
    </row>
  </sheetData>
  <mergeCells count="1">
    <mergeCell ref="B8:E9"/>
  </mergeCells>
  <hyperlinks>
    <hyperlink ref="C14" r:id="rId1" xr:uid="{90B2F956-0276-4179-9BA9-DE7CC2735E95}"/>
  </hyperlinks>
  <pageMargins left="0.7" right="0.7" top="0.75" bottom="0.75" header="0.3" footer="0.3"/>
  <pageSetup paperSize="9" scale="54"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7739-E92D-4434-B1C0-365BC86A34A0}">
  <sheetPr>
    <tabColor theme="9" tint="0.79998168889431442"/>
    <pageSetUpPr fitToPage="1"/>
  </sheetPr>
  <dimension ref="B2:H51"/>
  <sheetViews>
    <sheetView showGridLines="0" topLeftCell="A37" zoomScale="106" workbookViewId="0">
      <selection activeCell="F10" sqref="F10"/>
    </sheetView>
  </sheetViews>
  <sheetFormatPr defaultRowHeight="15" x14ac:dyDescent="0.25"/>
  <cols>
    <col min="2" max="2" width="16.85546875" bestFit="1" customWidth="1"/>
    <col min="3" max="3" width="15.42578125" customWidth="1"/>
    <col min="4" max="4" width="16.85546875" customWidth="1"/>
    <col min="5" max="5" width="39.5703125" customWidth="1"/>
    <col min="6" max="6" width="17.28515625" bestFit="1" customWidth="1"/>
  </cols>
  <sheetData>
    <row r="2" spans="2:8" x14ac:dyDescent="0.25">
      <c r="B2" s="307"/>
      <c r="C2" s="308" t="s">
        <v>44</v>
      </c>
      <c r="D2" s="308" t="s">
        <v>129</v>
      </c>
      <c r="E2" s="309" t="s">
        <v>130</v>
      </c>
      <c r="H2" t="s">
        <v>131</v>
      </c>
    </row>
    <row r="3" spans="2:8" x14ac:dyDescent="0.25">
      <c r="B3" s="310" t="s">
        <v>132</v>
      </c>
      <c r="C3" s="104">
        <v>11</v>
      </c>
      <c r="D3" s="104">
        <v>11</v>
      </c>
      <c r="E3" s="311" t="s">
        <v>133</v>
      </c>
    </row>
    <row r="4" spans="2:8" x14ac:dyDescent="0.25">
      <c r="B4" s="310" t="s">
        <v>134</v>
      </c>
      <c r="C4" s="104">
        <v>1.75</v>
      </c>
      <c r="D4" s="104">
        <v>2</v>
      </c>
      <c r="E4" s="311" t="s">
        <v>135</v>
      </c>
      <c r="F4" s="10"/>
    </row>
    <row r="5" spans="2:8" x14ac:dyDescent="0.25">
      <c r="B5" s="310" t="s">
        <v>136</v>
      </c>
      <c r="C5" s="104">
        <v>3500</v>
      </c>
      <c r="D5" s="104">
        <v>3500</v>
      </c>
      <c r="E5" s="311" t="s">
        <v>137</v>
      </c>
      <c r="F5" s="10"/>
    </row>
    <row r="6" spans="2:8" x14ac:dyDescent="0.25">
      <c r="B6" s="310" t="s">
        <v>138</v>
      </c>
      <c r="C6" s="104">
        <v>0.1</v>
      </c>
      <c r="D6" s="104">
        <v>0.1</v>
      </c>
      <c r="E6" s="311" t="s">
        <v>139</v>
      </c>
      <c r="F6" s="10"/>
    </row>
    <row r="7" spans="2:8" x14ac:dyDescent="0.25">
      <c r="B7" s="310" t="s">
        <v>140</v>
      </c>
      <c r="C7" s="104">
        <v>0.5</v>
      </c>
      <c r="D7" s="104">
        <v>0.5</v>
      </c>
      <c r="E7" s="311" t="s">
        <v>139</v>
      </c>
      <c r="F7" s="10"/>
    </row>
    <row r="8" spans="2:8" x14ac:dyDescent="0.25">
      <c r="B8" s="310" t="s">
        <v>141</v>
      </c>
      <c r="C8" s="104">
        <v>0.5</v>
      </c>
      <c r="D8" s="104">
        <v>0.5</v>
      </c>
      <c r="E8" s="311" t="s">
        <v>139</v>
      </c>
      <c r="F8" s="10"/>
    </row>
    <row r="9" spans="2:8" x14ac:dyDescent="0.25">
      <c r="B9" s="310" t="s">
        <v>142</v>
      </c>
      <c r="C9" s="104">
        <v>100</v>
      </c>
      <c r="D9" s="104">
        <v>100</v>
      </c>
      <c r="E9" s="311" t="s">
        <v>133</v>
      </c>
      <c r="F9" s="10"/>
    </row>
    <row r="10" spans="2:8" x14ac:dyDescent="0.25">
      <c r="B10" s="310" t="s">
        <v>143</v>
      </c>
      <c r="C10" s="104">
        <v>0.5</v>
      </c>
      <c r="D10" s="104">
        <v>0.5</v>
      </c>
      <c r="E10" s="311" t="s">
        <v>139</v>
      </c>
      <c r="F10" s="10"/>
    </row>
    <row r="11" spans="2:8" x14ac:dyDescent="0.25">
      <c r="B11" s="310" t="s">
        <v>144</v>
      </c>
      <c r="C11" s="105">
        <v>0.01</v>
      </c>
      <c r="D11" s="105">
        <v>0.01</v>
      </c>
      <c r="E11" s="311" t="s">
        <v>133</v>
      </c>
      <c r="F11" s="10"/>
    </row>
    <row r="12" spans="2:8" x14ac:dyDescent="0.25">
      <c r="B12" s="310" t="s">
        <v>145</v>
      </c>
      <c r="C12" s="105">
        <v>0.5</v>
      </c>
      <c r="D12" s="105">
        <v>0.5</v>
      </c>
      <c r="E12" s="311" t="s">
        <v>139</v>
      </c>
      <c r="F12" s="10"/>
    </row>
    <row r="13" spans="2:8" x14ac:dyDescent="0.25">
      <c r="B13" s="310" t="s">
        <v>146</v>
      </c>
      <c r="C13" s="105">
        <v>0.5</v>
      </c>
      <c r="D13" s="105">
        <v>2.5</v>
      </c>
      <c r="E13" s="311" t="s">
        <v>137</v>
      </c>
      <c r="F13" s="10"/>
    </row>
    <row r="14" spans="2:8" x14ac:dyDescent="0.25">
      <c r="B14" s="310" t="s">
        <v>97</v>
      </c>
      <c r="C14" s="105">
        <v>3.4</v>
      </c>
      <c r="D14" s="105">
        <v>4</v>
      </c>
      <c r="E14" s="311" t="s">
        <v>135</v>
      </c>
      <c r="F14" s="10"/>
    </row>
    <row r="15" spans="2:8" ht="15.75" thickBot="1" x14ac:dyDescent="0.3">
      <c r="B15" s="312" t="s">
        <v>147</v>
      </c>
      <c r="C15" s="313">
        <v>5</v>
      </c>
      <c r="D15" s="313" t="s">
        <v>148</v>
      </c>
      <c r="E15" s="314" t="s">
        <v>137</v>
      </c>
      <c r="F15" s="10"/>
    </row>
    <row r="17" spans="2:5" x14ac:dyDescent="0.25">
      <c r="B17" s="10" t="s">
        <v>149</v>
      </c>
    </row>
    <row r="26" spans="2:5" x14ac:dyDescent="0.25">
      <c r="B26" s="10" t="s">
        <v>150</v>
      </c>
      <c r="C26" s="10"/>
    </row>
    <row r="27" spans="2:5" ht="30.75" thickBot="1" x14ac:dyDescent="0.3">
      <c r="B27" s="58" t="s">
        <v>151</v>
      </c>
      <c r="C27" s="58" t="s">
        <v>152</v>
      </c>
      <c r="D27" s="58" t="s">
        <v>153</v>
      </c>
      <c r="E27" s="59" t="s">
        <v>36</v>
      </c>
    </row>
    <row r="28" spans="2:5" ht="15.75" thickBot="1" x14ac:dyDescent="0.3">
      <c r="B28" s="60" t="s">
        <v>154</v>
      </c>
      <c r="C28" s="60">
        <v>5.08</v>
      </c>
      <c r="D28" s="60">
        <v>9.66</v>
      </c>
      <c r="E28" s="61" t="s">
        <v>155</v>
      </c>
    </row>
    <row r="29" spans="2:5" ht="15.75" thickBot="1" x14ac:dyDescent="0.3">
      <c r="B29" s="60" t="s">
        <v>156</v>
      </c>
      <c r="C29" s="60">
        <v>5.0999999999999997E-2</v>
      </c>
      <c r="D29" s="60">
        <v>0.51</v>
      </c>
      <c r="E29" s="61" t="s">
        <v>155</v>
      </c>
    </row>
    <row r="30" spans="2:5" ht="15.75" thickBot="1" x14ac:dyDescent="0.3">
      <c r="B30" s="60" t="s">
        <v>157</v>
      </c>
      <c r="C30" s="60">
        <v>0.14000000000000001</v>
      </c>
      <c r="D30" s="60">
        <v>0.48</v>
      </c>
      <c r="E30" s="61" t="s">
        <v>155</v>
      </c>
    </row>
    <row r="31" spans="2:5" ht="30.75" thickBot="1" x14ac:dyDescent="0.3">
      <c r="B31" s="62" t="s">
        <v>158</v>
      </c>
      <c r="C31" s="63" t="s">
        <v>159</v>
      </c>
      <c r="D31" s="64" t="s">
        <v>160</v>
      </c>
      <c r="E31" s="65"/>
    </row>
    <row r="32" spans="2:5" ht="15.75" thickBot="1" x14ac:dyDescent="0.3">
      <c r="B32" s="60" t="s">
        <v>134</v>
      </c>
      <c r="C32" s="67">
        <v>1.75E-3</v>
      </c>
      <c r="D32" s="67">
        <v>2E-3</v>
      </c>
      <c r="E32" s="61" t="s">
        <v>161</v>
      </c>
    </row>
    <row r="33" spans="2:5" ht="15.75" thickBot="1" x14ac:dyDescent="0.3">
      <c r="B33" s="60" t="s">
        <v>138</v>
      </c>
      <c r="C33" s="67" t="s">
        <v>160</v>
      </c>
      <c r="D33" s="67" t="s">
        <v>160</v>
      </c>
      <c r="E33" s="61" t="s">
        <v>161</v>
      </c>
    </row>
    <row r="34" spans="2:5" ht="15.75" thickBot="1" x14ac:dyDescent="0.3">
      <c r="B34" s="60" t="s">
        <v>162</v>
      </c>
      <c r="C34" s="67" t="s">
        <v>163</v>
      </c>
      <c r="D34" s="67" t="s">
        <v>163</v>
      </c>
      <c r="E34" s="61" t="s">
        <v>161</v>
      </c>
    </row>
    <row r="35" spans="2:5" ht="15.75" thickBot="1" x14ac:dyDescent="0.3">
      <c r="B35" s="60" t="s">
        <v>164</v>
      </c>
      <c r="C35" s="67" t="s">
        <v>163</v>
      </c>
      <c r="D35" s="67" t="s">
        <v>163</v>
      </c>
      <c r="E35" s="61" t="s">
        <v>161</v>
      </c>
    </row>
    <row r="36" spans="2:5" ht="15.75" thickBot="1" x14ac:dyDescent="0.3">
      <c r="B36" s="60" t="s">
        <v>143</v>
      </c>
      <c r="C36" s="67" t="s">
        <v>163</v>
      </c>
      <c r="D36" s="67" t="s">
        <v>163</v>
      </c>
      <c r="E36" s="61" t="s">
        <v>161</v>
      </c>
    </row>
    <row r="37" spans="2:5" ht="15.75" thickBot="1" x14ac:dyDescent="0.3">
      <c r="B37" s="60" t="s">
        <v>144</v>
      </c>
      <c r="C37" s="67" t="s">
        <v>160</v>
      </c>
      <c r="D37" s="67" t="s">
        <v>160</v>
      </c>
      <c r="E37" s="61" t="s">
        <v>161</v>
      </c>
    </row>
    <row r="38" spans="2:5" ht="15.75" thickBot="1" x14ac:dyDescent="0.3">
      <c r="B38" s="60" t="s">
        <v>145</v>
      </c>
      <c r="C38" s="67" t="s">
        <v>163</v>
      </c>
      <c r="D38" s="67" t="s">
        <v>163</v>
      </c>
      <c r="E38" s="61" t="s">
        <v>161</v>
      </c>
    </row>
    <row r="39" spans="2:5" ht="15.75" thickBot="1" x14ac:dyDescent="0.3">
      <c r="B39" s="60" t="s">
        <v>97</v>
      </c>
      <c r="C39" s="67">
        <v>3.3999999999999998E-3</v>
      </c>
      <c r="D39" s="67">
        <v>4.0000000000000001E-3</v>
      </c>
      <c r="E39" s="61" t="s">
        <v>161</v>
      </c>
    </row>
    <row r="40" spans="2:5" ht="15.75" thickBot="1" x14ac:dyDescent="0.3">
      <c r="B40" s="60" t="s">
        <v>165</v>
      </c>
      <c r="C40" s="68">
        <v>0.12</v>
      </c>
      <c r="D40" s="68">
        <v>0.25</v>
      </c>
      <c r="E40" s="61" t="s">
        <v>161</v>
      </c>
    </row>
    <row r="41" spans="2:5" ht="15.75" thickBot="1" x14ac:dyDescent="0.3">
      <c r="B41" s="60" t="s">
        <v>166</v>
      </c>
      <c r="C41" s="68" t="s">
        <v>167</v>
      </c>
      <c r="D41" s="68" t="s">
        <v>160</v>
      </c>
      <c r="E41" s="61" t="s">
        <v>161</v>
      </c>
    </row>
    <row r="42" spans="2:5" ht="15.75" thickBot="1" x14ac:dyDescent="0.3">
      <c r="B42" s="60" t="s">
        <v>168</v>
      </c>
      <c r="C42" s="68">
        <v>0.14599999999999999</v>
      </c>
      <c r="D42" s="68">
        <v>0.26</v>
      </c>
      <c r="E42" s="61" t="s">
        <v>161</v>
      </c>
    </row>
    <row r="43" spans="2:5" ht="15.75" thickBot="1" x14ac:dyDescent="0.3">
      <c r="B43" s="60" t="s">
        <v>169</v>
      </c>
      <c r="C43" s="68">
        <v>0.23300000000000001</v>
      </c>
      <c r="D43" s="68">
        <v>0.4</v>
      </c>
      <c r="E43" s="61" t="s">
        <v>161</v>
      </c>
    </row>
    <row r="44" spans="2:5" ht="15.75" thickBot="1" x14ac:dyDescent="0.3">
      <c r="B44" s="60" t="s">
        <v>170</v>
      </c>
      <c r="C44" s="68">
        <v>2825</v>
      </c>
      <c r="D44" s="68">
        <v>2930</v>
      </c>
      <c r="E44" s="61" t="s">
        <v>161</v>
      </c>
    </row>
    <row r="45" spans="2:5" ht="45.75" thickBot="1" x14ac:dyDescent="0.3">
      <c r="B45" s="62" t="s">
        <v>171</v>
      </c>
      <c r="C45" s="69"/>
      <c r="D45" s="69"/>
      <c r="E45" s="66"/>
    </row>
    <row r="46" spans="2:5" ht="18.75" thickBot="1" x14ac:dyDescent="0.3">
      <c r="B46" s="60" t="s">
        <v>172</v>
      </c>
      <c r="C46" s="68" t="s">
        <v>173</v>
      </c>
      <c r="D46" s="68" t="s">
        <v>173</v>
      </c>
      <c r="E46" s="61" t="s">
        <v>161</v>
      </c>
    </row>
    <row r="47" spans="2:5" ht="18.75" thickBot="1" x14ac:dyDescent="0.3">
      <c r="B47" s="60" t="s">
        <v>174</v>
      </c>
      <c r="C47" s="68" t="s">
        <v>167</v>
      </c>
      <c r="D47" s="68" t="s">
        <v>167</v>
      </c>
      <c r="E47" s="61" t="s">
        <v>161</v>
      </c>
    </row>
    <row r="48" spans="2:5" ht="33.75" thickBot="1" x14ac:dyDescent="0.3">
      <c r="B48" s="60" t="s">
        <v>175</v>
      </c>
      <c r="C48" s="68">
        <v>6.8000000000000005E-2</v>
      </c>
      <c r="D48" s="68">
        <v>0.12</v>
      </c>
      <c r="E48" s="61" t="s">
        <v>161</v>
      </c>
    </row>
    <row r="49" spans="2:5" ht="30.75" thickBot="1" x14ac:dyDescent="0.3">
      <c r="B49" s="60" t="s">
        <v>176</v>
      </c>
      <c r="C49" s="68" t="s">
        <v>177</v>
      </c>
      <c r="D49" s="68" t="s">
        <v>167</v>
      </c>
      <c r="E49" s="61" t="s">
        <v>161</v>
      </c>
    </row>
    <row r="50" spans="2:5" ht="30.75" thickBot="1" x14ac:dyDescent="0.3">
      <c r="B50" s="60" t="s">
        <v>178</v>
      </c>
      <c r="C50" s="68">
        <v>113</v>
      </c>
      <c r="D50" s="68">
        <v>527</v>
      </c>
      <c r="E50" s="61" t="s">
        <v>161</v>
      </c>
    </row>
    <row r="51" spans="2:5" x14ac:dyDescent="0.25">
      <c r="B51" s="90" t="s">
        <v>84</v>
      </c>
      <c r="C51">
        <v>8.1</v>
      </c>
      <c r="D51">
        <v>8.11</v>
      </c>
    </row>
  </sheetData>
  <pageMargins left="0.7" right="0.7" top="0.75" bottom="0.75" header="0.3" footer="0.3"/>
  <pageSetup paperSize="9"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C6B1-DD09-4D77-A911-0C9046290AC6}">
  <sheetPr>
    <tabColor theme="8" tint="0.79998168889431442"/>
    <pageSetUpPr fitToPage="1"/>
  </sheetPr>
  <dimension ref="B1:AG32"/>
  <sheetViews>
    <sheetView zoomScale="79" zoomScaleNormal="85" workbookViewId="0">
      <pane xSplit="4" ySplit="4" topLeftCell="E5" activePane="bottomRight" state="frozen"/>
      <selection pane="topRight" activeCell="E1" sqref="E1"/>
      <selection pane="bottomLeft" activeCell="A4" sqref="A4"/>
      <selection pane="bottomRight" activeCell="C11" sqref="C11"/>
    </sheetView>
  </sheetViews>
  <sheetFormatPr defaultRowHeight="15" x14ac:dyDescent="0.25"/>
  <cols>
    <col min="1" max="1" width="13.42578125" customWidth="1"/>
    <col min="2" max="2" width="20.42578125" customWidth="1"/>
    <col min="3" max="3" width="14" customWidth="1"/>
    <col min="4" max="4" width="13.140625" bestFit="1" customWidth="1"/>
    <col min="5" max="5" width="13.5703125" customWidth="1"/>
    <col min="6" max="6" width="13.28515625" customWidth="1"/>
    <col min="7" max="7" width="12.85546875" customWidth="1"/>
    <col min="8" max="8" width="13.7109375" customWidth="1"/>
    <col min="9" max="10" width="11.42578125" customWidth="1"/>
    <col min="11" max="13" width="9.85546875" customWidth="1"/>
    <col min="14" max="14" width="13.28515625" style="8" customWidth="1"/>
    <col min="15" max="15" width="12.42578125" style="8" customWidth="1"/>
    <col min="16" max="16" width="12.85546875" customWidth="1"/>
    <col min="17" max="17" width="7" customWidth="1"/>
    <col min="18" max="18" width="17.85546875" customWidth="1"/>
    <col min="19" max="19" width="17.28515625" customWidth="1"/>
    <col min="20" max="20" width="13.42578125" customWidth="1"/>
    <col min="21" max="21" width="13.140625" bestFit="1" customWidth="1"/>
    <col min="22" max="23" width="16" customWidth="1"/>
    <col min="24" max="24" width="10.5703125" customWidth="1"/>
    <col min="25" max="25" width="10.42578125" customWidth="1"/>
    <col min="26" max="26" width="9.140625" customWidth="1"/>
    <col min="27" max="27" width="12.42578125" customWidth="1"/>
    <col min="28" max="28" width="15.85546875" customWidth="1"/>
    <col min="29" max="29" width="6" customWidth="1"/>
    <col min="30" max="30" width="12.28515625" customWidth="1"/>
    <col min="31" max="31" width="9.140625" customWidth="1"/>
    <col min="32" max="32" width="12.140625" bestFit="1" customWidth="1"/>
    <col min="33" max="33" width="11.28515625" bestFit="1" customWidth="1"/>
  </cols>
  <sheetData>
    <row r="1" spans="2:33" x14ac:dyDescent="0.25">
      <c r="B1" s="10" t="s">
        <v>179</v>
      </c>
      <c r="R1" s="11"/>
      <c r="S1" s="10"/>
    </row>
    <row r="2" spans="2:33" ht="15.75" thickBot="1" x14ac:dyDescent="0.3">
      <c r="B2" t="s">
        <v>180</v>
      </c>
      <c r="R2" s="468" t="s">
        <v>181</v>
      </c>
      <c r="S2" s="469"/>
      <c r="T2" s="469"/>
      <c r="U2" s="469"/>
      <c r="V2" s="469"/>
      <c r="W2" s="469"/>
      <c r="X2" s="469"/>
      <c r="Y2" s="469"/>
      <c r="Z2" s="469"/>
      <c r="AA2" s="469"/>
      <c r="AB2" s="469"/>
      <c r="AC2" s="469"/>
      <c r="AD2" s="469"/>
      <c r="AE2" s="469"/>
      <c r="AF2" s="469"/>
      <c r="AG2" s="469"/>
    </row>
    <row r="3" spans="2:33" s="1" customFormat="1" ht="45.6" customHeight="1" x14ac:dyDescent="0.25">
      <c r="B3" s="473" t="s">
        <v>182</v>
      </c>
      <c r="C3" s="474"/>
      <c r="D3" s="474"/>
      <c r="E3" s="474"/>
      <c r="F3" s="474"/>
      <c r="G3" s="474"/>
      <c r="H3" s="474"/>
      <c r="I3" s="474"/>
      <c r="J3" s="474"/>
      <c r="K3" s="474"/>
      <c r="L3" s="474"/>
      <c r="M3" s="474"/>
      <c r="N3" s="474"/>
      <c r="O3" s="474"/>
      <c r="P3" s="475"/>
      <c r="Q3" s="2"/>
      <c r="R3" s="470" t="s">
        <v>183</v>
      </c>
      <c r="S3" s="471"/>
      <c r="T3" s="470" t="s">
        <v>184</v>
      </c>
      <c r="U3" s="471"/>
      <c r="V3" s="465" t="s">
        <v>185</v>
      </c>
      <c r="W3" s="466"/>
      <c r="X3" s="466"/>
      <c r="Y3" s="467"/>
      <c r="Z3" s="470" t="s">
        <v>186</v>
      </c>
      <c r="AA3" s="466"/>
      <c r="AB3" s="471"/>
      <c r="AC3" s="470" t="s">
        <v>187</v>
      </c>
      <c r="AD3" s="466"/>
      <c r="AE3" s="466"/>
      <c r="AF3" s="466"/>
      <c r="AG3" s="471"/>
    </row>
    <row r="4" spans="2:33" ht="90" x14ac:dyDescent="0.25">
      <c r="B4" s="277" t="s">
        <v>188</v>
      </c>
      <c r="C4" s="278" t="s">
        <v>189</v>
      </c>
      <c r="D4" s="84" t="s">
        <v>190</v>
      </c>
      <c r="E4" s="84" t="s">
        <v>191</v>
      </c>
      <c r="F4" s="168" t="s">
        <v>192</v>
      </c>
      <c r="G4" s="169" t="s">
        <v>193</v>
      </c>
      <c r="H4" s="170" t="s">
        <v>194</v>
      </c>
      <c r="I4" s="84" t="s">
        <v>195</v>
      </c>
      <c r="J4" s="168" t="s">
        <v>196</v>
      </c>
      <c r="K4" s="167" t="s">
        <v>197</v>
      </c>
      <c r="L4" s="84" t="s">
        <v>198</v>
      </c>
      <c r="M4" s="168" t="s">
        <v>199</v>
      </c>
      <c r="N4" s="171" t="s">
        <v>200</v>
      </c>
      <c r="O4" s="172" t="s">
        <v>201</v>
      </c>
      <c r="P4" s="79" t="s">
        <v>202</v>
      </c>
      <c r="Q4" s="1"/>
      <c r="R4" s="4" t="s">
        <v>203</v>
      </c>
      <c r="S4" s="5" t="s">
        <v>204</v>
      </c>
      <c r="T4" s="4" t="s">
        <v>205</v>
      </c>
      <c r="U4" s="5" t="s">
        <v>206</v>
      </c>
      <c r="V4" s="4" t="s">
        <v>207</v>
      </c>
      <c r="W4" s="12" t="s">
        <v>208</v>
      </c>
      <c r="X4" s="463" t="s">
        <v>206</v>
      </c>
      <c r="Y4" s="464"/>
      <c r="Z4" s="78" t="s">
        <v>209</v>
      </c>
      <c r="AA4" s="84" t="s">
        <v>210</v>
      </c>
      <c r="AB4" s="79" t="s">
        <v>211</v>
      </c>
      <c r="AC4" s="6" t="s">
        <v>212</v>
      </c>
      <c r="AD4" s="12" t="s">
        <v>213</v>
      </c>
      <c r="AE4" s="12" t="s">
        <v>214</v>
      </c>
      <c r="AF4" s="12" t="s">
        <v>215</v>
      </c>
      <c r="AG4" s="5" t="s">
        <v>216</v>
      </c>
    </row>
    <row r="5" spans="2:33" x14ac:dyDescent="0.25">
      <c r="B5" s="173" t="s">
        <v>217</v>
      </c>
      <c r="C5" s="43">
        <f>'2.Ammonia Calculations'!F58</f>
        <v>37.80023688584285</v>
      </c>
      <c r="D5" s="38">
        <f>'2.Ammonia Calculations'!F61</f>
        <v>40.707947415523066</v>
      </c>
      <c r="E5" s="42">
        <f t="shared" ref="E5:E14" si="0">$G$17</f>
        <v>4.4421296296296299E-2</v>
      </c>
      <c r="F5" s="44">
        <f>E5</f>
        <v>4.4421296296296299E-2</v>
      </c>
      <c r="G5" s="40">
        <f>C5*E5</f>
        <v>1.6791355227762137</v>
      </c>
      <c r="H5" s="38">
        <f>D5*F5</f>
        <v>1.8082997937589993</v>
      </c>
      <c r="I5" s="30">
        <v>11</v>
      </c>
      <c r="J5" s="70" t="s">
        <v>49</v>
      </c>
      <c r="K5" s="17">
        <f>SUM(G5/(N5-I5))</f>
        <v>0.16791355227762136</v>
      </c>
      <c r="L5" s="31" t="s">
        <v>49</v>
      </c>
      <c r="M5" s="70">
        <v>9.5</v>
      </c>
      <c r="N5" s="36">
        <v>21</v>
      </c>
      <c r="O5" s="31" t="s">
        <v>49</v>
      </c>
      <c r="P5" s="174" t="s">
        <v>218</v>
      </c>
      <c r="Q5" s="53"/>
      <c r="R5" s="7" t="str">
        <f t="shared" ref="R5:R14" si="1">IF(N5="N/A", "N/A", IF(C5&lt;N5, "Pass","Fail"))</f>
        <v>Fail</v>
      </c>
      <c r="S5" s="19" t="str">
        <f t="shared" ref="S5:S14" si="2">IF(O5="N/A", "N/A", IF(D5&lt;O5, "Pass","Fail"))</f>
        <v>N/A</v>
      </c>
      <c r="T5" s="3" t="s">
        <v>219</v>
      </c>
      <c r="U5" s="51" t="str" cm="1">
        <f t="array" ref="U5">_xlfn.IFS(T5="yes","Model", T5="no","No model")</f>
        <v>No model</v>
      </c>
      <c r="V5" s="3" t="s">
        <v>219</v>
      </c>
      <c r="W5" s="9" t="s">
        <v>219</v>
      </c>
      <c r="X5" s="9" t="str" cm="1">
        <f t="array" ref="X5">_xlfn.IFS(V5 ="yes","model", V5="no","No Model")</f>
        <v>No Model</v>
      </c>
      <c r="Y5" s="73" t="str" cm="1">
        <f t="array" ref="Y5">_xlfn.IFS(W5 ="yes","model",W5="no","No model")</f>
        <v>No model</v>
      </c>
      <c r="Z5" s="85" t="str">
        <f t="shared" ref="Z5:Z14" si="3">IF(M5&lt;3.5, "Yes","No")</f>
        <v>No</v>
      </c>
      <c r="AA5" s="33" t="str">
        <f t="shared" ref="AA5:AA14" si="4">IF(K5&lt;=3.5,"Yes","No")</f>
        <v>Yes</v>
      </c>
      <c r="AB5" s="80" t="s">
        <v>49</v>
      </c>
      <c r="AC5" s="88"/>
      <c r="AD5" s="20"/>
      <c r="AE5" s="20"/>
      <c r="AF5" s="20"/>
      <c r="AG5" s="19"/>
    </row>
    <row r="6" spans="2:33" x14ac:dyDescent="0.25">
      <c r="B6" s="173" t="s">
        <v>134</v>
      </c>
      <c r="C6" s="43">
        <f>'1.Sample Analysis'!O10</f>
        <v>0.78456910569105698</v>
      </c>
      <c r="D6" s="38">
        <f>'1.Sample Analysis'!P10</f>
        <v>1.0622926829268293</v>
      </c>
      <c r="E6" s="42">
        <f t="shared" si="0"/>
        <v>4.4421296296296299E-2</v>
      </c>
      <c r="F6" s="44">
        <f t="shared" ref="F6:F12" si="5">E6</f>
        <v>4.4421296296296299E-2</v>
      </c>
      <c r="G6" s="40">
        <f t="shared" ref="G6:H14" si="6">C6*E6</f>
        <v>3.4851576708822649E-2</v>
      </c>
      <c r="H6" s="38">
        <f t="shared" ref="H6:H14" si="7">D6*F6</f>
        <v>4.7188418021680223E-2</v>
      </c>
      <c r="I6" s="30">
        <f>'3.Background Concentrations'!C4</f>
        <v>1.75</v>
      </c>
      <c r="J6" s="70" t="s">
        <v>49</v>
      </c>
      <c r="K6" s="17">
        <f t="shared" ref="K6:K14" si="8">SUM(G6/(N6-I6))</f>
        <v>1.4989925466160278E-3</v>
      </c>
      <c r="L6" s="31" t="s">
        <v>49</v>
      </c>
      <c r="M6" s="70">
        <v>9.5</v>
      </c>
      <c r="N6" s="37">
        <v>25</v>
      </c>
      <c r="O6" s="31" t="s">
        <v>49</v>
      </c>
      <c r="P6" s="174" t="s">
        <v>218</v>
      </c>
      <c r="Q6" s="53"/>
      <c r="R6" s="7" t="str">
        <f t="shared" si="1"/>
        <v>Pass</v>
      </c>
      <c r="S6" s="19" t="str">
        <f t="shared" si="2"/>
        <v>N/A</v>
      </c>
      <c r="T6" s="3" t="s">
        <v>219</v>
      </c>
      <c r="U6" s="51" t="str" cm="1">
        <f t="array" ref="U6">_xlfn.IFS(T6="yes","Model", T6="no","No model")</f>
        <v>No model</v>
      </c>
      <c r="V6" s="3" t="s">
        <v>219</v>
      </c>
      <c r="W6" s="9" t="s">
        <v>219</v>
      </c>
      <c r="X6" s="9" t="str" cm="1">
        <f t="array" ref="X6">_xlfn.IFS(V6 ="yes","model", V6="no","No Model")</f>
        <v>No Model</v>
      </c>
      <c r="Y6" s="73" t="str" cm="1">
        <f t="array" ref="Y6">_xlfn.IFS(W6 ="yes","model",W6="no","No model")</f>
        <v>No model</v>
      </c>
      <c r="Z6" s="85" t="str">
        <f t="shared" si="3"/>
        <v>No</v>
      </c>
      <c r="AA6" s="33" t="str">
        <f t="shared" si="4"/>
        <v>Yes</v>
      </c>
      <c r="AB6" s="80" t="s">
        <v>49</v>
      </c>
      <c r="AC6" s="88"/>
      <c r="AD6" s="20"/>
      <c r="AE6" s="20"/>
      <c r="AF6" s="20"/>
      <c r="AG6" s="19"/>
    </row>
    <row r="7" spans="2:33" x14ac:dyDescent="0.25">
      <c r="B7" s="173" t="s">
        <v>136</v>
      </c>
      <c r="C7" s="43">
        <f>'1.Sample Analysis'!O13</f>
        <v>531.14634146341461</v>
      </c>
      <c r="D7" s="38">
        <f>'1.Sample Analysis'!P13</f>
        <v>541.56097560975604</v>
      </c>
      <c r="E7" s="42">
        <f t="shared" si="0"/>
        <v>4.4421296296296299E-2</v>
      </c>
      <c r="F7" s="44">
        <f t="shared" si="5"/>
        <v>4.4421296296296299E-2</v>
      </c>
      <c r="G7" s="40">
        <f t="shared" si="6"/>
        <v>23.59420901084011</v>
      </c>
      <c r="H7" s="38">
        <f t="shared" si="7"/>
        <v>24.056840560072267</v>
      </c>
      <c r="I7" s="30">
        <f>'3.Background Concentrations'!C5</f>
        <v>3500</v>
      </c>
      <c r="J7" s="70" t="s">
        <v>49</v>
      </c>
      <c r="K7" s="17">
        <f t="shared" si="8"/>
        <v>6.7412025745257455E-3</v>
      </c>
      <c r="L7" s="31" t="s">
        <v>49</v>
      </c>
      <c r="M7" s="70">
        <v>9.5</v>
      </c>
      <c r="N7" s="36">
        <v>7000</v>
      </c>
      <c r="O7" s="31" t="s">
        <v>49</v>
      </c>
      <c r="P7" s="174" t="s">
        <v>218</v>
      </c>
      <c r="Q7" s="53"/>
      <c r="R7" s="7" t="str">
        <f t="shared" si="1"/>
        <v>Pass</v>
      </c>
      <c r="S7" s="19" t="str">
        <f t="shared" si="2"/>
        <v>N/A</v>
      </c>
      <c r="T7" s="3" t="s">
        <v>219</v>
      </c>
      <c r="U7" s="51" t="str" cm="1">
        <f t="array" ref="U7">_xlfn.IFS(T7="yes","Model", T7="no","No model")</f>
        <v>No model</v>
      </c>
      <c r="V7" s="3" t="s">
        <v>219</v>
      </c>
      <c r="W7" s="9" t="s">
        <v>219</v>
      </c>
      <c r="X7" s="9" t="str" cm="1">
        <f t="array" ref="X7">_xlfn.IFS(V7 ="yes","model", V7="no","No Model")</f>
        <v>No Model</v>
      </c>
      <c r="Y7" s="73" t="str" cm="1">
        <f t="array" ref="Y7">_xlfn.IFS(W7 ="yes","model",W7="no","No model")</f>
        <v>No model</v>
      </c>
      <c r="Z7" s="85" t="str">
        <f t="shared" si="3"/>
        <v>No</v>
      </c>
      <c r="AA7" s="33" t="str">
        <f t="shared" si="4"/>
        <v>Yes</v>
      </c>
      <c r="AB7" s="80" t="s">
        <v>49</v>
      </c>
      <c r="AC7" s="88"/>
      <c r="AD7" s="20"/>
      <c r="AE7" s="20"/>
      <c r="AF7" s="20"/>
      <c r="AG7" s="19"/>
    </row>
    <row r="8" spans="2:33" x14ac:dyDescent="0.25">
      <c r="B8" s="173" t="s">
        <v>138</v>
      </c>
      <c r="C8" s="43">
        <f>'1.Sample Analysis'!O14</f>
        <v>2.0829268292682928E-2</v>
      </c>
      <c r="D8" s="38">
        <f>'1.Sample Analysis'!P14</f>
        <v>2.0829268292682928E-2</v>
      </c>
      <c r="E8" s="42">
        <f t="shared" si="0"/>
        <v>4.4421296296296299E-2</v>
      </c>
      <c r="F8" s="44">
        <f t="shared" si="5"/>
        <v>4.4421296296296299E-2</v>
      </c>
      <c r="G8" s="40">
        <f t="shared" si="6"/>
        <v>9.2526309846431803E-4</v>
      </c>
      <c r="H8" s="38">
        <f t="shared" si="7"/>
        <v>9.2526309846431803E-4</v>
      </c>
      <c r="I8" s="30">
        <f>'3.Background Concentrations'!C6</f>
        <v>0.1</v>
      </c>
      <c r="J8" s="70" t="s">
        <v>49</v>
      </c>
      <c r="K8" s="17">
        <f t="shared" si="8"/>
        <v>9.252630984643179E-3</v>
      </c>
      <c r="L8" s="31" t="s">
        <v>49</v>
      </c>
      <c r="M8" s="70">
        <v>9.5</v>
      </c>
      <c r="N8" s="36">
        <v>0.2</v>
      </c>
      <c r="O8" s="31" t="s">
        <v>49</v>
      </c>
      <c r="P8" s="174" t="s">
        <v>218</v>
      </c>
      <c r="Q8" s="53"/>
      <c r="R8" s="7" t="str">
        <f t="shared" si="1"/>
        <v>Pass</v>
      </c>
      <c r="S8" s="19" t="str">
        <f t="shared" si="2"/>
        <v>N/A</v>
      </c>
      <c r="T8" s="3" t="s">
        <v>219</v>
      </c>
      <c r="U8" s="51" t="str" cm="1">
        <f t="array" ref="U8">_xlfn.IFS(T8="yes","Model", T8="no","No model")</f>
        <v>No model</v>
      </c>
      <c r="V8" s="3" t="s">
        <v>219</v>
      </c>
      <c r="W8" s="9" t="s">
        <v>219</v>
      </c>
      <c r="X8" s="9" t="str" cm="1">
        <f t="array" ref="X8">_xlfn.IFS(V8 ="yes","model", V8="no","No Model")</f>
        <v>No Model</v>
      </c>
      <c r="Y8" s="73" t="str" cm="1">
        <f t="array" ref="Y8">_xlfn.IFS(W8 ="yes","model",W8="no","No model")</f>
        <v>No model</v>
      </c>
      <c r="Z8" s="85" t="str">
        <f t="shared" si="3"/>
        <v>No</v>
      </c>
      <c r="AA8" s="33" t="str">
        <f t="shared" si="4"/>
        <v>Yes</v>
      </c>
      <c r="AB8" s="80" t="s">
        <v>49</v>
      </c>
      <c r="AC8" s="83">
        <v>5</v>
      </c>
      <c r="AD8" s="9">
        <f>SUM(G8/1000)</f>
        <v>9.2526309846431808E-7</v>
      </c>
      <c r="AE8" s="9">
        <f>AD8/1000</f>
        <v>9.2526309846431812E-10</v>
      </c>
      <c r="AF8" s="9">
        <f>AE8*365</f>
        <v>3.3772103093947612E-7</v>
      </c>
      <c r="AG8" s="32" t="str">
        <f>IF(AF8&lt;AC8,"Yes","No")</f>
        <v>Yes</v>
      </c>
    </row>
    <row r="9" spans="2:33" x14ac:dyDescent="0.25">
      <c r="B9" s="173" t="s">
        <v>141</v>
      </c>
      <c r="C9" s="43">
        <f>'1.Sample Analysis'!O19</f>
        <v>5.8669105691056904</v>
      </c>
      <c r="D9" s="38">
        <f>'1.Sample Analysis'!P19</f>
        <v>8.4358536585365851</v>
      </c>
      <c r="E9" s="42">
        <f t="shared" si="0"/>
        <v>4.4421296296296299E-2</v>
      </c>
      <c r="F9" s="44">
        <f t="shared" si="5"/>
        <v>4.4421296296296299E-2</v>
      </c>
      <c r="G9" s="40">
        <f t="shared" si="6"/>
        <v>0.26061577273411624</v>
      </c>
      <c r="H9" s="38">
        <f t="shared" si="7"/>
        <v>0.37473155487804877</v>
      </c>
      <c r="I9" s="30">
        <f>'3.Background Concentrations'!C8</f>
        <v>0.5</v>
      </c>
      <c r="J9" s="70" t="s">
        <v>49</v>
      </c>
      <c r="K9" s="17">
        <f t="shared" si="8"/>
        <v>7.994348856874732E-2</v>
      </c>
      <c r="L9" s="31" t="s">
        <v>49</v>
      </c>
      <c r="M9" s="70">
        <v>9.5</v>
      </c>
      <c r="N9" s="39">
        <v>3.76</v>
      </c>
      <c r="O9" s="31" t="s">
        <v>49</v>
      </c>
      <c r="P9" s="174" t="s">
        <v>218</v>
      </c>
      <c r="Q9" s="53"/>
      <c r="R9" s="7" t="str">
        <f t="shared" si="1"/>
        <v>Fail</v>
      </c>
      <c r="S9" s="19" t="str">
        <f t="shared" si="2"/>
        <v>N/A</v>
      </c>
      <c r="T9" s="3" t="s">
        <v>219</v>
      </c>
      <c r="U9" s="51" t="str" cm="1">
        <f t="array" ref="U9">_xlfn.IFS(T9="yes","Model", T9="no","No model")</f>
        <v>No model</v>
      </c>
      <c r="V9" s="3" t="s">
        <v>219</v>
      </c>
      <c r="W9" s="9" t="s">
        <v>219</v>
      </c>
      <c r="X9" s="9" t="str" cm="1">
        <f t="array" ref="X9">_xlfn.IFS(V9 ="yes","model", V9="no","No Model")</f>
        <v>No Model</v>
      </c>
      <c r="Y9" s="73" t="str" cm="1">
        <f t="array" ref="Y9">_xlfn.IFS(W9 ="yes","model",W9="no","No model")</f>
        <v>No model</v>
      </c>
      <c r="Z9" s="85" t="str">
        <f t="shared" si="3"/>
        <v>No</v>
      </c>
      <c r="AA9" s="33" t="str">
        <f t="shared" si="4"/>
        <v>Yes</v>
      </c>
      <c r="AB9" s="80" t="s">
        <v>49</v>
      </c>
      <c r="AC9" s="88"/>
      <c r="AD9" s="20"/>
      <c r="AE9" s="20"/>
      <c r="AF9" s="20"/>
      <c r="AG9" s="19"/>
    </row>
    <row r="10" spans="2:33" x14ac:dyDescent="0.25">
      <c r="B10" s="173" t="s">
        <v>142</v>
      </c>
      <c r="C10" s="43">
        <f>'1.Sample Analysis'!O21</f>
        <v>385.34146341463418</v>
      </c>
      <c r="D10" s="38">
        <f>'1.Sample Analysis'!P21</f>
        <v>1041.4634146341464</v>
      </c>
      <c r="E10" s="42">
        <f t="shared" si="0"/>
        <v>4.4421296296296299E-2</v>
      </c>
      <c r="F10" s="44">
        <f t="shared" si="5"/>
        <v>4.4421296296296299E-2</v>
      </c>
      <c r="G10" s="40">
        <f t="shared" si="6"/>
        <v>17.117367321589885</v>
      </c>
      <c r="H10" s="38">
        <f t="shared" si="7"/>
        <v>46.2631549232159</v>
      </c>
      <c r="I10" s="30">
        <f>'3.Background Concentrations'!C9</f>
        <v>100</v>
      </c>
      <c r="J10" s="70" t="s">
        <v>49</v>
      </c>
      <c r="K10" s="17">
        <f t="shared" si="8"/>
        <v>1.901929702398876E-2</v>
      </c>
      <c r="L10" s="31" t="s">
        <v>49</v>
      </c>
      <c r="M10" s="70">
        <v>9.5</v>
      </c>
      <c r="N10" s="39">
        <v>1000</v>
      </c>
      <c r="O10" s="31" t="s">
        <v>49</v>
      </c>
      <c r="P10" s="174" t="s">
        <v>218</v>
      </c>
      <c r="Q10" s="53"/>
      <c r="R10" s="7" t="str">
        <f>IF(N10="N/A", "N/A", IF(C10&lt;N10, "Pass","Fail"))</f>
        <v>Pass</v>
      </c>
      <c r="S10" s="19" t="str">
        <f t="shared" si="2"/>
        <v>N/A</v>
      </c>
      <c r="T10" s="3" t="s">
        <v>219</v>
      </c>
      <c r="U10" s="51" t="str" cm="1">
        <f t="array" ref="U10">_xlfn.IFS(T10="yes","Model", T10="no","No model")</f>
        <v>No model</v>
      </c>
      <c r="V10" s="3" t="s">
        <v>219</v>
      </c>
      <c r="W10" s="9" t="s">
        <v>219</v>
      </c>
      <c r="X10" s="9" t="str" cm="1">
        <f t="array" ref="X10">_xlfn.IFS(V10 ="yes","model", V10="no","No Model")</f>
        <v>No Model</v>
      </c>
      <c r="Y10" s="73" t="str" cm="1">
        <f t="array" ref="Y10">_xlfn.IFS(W10 ="yes","model",W10="no","No model")</f>
        <v>No model</v>
      </c>
      <c r="Z10" s="85" t="str">
        <f t="shared" si="3"/>
        <v>No</v>
      </c>
      <c r="AA10" s="33" t="str">
        <f t="shared" si="4"/>
        <v>Yes</v>
      </c>
      <c r="AB10" s="80" t="s">
        <v>49</v>
      </c>
      <c r="AC10" s="88"/>
      <c r="AD10" s="20"/>
      <c r="AE10" s="20"/>
      <c r="AF10" s="20"/>
      <c r="AG10" s="19"/>
    </row>
    <row r="11" spans="2:33" x14ac:dyDescent="0.25">
      <c r="B11" s="173" t="s">
        <v>143</v>
      </c>
      <c r="C11" s="43">
        <f>'1.Sample Analysis'!O22</f>
        <v>0.20829268292682931</v>
      </c>
      <c r="D11" s="38">
        <f>'1.Sample Analysis'!P22</f>
        <v>0.20829268292682929</v>
      </c>
      <c r="E11" s="42">
        <f t="shared" si="0"/>
        <v>4.4421296296296299E-2</v>
      </c>
      <c r="F11" s="44">
        <f t="shared" si="5"/>
        <v>4.4421296296296299E-2</v>
      </c>
      <c r="G11" s="40">
        <f t="shared" si="6"/>
        <v>9.2526309846431825E-3</v>
      </c>
      <c r="H11" s="38">
        <f t="shared" si="7"/>
        <v>9.2526309846431808E-3</v>
      </c>
      <c r="I11" s="30">
        <f>'3.Background Concentrations'!C10</f>
        <v>0.5</v>
      </c>
      <c r="J11" s="70">
        <f>'3.Background Concentrations'!D10</f>
        <v>0.5</v>
      </c>
      <c r="K11" s="17">
        <f t="shared" si="8"/>
        <v>1.1565788730803977E-2</v>
      </c>
      <c r="L11" s="54">
        <f t="shared" ref="L11:L12" si="9">SUM(H11/(O11-J11))</f>
        <v>6.853800729365319E-4</v>
      </c>
      <c r="M11" s="70">
        <v>9.5</v>
      </c>
      <c r="N11" s="39">
        <v>1.3</v>
      </c>
      <c r="O11" s="48">
        <v>14</v>
      </c>
      <c r="P11" s="174" t="s">
        <v>218</v>
      </c>
      <c r="Q11" s="53"/>
      <c r="R11" s="7" t="str">
        <f t="shared" si="1"/>
        <v>Pass</v>
      </c>
      <c r="S11" s="28" t="str">
        <f t="shared" si="2"/>
        <v>Pass</v>
      </c>
      <c r="T11" s="3" t="s">
        <v>219</v>
      </c>
      <c r="U11" s="51" t="str" cm="1">
        <f t="array" ref="U11">_xlfn.IFS(T11="yes","Model", T11="no","No model")</f>
        <v>No model</v>
      </c>
      <c r="V11" s="3" t="s">
        <v>219</v>
      </c>
      <c r="W11" s="9" t="s">
        <v>219</v>
      </c>
      <c r="X11" s="9" t="str" cm="1">
        <f t="array" ref="X11">_xlfn.IFS(V11 ="yes","model", V11="no","No Model")</f>
        <v>No Model</v>
      </c>
      <c r="Y11" s="73" t="str" cm="1">
        <f t="array" ref="Y11">_xlfn.IFS(W11 ="yes","model",W11="no","No model")</f>
        <v>No model</v>
      </c>
      <c r="Z11" s="85" t="str">
        <f t="shared" si="3"/>
        <v>No</v>
      </c>
      <c r="AA11" s="33" t="str">
        <f t="shared" si="4"/>
        <v>Yes</v>
      </c>
      <c r="AB11" s="81" t="str">
        <f t="shared" ref="AB11:AB12" si="10">IF(L11&lt;=3.5,"Yes","No")</f>
        <v>Yes</v>
      </c>
      <c r="AC11" s="88"/>
      <c r="AD11" s="20"/>
      <c r="AE11" s="20"/>
      <c r="AF11" s="20"/>
      <c r="AG11" s="19"/>
    </row>
    <row r="12" spans="2:33" x14ac:dyDescent="0.25">
      <c r="B12" s="173" t="s">
        <v>145</v>
      </c>
      <c r="C12" s="43">
        <f>'1.Sample Analysis'!O28</f>
        <v>1.1108943089430894</v>
      </c>
      <c r="D12" s="38">
        <f>'1.Sample Analysis'!P28</f>
        <v>1.4580487804878048</v>
      </c>
      <c r="E12" s="42">
        <f t="shared" si="0"/>
        <v>4.4421296296296299E-2</v>
      </c>
      <c r="F12" s="44">
        <f t="shared" si="5"/>
        <v>4.4421296296296299E-2</v>
      </c>
      <c r="G12" s="40">
        <f t="shared" si="6"/>
        <v>4.934736525143029E-2</v>
      </c>
      <c r="H12" s="40">
        <f t="shared" si="6"/>
        <v>6.4768416892502262E-2</v>
      </c>
      <c r="I12" s="30">
        <f>'3.Background Concentrations'!C12</f>
        <v>0.5</v>
      </c>
      <c r="J12" s="70">
        <f>'3.Background Concentrations'!D12</f>
        <v>0.5</v>
      </c>
      <c r="K12" s="17">
        <f t="shared" si="8"/>
        <v>6.0922673149913942E-3</v>
      </c>
      <c r="L12" s="54">
        <f t="shared" si="9"/>
        <v>1.9333855788806645E-3</v>
      </c>
      <c r="M12" s="70">
        <v>9.5</v>
      </c>
      <c r="N12" s="39">
        <v>8.6</v>
      </c>
      <c r="O12" s="48">
        <v>34</v>
      </c>
      <c r="P12" s="174" t="s">
        <v>218</v>
      </c>
      <c r="Q12" s="53"/>
      <c r="R12" s="7" t="str">
        <f t="shared" si="1"/>
        <v>Pass</v>
      </c>
      <c r="S12" s="28" t="str">
        <f t="shared" si="2"/>
        <v>Pass</v>
      </c>
      <c r="T12" s="3" t="s">
        <v>219</v>
      </c>
      <c r="U12" s="51" t="str" cm="1">
        <f t="array" ref="U12">_xlfn.IFS(T12="yes","Model", T12="no","No model")</f>
        <v>No model</v>
      </c>
      <c r="V12" s="3" t="s">
        <v>219</v>
      </c>
      <c r="W12" s="9" t="s">
        <v>219</v>
      </c>
      <c r="X12" s="9" t="str" cm="1">
        <f t="array" ref="X12">_xlfn.IFS(V12 ="yes","model", V12="no","No Model")</f>
        <v>No Model</v>
      </c>
      <c r="Y12" s="73" t="str" cm="1">
        <f t="array" ref="Y12">_xlfn.IFS(W12 ="yes","model",W12="no","No model")</f>
        <v>No model</v>
      </c>
      <c r="Z12" s="85" t="str">
        <f t="shared" si="3"/>
        <v>No</v>
      </c>
      <c r="AA12" s="33" t="str">
        <f t="shared" si="4"/>
        <v>Yes</v>
      </c>
      <c r="AB12" s="81" t="str">
        <f t="shared" si="10"/>
        <v>Yes</v>
      </c>
      <c r="AC12" s="88"/>
      <c r="AD12" s="20"/>
      <c r="AE12" s="20"/>
      <c r="AF12" s="20"/>
      <c r="AG12" s="19"/>
    </row>
    <row r="13" spans="2:33" x14ac:dyDescent="0.25">
      <c r="B13" s="173" t="s">
        <v>97</v>
      </c>
      <c r="C13" s="43">
        <f>'1.Sample Analysis'!O39</f>
        <v>54.503252032520322</v>
      </c>
      <c r="D13" s="38">
        <f>'1.Sample Analysis'!P39</f>
        <v>64.57073170731708</v>
      </c>
      <c r="E13" s="42">
        <f t="shared" si="0"/>
        <v>4.4421296296296299E-2</v>
      </c>
      <c r="F13" s="44">
        <f t="shared" ref="F13:F14" si="11">E13</f>
        <v>4.4421296296296299E-2</v>
      </c>
      <c r="G13" s="40">
        <f t="shared" si="6"/>
        <v>2.4211051076482986</v>
      </c>
      <c r="H13" s="38">
        <f t="shared" si="7"/>
        <v>2.8683156052393861</v>
      </c>
      <c r="I13" s="30">
        <f>'3.Background Concentrations'!C14</f>
        <v>3.4</v>
      </c>
      <c r="J13" s="70" t="s">
        <v>49</v>
      </c>
      <c r="K13" s="17">
        <f t="shared" si="8"/>
        <v>0.71208973754361726</v>
      </c>
      <c r="L13" s="31" t="s">
        <v>49</v>
      </c>
      <c r="M13" s="70">
        <v>9.5</v>
      </c>
      <c r="N13" s="71">
        <v>6.8</v>
      </c>
      <c r="O13" s="31" t="s">
        <v>49</v>
      </c>
      <c r="P13" s="174" t="s">
        <v>218</v>
      </c>
      <c r="Q13" s="53"/>
      <c r="R13" s="7" t="str">
        <f t="shared" si="1"/>
        <v>Fail</v>
      </c>
      <c r="S13" s="19" t="str">
        <f t="shared" si="2"/>
        <v>N/A</v>
      </c>
      <c r="T13" s="3" t="s">
        <v>219</v>
      </c>
      <c r="U13" s="51" t="str" cm="1">
        <f t="array" ref="U13">_xlfn.IFS(T13="yes","Model", T13="no","No model")</f>
        <v>No model</v>
      </c>
      <c r="V13" s="3" t="s">
        <v>219</v>
      </c>
      <c r="W13" s="9" t="s">
        <v>219</v>
      </c>
      <c r="X13" s="9" t="str" cm="1">
        <f t="array" ref="X13">_xlfn.IFS(V13 ="yes","model", V13="no","No Model")</f>
        <v>No Model</v>
      </c>
      <c r="Y13" s="73" t="str" cm="1">
        <f t="array" ref="Y13">_xlfn.IFS(W13 ="yes","model",W13="no","No model")</f>
        <v>No model</v>
      </c>
      <c r="Z13" s="85" t="str">
        <f t="shared" si="3"/>
        <v>No</v>
      </c>
      <c r="AA13" s="33" t="str">
        <f t="shared" si="4"/>
        <v>Yes</v>
      </c>
      <c r="AB13" s="80" t="s">
        <v>49</v>
      </c>
      <c r="AC13" s="88"/>
      <c r="AD13" s="20"/>
      <c r="AE13" s="20"/>
      <c r="AF13" s="20"/>
      <c r="AG13" s="19"/>
    </row>
    <row r="14" spans="2:33" x14ac:dyDescent="0.25">
      <c r="B14" s="279" t="s">
        <v>147</v>
      </c>
      <c r="C14" s="280">
        <f>'1.Sample Analysis'!O38</f>
        <v>0.20829268292682931</v>
      </c>
      <c r="D14" s="178">
        <f>'1.Sample Analysis'!P38</f>
        <v>0.20829268292682929</v>
      </c>
      <c r="E14" s="179">
        <f t="shared" si="0"/>
        <v>4.4421296296296299E-2</v>
      </c>
      <c r="F14" s="180">
        <f t="shared" si="11"/>
        <v>4.4421296296296299E-2</v>
      </c>
      <c r="G14" s="177">
        <f t="shared" si="6"/>
        <v>9.2526309846431825E-3</v>
      </c>
      <c r="H14" s="178">
        <f t="shared" si="7"/>
        <v>9.2526309846431808E-3</v>
      </c>
      <c r="I14" s="181">
        <f>'3.Background Concentrations'!C15</f>
        <v>5</v>
      </c>
      <c r="J14" s="182" t="s">
        <v>49</v>
      </c>
      <c r="K14" s="183">
        <f t="shared" si="8"/>
        <v>1.8505261969286365E-3</v>
      </c>
      <c r="L14" s="184" t="s">
        <v>49</v>
      </c>
      <c r="M14" s="182">
        <v>9.5</v>
      </c>
      <c r="N14" s="185">
        <v>10</v>
      </c>
      <c r="O14" s="184" t="s">
        <v>49</v>
      </c>
      <c r="P14" s="186" t="s">
        <v>218</v>
      </c>
      <c r="Q14" s="53"/>
      <c r="R14" s="29" t="str">
        <f t="shared" si="1"/>
        <v>Pass</v>
      </c>
      <c r="S14" s="21" t="str">
        <f t="shared" si="2"/>
        <v>N/A</v>
      </c>
      <c r="T14" s="49" t="s">
        <v>219</v>
      </c>
      <c r="U14" s="52" t="str" cm="1">
        <f t="array" ref="U14">_xlfn.IFS(T14="yes","Model", T14="no","No model")</f>
        <v>No model</v>
      </c>
      <c r="V14" s="49" t="s">
        <v>219</v>
      </c>
      <c r="W14" s="50" t="s">
        <v>219</v>
      </c>
      <c r="X14" s="50" t="str" cm="1">
        <f t="array" ref="X14">_xlfn.IFS(V14 ="yes","model", V14="no","No Model")</f>
        <v>No Model</v>
      </c>
      <c r="Y14" s="74" t="str" cm="1">
        <f t="array" ref="Y14">_xlfn.IFS(W14 ="yes","model",W14="no","No model")</f>
        <v>No model</v>
      </c>
      <c r="Z14" s="86" t="str">
        <f t="shared" si="3"/>
        <v>No</v>
      </c>
      <c r="AA14" s="87" t="str">
        <f t="shared" si="4"/>
        <v>Yes</v>
      </c>
      <c r="AB14" s="82" t="s">
        <v>49</v>
      </c>
      <c r="AC14" s="89"/>
      <c r="AD14" s="26"/>
      <c r="AE14" s="26"/>
      <c r="AF14" s="26"/>
      <c r="AG14" s="21"/>
    </row>
    <row r="15" spans="2:33" ht="101.1" customHeight="1" x14ac:dyDescent="0.25">
      <c r="B15" s="10"/>
      <c r="R15" s="461" t="s">
        <v>220</v>
      </c>
      <c r="S15" s="462"/>
      <c r="V15" s="1"/>
      <c r="Z15" s="472"/>
      <c r="AA15" s="472"/>
      <c r="AB15" s="472"/>
    </row>
    <row r="16" spans="2:33" x14ac:dyDescent="0.25">
      <c r="F16" s="10" t="s">
        <v>221</v>
      </c>
      <c r="G16">
        <v>3838</v>
      </c>
      <c r="H16" t="s">
        <v>222</v>
      </c>
      <c r="R16" s="41"/>
      <c r="S16" t="s">
        <v>223</v>
      </c>
    </row>
    <row r="17" spans="2:23" x14ac:dyDescent="0.25">
      <c r="G17" s="16">
        <f>G16/86400</f>
        <v>4.4421296296296299E-2</v>
      </c>
      <c r="H17" t="s">
        <v>100</v>
      </c>
    </row>
    <row r="18" spans="2:23" ht="18.95" customHeight="1" x14ac:dyDescent="0.25">
      <c r="O18" s="460"/>
      <c r="P18" s="460"/>
      <c r="Q18" s="460"/>
      <c r="R18" s="460"/>
      <c r="S18" s="460"/>
      <c r="T18" s="460"/>
      <c r="U18" s="460"/>
      <c r="V18" s="460"/>
      <c r="W18" s="460"/>
    </row>
    <row r="19" spans="2:23" ht="14.45" customHeight="1" x14ac:dyDescent="0.3">
      <c r="B19" s="15"/>
      <c r="C19" s="15"/>
      <c r="F19" s="10" t="s">
        <v>224</v>
      </c>
      <c r="O19" s="272"/>
      <c r="P19" s="272"/>
      <c r="Q19" s="272"/>
      <c r="R19" s="272"/>
      <c r="S19" s="272"/>
      <c r="T19" s="272"/>
      <c r="U19" s="272"/>
      <c r="V19" s="272"/>
      <c r="W19" s="272"/>
    </row>
    <row r="20" spans="2:23" ht="18.75" x14ac:dyDescent="0.3">
      <c r="B20" s="15"/>
      <c r="C20" s="15"/>
      <c r="F20" t="s">
        <v>45</v>
      </c>
      <c r="G20" t="s">
        <v>225</v>
      </c>
      <c r="L20" s="53"/>
      <c r="O20" s="272"/>
      <c r="P20" s="273"/>
      <c r="Q20" s="273"/>
      <c r="R20" s="274"/>
      <c r="S20" s="275"/>
      <c r="T20" s="274"/>
      <c r="U20" s="276"/>
      <c r="V20" s="273"/>
      <c r="W20" s="276"/>
    </row>
    <row r="21" spans="2:23" ht="18.75" x14ac:dyDescent="0.3">
      <c r="B21" s="15"/>
      <c r="C21" s="15"/>
      <c r="F21" t="s">
        <v>226</v>
      </c>
      <c r="G21" t="s">
        <v>227</v>
      </c>
      <c r="O21" s="272"/>
      <c r="P21" s="273"/>
      <c r="Q21" s="273"/>
      <c r="R21" s="274"/>
      <c r="S21" s="275"/>
      <c r="T21" s="274"/>
      <c r="U21" s="276"/>
      <c r="V21" s="273"/>
      <c r="W21" s="276"/>
    </row>
    <row r="22" spans="2:23" ht="18.75" x14ac:dyDescent="0.3">
      <c r="B22" s="15"/>
      <c r="C22" s="15"/>
      <c r="F22" t="s">
        <v>228</v>
      </c>
      <c r="G22" t="s">
        <v>229</v>
      </c>
      <c r="O22" s="272"/>
      <c r="P22" s="273"/>
      <c r="Q22" s="273"/>
      <c r="R22" s="274"/>
      <c r="S22" s="274"/>
      <c r="T22" s="274"/>
      <c r="U22" s="273"/>
      <c r="V22" s="273"/>
      <c r="W22" s="273"/>
    </row>
    <row r="23" spans="2:23" ht="18.75" x14ac:dyDescent="0.3">
      <c r="B23" s="15"/>
      <c r="C23" s="15"/>
      <c r="F23" t="s">
        <v>218</v>
      </c>
      <c r="G23" t="s">
        <v>230</v>
      </c>
      <c r="O23" s="272"/>
      <c r="P23" s="273"/>
      <c r="Q23" s="273"/>
      <c r="R23" s="274"/>
      <c r="S23" s="275"/>
      <c r="T23" s="273"/>
      <c r="U23" s="276"/>
      <c r="V23" s="273"/>
      <c r="W23" s="276"/>
    </row>
    <row r="24" spans="2:23" ht="18.75" x14ac:dyDescent="0.3">
      <c r="B24" s="15"/>
      <c r="C24" s="15"/>
      <c r="F24" t="s">
        <v>231</v>
      </c>
      <c r="G24" t="s">
        <v>232</v>
      </c>
      <c r="O24" s="272"/>
      <c r="P24" s="273"/>
      <c r="Q24" s="273"/>
      <c r="R24" s="274"/>
      <c r="S24" s="274"/>
      <c r="T24" s="276"/>
      <c r="U24" s="273"/>
      <c r="V24" s="276"/>
      <c r="W24" s="273"/>
    </row>
    <row r="25" spans="2:23" ht="18.75" x14ac:dyDescent="0.3">
      <c r="B25" s="15"/>
      <c r="C25" s="15"/>
      <c r="F25" t="s">
        <v>46</v>
      </c>
      <c r="G25" t="s">
        <v>233</v>
      </c>
      <c r="O25" s="272"/>
      <c r="P25" s="273"/>
      <c r="Q25" s="273"/>
      <c r="R25" s="274"/>
      <c r="S25" s="274"/>
      <c r="T25" s="273"/>
      <c r="U25" s="273"/>
      <c r="V25" s="273"/>
      <c r="W25" s="273"/>
    </row>
    <row r="26" spans="2:23" ht="18.75" x14ac:dyDescent="0.3">
      <c r="B26" s="15"/>
      <c r="C26" s="15"/>
      <c r="F26" t="s">
        <v>234</v>
      </c>
      <c r="G26" t="s">
        <v>235</v>
      </c>
      <c r="O26" s="272"/>
      <c r="P26" s="273"/>
      <c r="Q26" s="273"/>
      <c r="R26" s="274"/>
      <c r="S26" s="275"/>
      <c r="T26" s="273"/>
      <c r="U26" s="276"/>
      <c r="V26" s="273"/>
      <c r="W26" s="276"/>
    </row>
    <row r="27" spans="2:23" ht="18.75" x14ac:dyDescent="0.3">
      <c r="B27" s="15"/>
      <c r="C27" s="15"/>
      <c r="F27" t="s">
        <v>236</v>
      </c>
      <c r="G27" t="s">
        <v>237</v>
      </c>
      <c r="O27" s="272"/>
      <c r="P27" s="273"/>
      <c r="Q27" s="273"/>
      <c r="R27" s="274"/>
      <c r="S27" s="275"/>
      <c r="T27" s="273"/>
      <c r="U27" s="276"/>
      <c r="V27" s="273"/>
      <c r="W27" s="276"/>
    </row>
    <row r="28" spans="2:23" x14ac:dyDescent="0.25">
      <c r="B28" s="15"/>
      <c r="C28" s="15"/>
      <c r="F28" t="s">
        <v>238</v>
      </c>
      <c r="G28" t="s">
        <v>239</v>
      </c>
    </row>
    <row r="29" spans="2:23" x14ac:dyDescent="0.25">
      <c r="B29" s="15"/>
      <c r="C29" s="15"/>
      <c r="F29" t="s">
        <v>240</v>
      </c>
      <c r="G29" t="s">
        <v>241</v>
      </c>
    </row>
    <row r="30" spans="2:23" x14ac:dyDescent="0.25">
      <c r="B30" s="15"/>
      <c r="C30" s="15"/>
      <c r="F30" t="s">
        <v>242</v>
      </c>
      <c r="G30" t="s">
        <v>243</v>
      </c>
    </row>
    <row r="31" spans="2:23" x14ac:dyDescent="0.25">
      <c r="B31" s="15"/>
      <c r="C31" s="15"/>
      <c r="F31" t="s">
        <v>212</v>
      </c>
      <c r="G31" t="s">
        <v>244</v>
      </c>
    </row>
    <row r="32" spans="2:23" x14ac:dyDescent="0.25">
      <c r="F32" t="s">
        <v>57</v>
      </c>
      <c r="G32" t="s">
        <v>252</v>
      </c>
    </row>
  </sheetData>
  <mergeCells count="12">
    <mergeCell ref="R2:AG2"/>
    <mergeCell ref="T3:U3"/>
    <mergeCell ref="Z3:AB3"/>
    <mergeCell ref="Z15:AB15"/>
    <mergeCell ref="B3:P3"/>
    <mergeCell ref="R3:S3"/>
    <mergeCell ref="AC3:AG3"/>
    <mergeCell ref="O18:U18"/>
    <mergeCell ref="V18:W18"/>
    <mergeCell ref="R15:S15"/>
    <mergeCell ref="X4:Y4"/>
    <mergeCell ref="V3:Y3"/>
  </mergeCells>
  <conditionalFormatting sqref="R15">
    <cfRule type="containsText" dxfId="23" priority="1" operator="containsText" text="VALUE">
      <formula>NOT(ISERROR(SEARCH("VALUE",R15)))</formula>
    </cfRule>
    <cfRule type="containsText" dxfId="22" priority="2" operator="containsText" text="Pass">
      <formula>NOT(ISERROR(SEARCH("Pass",R15)))</formula>
    </cfRule>
    <cfRule type="containsText" dxfId="21" priority="3" operator="containsText" text="Fail">
      <formula>NOT(ISERROR(SEARCH("Fail",R15)))</formula>
    </cfRule>
  </conditionalFormatting>
  <conditionalFormatting sqref="R1:S1 R2 R3:T3 V3 R4:X4 Z4:AG4 R5:S14 R16:S17 R28:S1048576">
    <cfRule type="containsText" dxfId="20" priority="31" operator="containsText" text="VALUE">
      <formula>NOT(ISERROR(SEARCH("VALUE",R1)))</formula>
    </cfRule>
    <cfRule type="containsText" dxfId="19" priority="32" operator="containsText" text="Pass">
      <formula>NOT(ISERROR(SEARCH("Pass",R1)))</formula>
    </cfRule>
    <cfRule type="containsText" dxfId="18" priority="33" operator="containsText" text="Fail">
      <formula>NOT(ISERROR(SEARCH("Fail",R1)))</formula>
    </cfRule>
  </conditionalFormatting>
  <conditionalFormatting sqref="Z3">
    <cfRule type="containsText" dxfId="17" priority="25" operator="containsText" text="VALUE">
      <formula>NOT(ISERROR(SEARCH("VALUE",Z3)))</formula>
    </cfRule>
    <cfRule type="containsText" dxfId="16" priority="26" operator="containsText" text="Pass">
      <formula>NOT(ISERROR(SEARCH("Pass",Z3)))</formula>
    </cfRule>
    <cfRule type="containsText" dxfId="15" priority="27" operator="containsText" text="Fail">
      <formula>NOT(ISERROR(SEARCH("Fail",Z3)))</formula>
    </cfRule>
  </conditionalFormatting>
  <conditionalFormatting sqref="Z15">
    <cfRule type="containsText" dxfId="14" priority="4" operator="containsText" text="VALUE">
      <formula>NOT(ISERROR(SEARCH("VALUE",Z15)))</formula>
    </cfRule>
    <cfRule type="containsText" dxfId="13" priority="5" operator="containsText" text="Pass">
      <formula>NOT(ISERROR(SEARCH("Pass",Z15)))</formula>
    </cfRule>
    <cfRule type="containsText" dxfId="12" priority="6" operator="containsText" text="Fail">
      <formula>NOT(ISERROR(SEARCH("Fail",Z15)))</formula>
    </cfRule>
  </conditionalFormatting>
  <conditionalFormatting sqref="AC3">
    <cfRule type="containsText" dxfId="11" priority="16" operator="containsText" text="VALUE">
      <formula>NOT(ISERROR(SEARCH("VALUE",AC3)))</formula>
    </cfRule>
    <cfRule type="containsText" dxfId="10" priority="17" operator="containsText" text="Pass">
      <formula>NOT(ISERROR(SEARCH("Pass",AC3)))</formula>
    </cfRule>
    <cfRule type="containsText" dxfId="9" priority="18" operator="containsText" text="Fail">
      <formula>NOT(ISERROR(SEARCH("Fail",AC3)))</formula>
    </cfRule>
  </conditionalFormatting>
  <pageMargins left="0.7" right="0.7" top="0.75" bottom="0.75" header="0.3" footer="0.3"/>
  <pageSetup paperSize="8"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B9B6-DF31-4225-8906-731D219D8417}">
  <sheetPr>
    <tabColor theme="8" tint="0.79998168889431442"/>
    <pageSetUpPr fitToPage="1"/>
  </sheetPr>
  <dimension ref="B1:AG32"/>
  <sheetViews>
    <sheetView zoomScale="69" zoomScaleNormal="100" workbookViewId="0">
      <pane xSplit="4" ySplit="4" topLeftCell="E5" activePane="bottomRight" state="frozen"/>
      <selection pane="topRight" activeCell="E1" sqref="E1"/>
      <selection pane="bottomLeft" activeCell="A4" sqref="A4"/>
      <selection pane="bottomRight" activeCell="C11" sqref="C11"/>
    </sheetView>
  </sheetViews>
  <sheetFormatPr defaultRowHeight="15" x14ac:dyDescent="0.25"/>
  <cols>
    <col min="1" max="1" width="12.42578125" customWidth="1"/>
    <col min="2" max="2" width="20.42578125" customWidth="1"/>
    <col min="3" max="3" width="14" customWidth="1"/>
    <col min="4" max="4" width="13.140625" bestFit="1" customWidth="1"/>
    <col min="5" max="5" width="13.5703125" customWidth="1"/>
    <col min="6" max="6" width="13.28515625" customWidth="1"/>
    <col min="7" max="7" width="12.85546875" customWidth="1"/>
    <col min="8" max="8" width="13.7109375" customWidth="1"/>
    <col min="9" max="10" width="11.42578125" customWidth="1"/>
    <col min="11" max="11" width="13.140625" customWidth="1"/>
    <col min="12" max="13" width="9.85546875" customWidth="1"/>
    <col min="14" max="14" width="14.28515625" style="8" bestFit="1" customWidth="1"/>
    <col min="15" max="15" width="14.140625" style="8" bestFit="1" customWidth="1"/>
    <col min="16" max="16" width="13.140625" customWidth="1"/>
    <col min="17" max="17" width="3.28515625" customWidth="1"/>
    <col min="18" max="18" width="19.140625" customWidth="1"/>
    <col min="19" max="19" width="18.85546875" customWidth="1"/>
    <col min="20" max="20" width="11.5703125" bestFit="1" customWidth="1"/>
    <col min="21" max="21" width="13.140625" bestFit="1" customWidth="1"/>
    <col min="22" max="23" width="16" customWidth="1"/>
    <col min="24" max="24" width="10.5703125" customWidth="1"/>
    <col min="25" max="25" width="11.5703125" customWidth="1"/>
    <col min="26" max="26" width="14.5703125" customWidth="1"/>
    <col min="27" max="27" width="14.140625" customWidth="1"/>
    <col min="28" max="28" width="15.85546875" customWidth="1"/>
    <col min="29" max="29" width="6.85546875" customWidth="1"/>
    <col min="30" max="30" width="12.28515625" customWidth="1"/>
    <col min="31" max="31" width="9.140625" customWidth="1"/>
    <col min="32" max="33" width="11.5703125" bestFit="1" customWidth="1"/>
    <col min="34" max="34" width="31.28515625" customWidth="1"/>
  </cols>
  <sheetData>
    <row r="1" spans="2:33" x14ac:dyDescent="0.25">
      <c r="B1" s="10" t="s">
        <v>179</v>
      </c>
      <c r="R1" s="11"/>
      <c r="S1" s="10"/>
    </row>
    <row r="2" spans="2:33" ht="15.75" thickBot="1" x14ac:dyDescent="0.3">
      <c r="B2" t="s">
        <v>245</v>
      </c>
      <c r="R2" s="477" t="s">
        <v>181</v>
      </c>
      <c r="S2" s="478"/>
      <c r="T2" s="478"/>
      <c r="U2" s="478"/>
      <c r="V2" s="478"/>
      <c r="W2" s="478"/>
      <c r="X2" s="478"/>
      <c r="Y2" s="478"/>
      <c r="Z2" s="478"/>
      <c r="AA2" s="478"/>
      <c r="AB2" s="478"/>
      <c r="AC2" s="478"/>
      <c r="AD2" s="478"/>
      <c r="AE2" s="478"/>
      <c r="AF2" s="478"/>
      <c r="AG2" s="478"/>
    </row>
    <row r="3" spans="2:33" s="1" customFormat="1" ht="45.6" customHeight="1" x14ac:dyDescent="0.25">
      <c r="B3" s="473" t="s">
        <v>182</v>
      </c>
      <c r="C3" s="474"/>
      <c r="D3" s="474"/>
      <c r="E3" s="474"/>
      <c r="F3" s="474"/>
      <c r="G3" s="474"/>
      <c r="H3" s="474"/>
      <c r="I3" s="474"/>
      <c r="J3" s="474"/>
      <c r="K3" s="474"/>
      <c r="L3" s="474"/>
      <c r="M3" s="474"/>
      <c r="N3" s="474"/>
      <c r="O3" s="474"/>
      <c r="P3" s="475"/>
      <c r="Q3" s="2"/>
      <c r="R3" s="470" t="s">
        <v>183</v>
      </c>
      <c r="S3" s="471"/>
      <c r="T3" s="470" t="s">
        <v>184</v>
      </c>
      <c r="U3" s="471"/>
      <c r="V3" s="465" t="s">
        <v>185</v>
      </c>
      <c r="W3" s="466"/>
      <c r="X3" s="466"/>
      <c r="Y3" s="467"/>
      <c r="Z3" s="470" t="s">
        <v>186</v>
      </c>
      <c r="AA3" s="466"/>
      <c r="AB3" s="467"/>
      <c r="AC3" s="470" t="s">
        <v>187</v>
      </c>
      <c r="AD3" s="466"/>
      <c r="AE3" s="466"/>
      <c r="AF3" s="466"/>
      <c r="AG3" s="471"/>
    </row>
    <row r="4" spans="2:33" ht="90" x14ac:dyDescent="0.25">
      <c r="B4" s="166" t="s">
        <v>188</v>
      </c>
      <c r="C4" s="167" t="s">
        <v>189</v>
      </c>
      <c r="D4" s="84" t="s">
        <v>190</v>
      </c>
      <c r="E4" s="84" t="s">
        <v>191</v>
      </c>
      <c r="F4" s="168" t="s">
        <v>192</v>
      </c>
      <c r="G4" s="169" t="s">
        <v>193</v>
      </c>
      <c r="H4" s="170" t="s">
        <v>194</v>
      </c>
      <c r="I4" s="84" t="s">
        <v>195</v>
      </c>
      <c r="J4" s="168" t="s">
        <v>196</v>
      </c>
      <c r="K4" s="167" t="s">
        <v>197</v>
      </c>
      <c r="L4" s="84" t="s">
        <v>198</v>
      </c>
      <c r="M4" s="168" t="s">
        <v>199</v>
      </c>
      <c r="N4" s="171" t="s">
        <v>200</v>
      </c>
      <c r="O4" s="172" t="s">
        <v>201</v>
      </c>
      <c r="P4" s="79" t="s">
        <v>202</v>
      </c>
      <c r="Q4" s="1"/>
      <c r="R4" s="4" t="s">
        <v>203</v>
      </c>
      <c r="S4" s="14" t="s">
        <v>204</v>
      </c>
      <c r="T4" s="4" t="s">
        <v>246</v>
      </c>
      <c r="U4" s="14" t="s">
        <v>247</v>
      </c>
      <c r="V4" s="4" t="s">
        <v>207</v>
      </c>
      <c r="W4" s="12" t="s">
        <v>208</v>
      </c>
      <c r="X4" s="463" t="s">
        <v>247</v>
      </c>
      <c r="Y4" s="464"/>
      <c r="Z4" s="4" t="s">
        <v>209</v>
      </c>
      <c r="AA4" s="12" t="s">
        <v>210</v>
      </c>
      <c r="AB4" s="14" t="s">
        <v>211</v>
      </c>
      <c r="AC4" s="4" t="s">
        <v>212</v>
      </c>
      <c r="AD4" s="12" t="s">
        <v>213</v>
      </c>
      <c r="AE4" s="12" t="s">
        <v>214</v>
      </c>
      <c r="AF4" s="12" t="s">
        <v>215</v>
      </c>
      <c r="AG4" s="5" t="s">
        <v>216</v>
      </c>
    </row>
    <row r="5" spans="2:33" x14ac:dyDescent="0.25">
      <c r="B5" s="173" t="s">
        <v>217</v>
      </c>
      <c r="C5" s="40">
        <f>'2.Ammonia Calculations'!H58</f>
        <v>97.997335439409923</v>
      </c>
      <c r="D5" s="38">
        <f>'2.Ammonia Calculations'!H61</f>
        <v>105.53559201167222</v>
      </c>
      <c r="E5" s="42">
        <f t="shared" ref="E5:E14" si="0">$G$17</f>
        <v>1.0833333333333333E-3</v>
      </c>
      <c r="F5" s="44">
        <f>E5</f>
        <v>1.0833333333333333E-3</v>
      </c>
      <c r="G5" s="22">
        <f>(C5*E5)</f>
        <v>0.10616378005936075</v>
      </c>
      <c r="H5" s="75">
        <f>(D5*F5)</f>
        <v>0.11433022467931157</v>
      </c>
      <c r="I5" s="30">
        <v>11</v>
      </c>
      <c r="J5" s="70" t="s">
        <v>49</v>
      </c>
      <c r="K5" s="56">
        <f t="shared" ref="K5:K13" si="1">SUM(G5/(N5-I5))</f>
        <v>1.0616378005936076E-2</v>
      </c>
      <c r="L5" s="31" t="s">
        <v>49</v>
      </c>
      <c r="M5" s="70">
        <v>9.5</v>
      </c>
      <c r="N5" s="36">
        <v>21</v>
      </c>
      <c r="O5" s="31" t="s">
        <v>49</v>
      </c>
      <c r="P5" s="174" t="s">
        <v>218</v>
      </c>
      <c r="R5" s="7" t="str">
        <f t="shared" ref="R5:R14" si="2">IF(N5="N/A", "N/A", IF(C5&lt;N5, "Pass","Fail"))</f>
        <v>Fail</v>
      </c>
      <c r="S5" s="23" t="str">
        <f t="shared" ref="S5:S14" si="3">IF(O5="N/A", "N/A", IF(D5&lt;O5, "Pass","Fail"))</f>
        <v>N/A</v>
      </c>
      <c r="T5" s="3" t="s">
        <v>219</v>
      </c>
      <c r="U5" s="35" t="str" cm="1">
        <f t="array" ref="U5">_xlfn.IFS(T5="yes","Model", T5="no","No model")</f>
        <v>No model</v>
      </c>
      <c r="V5" s="3" t="s">
        <v>219</v>
      </c>
      <c r="W5" s="9" t="s">
        <v>219</v>
      </c>
      <c r="X5" s="33" t="str" cm="1">
        <f t="array" ref="X5">_xlfn.IFS(V5 ="yes","model", V5="no","No Model")</f>
        <v>No Model</v>
      </c>
      <c r="Y5" s="35" t="str" cm="1">
        <f t="array" ref="Y5">_xlfn.IFS(W5 ="yes","model",W5="no","No model")</f>
        <v>No model</v>
      </c>
      <c r="Z5" s="3" t="str">
        <f t="shared" ref="Z5:Z14" si="4">IF(M5&lt;3.5, "Yes","No")</f>
        <v>No</v>
      </c>
      <c r="AA5" s="33" t="str">
        <f t="shared" ref="AA5:AA14" si="5">IF(K5&lt;=3.5,"Yes","No")</f>
        <v>Yes</v>
      </c>
      <c r="AB5" s="23" t="s">
        <v>49</v>
      </c>
      <c r="AC5" s="18"/>
      <c r="AD5" s="20"/>
      <c r="AE5" s="20"/>
      <c r="AF5" s="20"/>
      <c r="AG5" s="19"/>
    </row>
    <row r="6" spans="2:33" x14ac:dyDescent="0.25">
      <c r="B6" s="175" t="s">
        <v>134</v>
      </c>
      <c r="C6" s="40">
        <f>'1.Sample Analysis'!M10</f>
        <v>2.0340000000000003</v>
      </c>
      <c r="D6" s="38">
        <f>'1.Sample Analysis'!N10</f>
        <v>2.7540000000000004</v>
      </c>
      <c r="E6" s="42">
        <f t="shared" si="0"/>
        <v>1.0833333333333333E-3</v>
      </c>
      <c r="F6" s="44">
        <f t="shared" ref="F6:F12" si="6">E6</f>
        <v>1.0833333333333333E-3</v>
      </c>
      <c r="G6" s="22">
        <f t="shared" ref="G6:G13" si="7">(C6*E6)</f>
        <v>2.2035000000000002E-3</v>
      </c>
      <c r="H6" s="75">
        <f t="shared" ref="H6:H13" si="8">(D6*F6)</f>
        <v>2.9835000000000005E-3</v>
      </c>
      <c r="I6" s="30">
        <f>'3.Background Concentrations'!C4</f>
        <v>1.75</v>
      </c>
      <c r="J6" s="70" t="s">
        <v>49</v>
      </c>
      <c r="K6" s="56">
        <f t="shared" si="1"/>
        <v>9.47741935483871E-5</v>
      </c>
      <c r="L6" s="31" t="s">
        <v>49</v>
      </c>
      <c r="M6" s="70">
        <v>9.5</v>
      </c>
      <c r="N6" s="37">
        <v>25</v>
      </c>
      <c r="O6" s="31" t="s">
        <v>49</v>
      </c>
      <c r="P6" s="174" t="s">
        <v>218</v>
      </c>
      <c r="R6" s="7" t="str">
        <f t="shared" si="2"/>
        <v>Pass</v>
      </c>
      <c r="S6" s="23" t="str">
        <f t="shared" si="3"/>
        <v>N/A</v>
      </c>
      <c r="T6" s="3" t="s">
        <v>219</v>
      </c>
      <c r="U6" s="35" t="str" cm="1">
        <f t="array" ref="U6">_xlfn.IFS(T6="yes","Model", T6="no","No model")</f>
        <v>No model</v>
      </c>
      <c r="V6" s="3" t="s">
        <v>219</v>
      </c>
      <c r="W6" s="9" t="s">
        <v>219</v>
      </c>
      <c r="X6" s="33" t="str" cm="1">
        <f t="array" ref="X6">_xlfn.IFS(V6 ="yes","model", V6="no","No Model")</f>
        <v>No Model</v>
      </c>
      <c r="Y6" s="35" t="str" cm="1">
        <f t="array" ref="Y6">_xlfn.IFS(W6 ="yes","model",W6="no","No model")</f>
        <v>No model</v>
      </c>
      <c r="Z6" s="3" t="str">
        <f t="shared" si="4"/>
        <v>No</v>
      </c>
      <c r="AA6" s="33" t="str">
        <f t="shared" si="5"/>
        <v>Yes</v>
      </c>
      <c r="AB6" s="23" t="s">
        <v>49</v>
      </c>
      <c r="AC6" s="18"/>
      <c r="AD6" s="20"/>
      <c r="AE6" s="20"/>
      <c r="AF6" s="20"/>
      <c r="AG6" s="19"/>
    </row>
    <row r="7" spans="2:33" x14ac:dyDescent="0.25">
      <c r="B7" s="175" t="s">
        <v>136</v>
      </c>
      <c r="C7" s="40">
        <f>'1.Sample Analysis'!M13</f>
        <v>1377</v>
      </c>
      <c r="D7" s="38">
        <f>'1.Sample Analysis'!N13</f>
        <v>1404</v>
      </c>
      <c r="E7" s="42">
        <f t="shared" si="0"/>
        <v>1.0833333333333333E-3</v>
      </c>
      <c r="F7" s="44">
        <f t="shared" si="6"/>
        <v>1.0833333333333333E-3</v>
      </c>
      <c r="G7" s="22">
        <f t="shared" si="7"/>
        <v>1.4917499999999999</v>
      </c>
      <c r="H7" s="75">
        <f t="shared" si="8"/>
        <v>1.5209999999999999</v>
      </c>
      <c r="I7" s="30">
        <f>'3.Background Concentrations'!C5</f>
        <v>3500</v>
      </c>
      <c r="J7" s="70" t="s">
        <v>49</v>
      </c>
      <c r="K7" s="56">
        <f t="shared" si="1"/>
        <v>4.2621428571428568E-4</v>
      </c>
      <c r="L7" s="31" t="s">
        <v>49</v>
      </c>
      <c r="M7" s="70">
        <v>9.5</v>
      </c>
      <c r="N7" s="36">
        <v>7000</v>
      </c>
      <c r="O7" s="31" t="s">
        <v>49</v>
      </c>
      <c r="P7" s="174" t="s">
        <v>218</v>
      </c>
      <c r="R7" s="7" t="str">
        <f t="shared" si="2"/>
        <v>Pass</v>
      </c>
      <c r="S7" s="23" t="str">
        <f t="shared" si="3"/>
        <v>N/A</v>
      </c>
      <c r="T7" s="3" t="s">
        <v>219</v>
      </c>
      <c r="U7" s="35" t="str" cm="1">
        <f t="array" ref="U7">_xlfn.IFS(T7="yes","Model", T7="no","No model")</f>
        <v>No model</v>
      </c>
      <c r="V7" s="3" t="s">
        <v>219</v>
      </c>
      <c r="W7" s="9" t="s">
        <v>219</v>
      </c>
      <c r="X7" s="33" t="str" cm="1">
        <f t="array" ref="X7">_xlfn.IFS(V7 ="yes","model", V7="no","No Model")</f>
        <v>No Model</v>
      </c>
      <c r="Y7" s="35" t="str" cm="1">
        <f t="array" ref="Y7">_xlfn.IFS(W7 ="yes","model",W7="no","No model")</f>
        <v>No model</v>
      </c>
      <c r="Z7" s="3" t="str">
        <f t="shared" si="4"/>
        <v>No</v>
      </c>
      <c r="AA7" s="33" t="str">
        <f t="shared" si="5"/>
        <v>Yes</v>
      </c>
      <c r="AB7" s="23" t="s">
        <v>49</v>
      </c>
      <c r="AC7" s="18"/>
      <c r="AD7" s="20"/>
      <c r="AE7" s="20"/>
      <c r="AF7" s="20"/>
      <c r="AG7" s="19"/>
    </row>
    <row r="8" spans="2:33" x14ac:dyDescent="0.25">
      <c r="B8" s="175" t="s">
        <v>138</v>
      </c>
      <c r="C8" s="40">
        <f>'1.Sample Analysis'!M14</f>
        <v>5.4000000000000006E-2</v>
      </c>
      <c r="D8" s="38">
        <f>'1.Sample Analysis'!N14</f>
        <v>5.4000000000000006E-2</v>
      </c>
      <c r="E8" s="42">
        <f t="shared" si="0"/>
        <v>1.0833333333333333E-3</v>
      </c>
      <c r="F8" s="44">
        <f t="shared" si="6"/>
        <v>1.0833333333333333E-3</v>
      </c>
      <c r="G8" s="22">
        <f t="shared" si="7"/>
        <v>5.8500000000000006E-5</v>
      </c>
      <c r="H8" s="75">
        <f t="shared" si="8"/>
        <v>5.8500000000000006E-5</v>
      </c>
      <c r="I8" s="30">
        <f>'3.Background Concentrations'!C6</f>
        <v>0.1</v>
      </c>
      <c r="J8" s="70" t="s">
        <v>49</v>
      </c>
      <c r="K8" s="56">
        <f t="shared" si="1"/>
        <v>5.8500000000000002E-4</v>
      </c>
      <c r="L8" s="31" t="s">
        <v>49</v>
      </c>
      <c r="M8" s="70">
        <v>9.5</v>
      </c>
      <c r="N8" s="36">
        <v>0.2</v>
      </c>
      <c r="O8" s="31" t="s">
        <v>49</v>
      </c>
      <c r="P8" s="174" t="s">
        <v>218</v>
      </c>
      <c r="R8" s="7" t="str">
        <f t="shared" si="2"/>
        <v>Pass</v>
      </c>
      <c r="S8" s="23" t="str">
        <f t="shared" si="3"/>
        <v>N/A</v>
      </c>
      <c r="T8" s="3" t="s">
        <v>219</v>
      </c>
      <c r="U8" s="35" t="str" cm="1">
        <f t="array" ref="U8">_xlfn.IFS(T8="yes","Model", T8="no","No model")</f>
        <v>No model</v>
      </c>
      <c r="V8" s="3" t="s">
        <v>219</v>
      </c>
      <c r="W8" s="9" t="s">
        <v>219</v>
      </c>
      <c r="X8" s="33" t="str" cm="1">
        <f t="array" ref="X8">_xlfn.IFS(V8 ="yes","model", V8="no","No Model")</f>
        <v>No Model</v>
      </c>
      <c r="Y8" s="35" t="str" cm="1">
        <f t="array" ref="Y8">_xlfn.IFS(W8 ="yes","model",W8="no","No model")</f>
        <v>No model</v>
      </c>
      <c r="Z8" s="3" t="str">
        <f t="shared" si="4"/>
        <v>No</v>
      </c>
      <c r="AA8" s="33" t="str">
        <f t="shared" si="5"/>
        <v>Yes</v>
      </c>
      <c r="AB8" s="23" t="s">
        <v>49</v>
      </c>
      <c r="AC8" s="3">
        <v>5</v>
      </c>
      <c r="AD8" s="9">
        <f>SUM(G8/1000)</f>
        <v>5.8500000000000008E-8</v>
      </c>
      <c r="AE8" s="9">
        <f>AD8/1000</f>
        <v>5.8500000000000005E-11</v>
      </c>
      <c r="AF8" s="9">
        <f>AE8*365</f>
        <v>2.1352500000000002E-8</v>
      </c>
      <c r="AG8" s="32" t="str">
        <f>IF(AF8&lt;AC8,"Yes","No")</f>
        <v>Yes</v>
      </c>
    </row>
    <row r="9" spans="2:33" x14ac:dyDescent="0.25">
      <c r="B9" s="175" t="s">
        <v>141</v>
      </c>
      <c r="C9" s="40">
        <f>'1.Sample Analysis'!M19</f>
        <v>15.209999999999999</v>
      </c>
      <c r="D9" s="38">
        <f>'1.Sample Analysis'!N19</f>
        <v>21.87</v>
      </c>
      <c r="E9" s="42">
        <f t="shared" si="0"/>
        <v>1.0833333333333333E-3</v>
      </c>
      <c r="F9" s="44">
        <f t="shared" si="6"/>
        <v>1.0833333333333333E-3</v>
      </c>
      <c r="G9" s="22">
        <f t="shared" si="7"/>
        <v>1.6477499999999999E-2</v>
      </c>
      <c r="H9" s="75">
        <f t="shared" si="8"/>
        <v>2.3692499999999998E-2</v>
      </c>
      <c r="I9" s="30">
        <f>'3.Background Concentrations'!C8</f>
        <v>0.5</v>
      </c>
      <c r="J9" s="70" t="s">
        <v>49</v>
      </c>
      <c r="K9" s="56">
        <f t="shared" si="1"/>
        <v>5.0544478527607363E-3</v>
      </c>
      <c r="L9" s="31" t="s">
        <v>49</v>
      </c>
      <c r="M9" s="70">
        <v>9.5</v>
      </c>
      <c r="N9" s="39">
        <v>3.76</v>
      </c>
      <c r="O9" s="31" t="s">
        <v>49</v>
      </c>
      <c r="P9" s="174" t="s">
        <v>218</v>
      </c>
      <c r="R9" s="7" t="str">
        <f t="shared" si="2"/>
        <v>Fail</v>
      </c>
      <c r="S9" s="23" t="str">
        <f t="shared" si="3"/>
        <v>N/A</v>
      </c>
      <c r="T9" s="3" t="s">
        <v>219</v>
      </c>
      <c r="U9" s="35" t="str" cm="1">
        <f t="array" ref="U9">_xlfn.IFS(T9="yes","Model", T9="no","No model")</f>
        <v>No model</v>
      </c>
      <c r="V9" s="3" t="s">
        <v>219</v>
      </c>
      <c r="W9" s="9" t="s">
        <v>219</v>
      </c>
      <c r="X9" s="33" t="str" cm="1">
        <f t="array" ref="X9">_xlfn.IFS(V9 ="yes","model", V9="no","No Model")</f>
        <v>No Model</v>
      </c>
      <c r="Y9" s="35" t="str" cm="1">
        <f t="array" ref="Y9">_xlfn.IFS(W9 ="yes","model",W9="no","No model")</f>
        <v>No model</v>
      </c>
      <c r="Z9" s="3" t="str">
        <f t="shared" si="4"/>
        <v>No</v>
      </c>
      <c r="AA9" s="33" t="str">
        <f t="shared" si="5"/>
        <v>Yes</v>
      </c>
      <c r="AB9" s="23" t="s">
        <v>49</v>
      </c>
      <c r="AC9" s="18"/>
      <c r="AD9" s="20"/>
      <c r="AE9" s="20"/>
      <c r="AF9" s="20"/>
      <c r="AG9" s="19"/>
    </row>
    <row r="10" spans="2:33" x14ac:dyDescent="0.25">
      <c r="B10" s="175" t="s">
        <v>142</v>
      </c>
      <c r="C10" s="40">
        <f>'1.Sample Analysis'!M21</f>
        <v>999.00000000000023</v>
      </c>
      <c r="D10" s="38">
        <f>'1.Sample Analysis'!N21</f>
        <v>2700</v>
      </c>
      <c r="E10" s="42">
        <f t="shared" si="0"/>
        <v>1.0833333333333333E-3</v>
      </c>
      <c r="F10" s="44">
        <f t="shared" si="6"/>
        <v>1.0833333333333333E-3</v>
      </c>
      <c r="G10" s="22">
        <f t="shared" si="7"/>
        <v>1.0822500000000002</v>
      </c>
      <c r="H10" s="75">
        <f t="shared" si="8"/>
        <v>2.9249999999999998</v>
      </c>
      <c r="I10" s="30">
        <f>'3.Background Concentrations'!C9</f>
        <v>100</v>
      </c>
      <c r="J10" s="70" t="s">
        <v>49</v>
      </c>
      <c r="K10" s="56">
        <f t="shared" si="1"/>
        <v>1.2025000000000002E-3</v>
      </c>
      <c r="L10" s="31" t="s">
        <v>49</v>
      </c>
      <c r="M10" s="70">
        <v>9.5</v>
      </c>
      <c r="N10" s="39">
        <v>1000</v>
      </c>
      <c r="O10" s="31" t="s">
        <v>49</v>
      </c>
      <c r="P10" s="174" t="s">
        <v>218</v>
      </c>
      <c r="R10" s="7" t="str">
        <f t="shared" si="2"/>
        <v>Pass</v>
      </c>
      <c r="S10" s="23" t="str">
        <f t="shared" si="3"/>
        <v>N/A</v>
      </c>
      <c r="T10" s="3" t="s">
        <v>219</v>
      </c>
      <c r="U10" s="35" t="str" cm="1">
        <f t="array" ref="U10">_xlfn.IFS(T10="yes","Model", T10="no","No model")</f>
        <v>No model</v>
      </c>
      <c r="V10" s="3" t="s">
        <v>219</v>
      </c>
      <c r="W10" s="9" t="s">
        <v>219</v>
      </c>
      <c r="X10" s="33" t="str" cm="1">
        <f t="array" ref="X10">_xlfn.IFS(V10 ="yes","model", V10="no","No Model")</f>
        <v>No Model</v>
      </c>
      <c r="Y10" s="35" t="str" cm="1">
        <f t="array" ref="Y10">_xlfn.IFS(W10 ="yes","model",W10="no","No model")</f>
        <v>No model</v>
      </c>
      <c r="Z10" s="3" t="str">
        <f t="shared" si="4"/>
        <v>No</v>
      </c>
      <c r="AA10" s="33" t="str">
        <f t="shared" si="5"/>
        <v>Yes</v>
      </c>
      <c r="AB10" s="23" t="s">
        <v>49</v>
      </c>
      <c r="AC10" s="18"/>
      <c r="AD10" s="20"/>
      <c r="AE10" s="20"/>
      <c r="AF10" s="20"/>
      <c r="AG10" s="19"/>
    </row>
    <row r="11" spans="2:33" x14ac:dyDescent="0.25">
      <c r="B11" s="175" t="s">
        <v>143</v>
      </c>
      <c r="C11" s="40">
        <f>'1.Sample Analysis'!M22</f>
        <v>0.54000000000000015</v>
      </c>
      <c r="D11" s="38">
        <f>'1.Sample Analysis'!N22</f>
        <v>0.54</v>
      </c>
      <c r="E11" s="42">
        <f t="shared" si="0"/>
        <v>1.0833333333333333E-3</v>
      </c>
      <c r="F11" s="44">
        <f t="shared" si="6"/>
        <v>1.0833333333333333E-3</v>
      </c>
      <c r="G11" s="22">
        <f t="shared" si="7"/>
        <v>5.8500000000000012E-4</v>
      </c>
      <c r="H11" s="75">
        <f t="shared" si="8"/>
        <v>5.8500000000000002E-4</v>
      </c>
      <c r="I11" s="30">
        <f>'3.Background Concentrations'!C10</f>
        <v>0.5</v>
      </c>
      <c r="J11" s="70">
        <v>1</v>
      </c>
      <c r="K11" s="56">
        <f t="shared" si="1"/>
        <v>7.3125000000000013E-4</v>
      </c>
      <c r="L11" s="55">
        <f t="shared" ref="L11:L12" si="9">SUM(H11/(O11-J11))</f>
        <v>4.5000000000000003E-5</v>
      </c>
      <c r="M11" s="70">
        <v>9.5</v>
      </c>
      <c r="N11" s="39">
        <v>1.3</v>
      </c>
      <c r="O11" s="48">
        <v>14</v>
      </c>
      <c r="P11" s="174" t="s">
        <v>218</v>
      </c>
      <c r="R11" s="7" t="str">
        <f t="shared" si="2"/>
        <v>Pass</v>
      </c>
      <c r="S11" s="72" t="str">
        <f t="shared" si="3"/>
        <v>Pass</v>
      </c>
      <c r="T11" s="3" t="s">
        <v>219</v>
      </c>
      <c r="U11" s="35" t="str" cm="1">
        <f t="array" ref="U11">_xlfn.IFS(T11="yes","Model", T11="no","No model")</f>
        <v>No model</v>
      </c>
      <c r="V11" s="3" t="s">
        <v>219</v>
      </c>
      <c r="W11" s="9" t="s">
        <v>219</v>
      </c>
      <c r="X11" s="33" t="str" cm="1">
        <f t="array" ref="X11">_xlfn.IFS(V11 ="yes","model", V11="no","No Model")</f>
        <v>No Model</v>
      </c>
      <c r="Y11" s="35" t="str" cm="1">
        <f t="array" ref="Y11">_xlfn.IFS(W11 ="yes","model",W11="no","No model")</f>
        <v>No model</v>
      </c>
      <c r="Z11" s="3" t="str">
        <f t="shared" si="4"/>
        <v>No</v>
      </c>
      <c r="AA11" s="33" t="str">
        <f t="shared" si="5"/>
        <v>Yes</v>
      </c>
      <c r="AB11" s="35" t="str">
        <f t="shared" ref="AB11:AB12" si="10">IF(L11&lt;=3.5,"Yes","No")</f>
        <v>Yes</v>
      </c>
      <c r="AC11" s="18"/>
      <c r="AD11" s="20"/>
      <c r="AE11" s="20"/>
      <c r="AF11" s="20"/>
      <c r="AG11" s="19"/>
    </row>
    <row r="12" spans="2:33" x14ac:dyDescent="0.25">
      <c r="B12" s="175" t="s">
        <v>145</v>
      </c>
      <c r="C12" s="40">
        <f>'1.Sample Analysis'!M28</f>
        <v>2.8800000000000003</v>
      </c>
      <c r="D12" s="38">
        <f>'1.Sample Analysis'!N28</f>
        <v>3.78</v>
      </c>
      <c r="E12" s="42">
        <f t="shared" si="0"/>
        <v>1.0833333333333333E-3</v>
      </c>
      <c r="F12" s="44">
        <f t="shared" si="6"/>
        <v>1.0833333333333333E-3</v>
      </c>
      <c r="G12" s="22">
        <f t="shared" si="7"/>
        <v>3.1200000000000004E-3</v>
      </c>
      <c r="H12" s="75">
        <f t="shared" si="8"/>
        <v>4.0949999999999997E-3</v>
      </c>
      <c r="I12" s="30">
        <f>'3.Background Concentrations'!C12</f>
        <v>0.5</v>
      </c>
      <c r="J12" s="30">
        <f>'3.Background Concentrations'!D12</f>
        <v>0.5</v>
      </c>
      <c r="K12" s="57">
        <f t="shared" si="1"/>
        <v>3.8518518518518524E-4</v>
      </c>
      <c r="L12" s="55">
        <f t="shared" si="9"/>
        <v>1.2223880597014925E-4</v>
      </c>
      <c r="M12" s="70">
        <v>9.5</v>
      </c>
      <c r="N12" s="39">
        <v>8.6</v>
      </c>
      <c r="O12" s="48">
        <v>34</v>
      </c>
      <c r="P12" s="174" t="s">
        <v>218</v>
      </c>
      <c r="Q12" s="13"/>
      <c r="R12" s="7" t="str">
        <f t="shared" si="2"/>
        <v>Pass</v>
      </c>
      <c r="S12" s="72" t="str">
        <f t="shared" si="3"/>
        <v>Pass</v>
      </c>
      <c r="T12" s="3" t="s">
        <v>219</v>
      </c>
      <c r="U12" s="35" t="str" cm="1">
        <f t="array" ref="U12">_xlfn.IFS(T12="yes","Model", T12="no","No model")</f>
        <v>No model</v>
      </c>
      <c r="V12" s="3" t="s">
        <v>219</v>
      </c>
      <c r="W12" s="9" t="s">
        <v>219</v>
      </c>
      <c r="X12" s="33" t="str" cm="1">
        <f t="array" ref="X12">_xlfn.IFS(V12 ="yes","model", V12="no","No Model")</f>
        <v>No Model</v>
      </c>
      <c r="Y12" s="35" t="str" cm="1">
        <f t="array" ref="Y12">_xlfn.IFS(W12 ="yes","model",W12="no","No model")</f>
        <v>No model</v>
      </c>
      <c r="Z12" s="3" t="str">
        <f t="shared" si="4"/>
        <v>No</v>
      </c>
      <c r="AA12" s="33" t="str">
        <f t="shared" si="5"/>
        <v>Yes</v>
      </c>
      <c r="AB12" s="35" t="str">
        <f t="shared" si="10"/>
        <v>Yes</v>
      </c>
      <c r="AC12" s="18"/>
      <c r="AD12" s="20"/>
      <c r="AE12" s="20"/>
      <c r="AF12" s="20"/>
      <c r="AG12" s="19"/>
    </row>
    <row r="13" spans="2:33" x14ac:dyDescent="0.25">
      <c r="B13" s="175" t="s">
        <v>97</v>
      </c>
      <c r="C13" s="40">
        <f>'1.Sample Analysis'!M39</f>
        <v>141.30000000000001</v>
      </c>
      <c r="D13" s="38">
        <f>'1.Sample Analysis'!N39</f>
        <v>167.4</v>
      </c>
      <c r="E13" s="42">
        <f t="shared" si="0"/>
        <v>1.0833333333333333E-3</v>
      </c>
      <c r="F13" s="44">
        <f t="shared" ref="F13:F14" si="11">E13</f>
        <v>1.0833333333333333E-3</v>
      </c>
      <c r="G13" s="22">
        <f t="shared" si="7"/>
        <v>0.15307500000000002</v>
      </c>
      <c r="H13" s="75">
        <f t="shared" si="8"/>
        <v>0.18135000000000001</v>
      </c>
      <c r="I13" s="30">
        <f>'3.Background Concentrations'!C14</f>
        <v>3.4</v>
      </c>
      <c r="J13" s="70" t="s">
        <v>49</v>
      </c>
      <c r="K13" s="57">
        <f t="shared" si="1"/>
        <v>4.5022058823529415E-2</v>
      </c>
      <c r="L13" s="31" t="s">
        <v>49</v>
      </c>
      <c r="M13" s="70">
        <v>9.5</v>
      </c>
      <c r="N13" s="76">
        <v>6.8</v>
      </c>
      <c r="O13" s="31" t="s">
        <v>49</v>
      </c>
      <c r="P13" s="174" t="s">
        <v>218</v>
      </c>
      <c r="Q13" s="13"/>
      <c r="R13" s="7" t="str">
        <f t="shared" si="2"/>
        <v>Fail</v>
      </c>
      <c r="S13" s="23" t="str">
        <f t="shared" si="3"/>
        <v>N/A</v>
      </c>
      <c r="T13" s="3" t="s">
        <v>219</v>
      </c>
      <c r="U13" s="35" t="str" cm="1">
        <f t="array" ref="U13">_xlfn.IFS(T13="yes","Model", T13="no","No model")</f>
        <v>No model</v>
      </c>
      <c r="V13" s="3" t="s">
        <v>219</v>
      </c>
      <c r="W13" s="9" t="s">
        <v>219</v>
      </c>
      <c r="X13" s="33" t="str" cm="1">
        <f t="array" ref="X13">_xlfn.IFS(V13 ="yes","model", V13="no","No Model")</f>
        <v>No Model</v>
      </c>
      <c r="Y13" s="35" t="str" cm="1">
        <f t="array" ref="Y13">_xlfn.IFS(W13 ="yes","model",W13="no","No model")</f>
        <v>No model</v>
      </c>
      <c r="Z13" s="3" t="str">
        <f t="shared" si="4"/>
        <v>No</v>
      </c>
      <c r="AA13" s="33" t="str">
        <f t="shared" si="5"/>
        <v>Yes</v>
      </c>
      <c r="AB13" s="23" t="s">
        <v>49</v>
      </c>
      <c r="AC13" s="18"/>
      <c r="AD13" s="20"/>
      <c r="AE13" s="20"/>
      <c r="AF13" s="20"/>
      <c r="AG13" s="19"/>
    </row>
    <row r="14" spans="2:33" ht="15.75" thickBot="1" x14ac:dyDescent="0.3">
      <c r="B14" s="176" t="s">
        <v>147</v>
      </c>
      <c r="C14" s="177">
        <f>'1.Sample Analysis'!M38</f>
        <v>0.54000000000000015</v>
      </c>
      <c r="D14" s="178">
        <f>'1.Sample Analysis'!N38</f>
        <v>0.54</v>
      </c>
      <c r="E14" s="179">
        <f t="shared" si="0"/>
        <v>1.0833333333333333E-3</v>
      </c>
      <c r="F14" s="180">
        <f t="shared" si="11"/>
        <v>1.0833333333333333E-3</v>
      </c>
      <c r="G14" s="177">
        <f t="shared" ref="G14:H14" si="12">C14*E14</f>
        <v>5.8500000000000012E-4</v>
      </c>
      <c r="H14" s="178">
        <f t="shared" si="12"/>
        <v>5.8500000000000002E-4</v>
      </c>
      <c r="I14" s="181">
        <f>'3.Background Concentrations'!C15</f>
        <v>5</v>
      </c>
      <c r="J14" s="182" t="s">
        <v>49</v>
      </c>
      <c r="K14" s="183">
        <f t="shared" ref="K14" si="13">SUM(G14/(N14-I14))</f>
        <v>1.1700000000000002E-4</v>
      </c>
      <c r="L14" s="184" t="s">
        <v>49</v>
      </c>
      <c r="M14" s="182">
        <v>9.5</v>
      </c>
      <c r="N14" s="185">
        <v>10</v>
      </c>
      <c r="O14" s="184" t="s">
        <v>49</v>
      </c>
      <c r="P14" s="186" t="s">
        <v>218</v>
      </c>
      <c r="R14" s="29" t="str">
        <f t="shared" si="2"/>
        <v>Pass</v>
      </c>
      <c r="S14" s="24" t="str">
        <f t="shared" si="3"/>
        <v>N/A</v>
      </c>
      <c r="T14" s="49" t="s">
        <v>219</v>
      </c>
      <c r="U14" s="77" t="str" cm="1">
        <f t="array" ref="U14">_xlfn.IFS(T14="yes","Model", T14="no","No model")</f>
        <v>No model</v>
      </c>
      <c r="V14" s="49" t="s">
        <v>219</v>
      </c>
      <c r="W14" s="50" t="s">
        <v>219</v>
      </c>
      <c r="X14" s="34" t="str" cm="1">
        <f t="array" ref="X14">_xlfn.IFS(V14 ="yes","model", V14="no","No Model")</f>
        <v>No Model</v>
      </c>
      <c r="Y14" s="77" t="str" cm="1">
        <f t="array" ref="Y14">_xlfn.IFS(W14 ="yes","model",W14="no","No model")</f>
        <v>No model</v>
      </c>
      <c r="Z14" s="49" t="str">
        <f t="shared" si="4"/>
        <v>No</v>
      </c>
      <c r="AA14" s="34" t="str">
        <f t="shared" si="5"/>
        <v>Yes</v>
      </c>
      <c r="AB14" s="24" t="s">
        <v>49</v>
      </c>
      <c r="AC14" s="25"/>
      <c r="AD14" s="26"/>
      <c r="AE14" s="26"/>
      <c r="AF14" s="26"/>
      <c r="AG14" s="21"/>
    </row>
    <row r="15" spans="2:33" ht="134.25" customHeight="1" thickBot="1" x14ac:dyDescent="0.3">
      <c r="B15" s="10"/>
      <c r="R15" s="476" t="s">
        <v>248</v>
      </c>
      <c r="S15" s="462"/>
    </row>
    <row r="16" spans="2:33" x14ac:dyDescent="0.25">
      <c r="F16" s="10" t="s">
        <v>221</v>
      </c>
      <c r="G16">
        <v>93.6</v>
      </c>
      <c r="H16" t="s">
        <v>222</v>
      </c>
      <c r="R16" s="41"/>
      <c r="S16" t="s">
        <v>223</v>
      </c>
    </row>
    <row r="17" spans="2:8" x14ac:dyDescent="0.25">
      <c r="B17" s="15"/>
      <c r="C17" s="15"/>
      <c r="G17" s="16">
        <f>G16/86400</f>
        <v>1.0833333333333333E-3</v>
      </c>
      <c r="H17" t="s">
        <v>100</v>
      </c>
    </row>
    <row r="18" spans="2:8" x14ac:dyDescent="0.25">
      <c r="B18" s="15"/>
      <c r="C18" s="15"/>
    </row>
    <row r="19" spans="2:8" x14ac:dyDescent="0.25">
      <c r="B19" s="15"/>
      <c r="C19" s="15"/>
      <c r="F19" s="10" t="s">
        <v>224</v>
      </c>
    </row>
    <row r="20" spans="2:8" x14ac:dyDescent="0.25">
      <c r="B20" s="15"/>
      <c r="C20" s="15"/>
      <c r="F20" t="s">
        <v>45</v>
      </c>
      <c r="G20" t="s">
        <v>225</v>
      </c>
    </row>
    <row r="21" spans="2:8" x14ac:dyDescent="0.25">
      <c r="B21" s="15"/>
      <c r="C21" s="15"/>
      <c r="F21" t="s">
        <v>226</v>
      </c>
      <c r="G21" t="s">
        <v>227</v>
      </c>
    </row>
    <row r="22" spans="2:8" x14ac:dyDescent="0.25">
      <c r="B22" s="15"/>
      <c r="C22" s="15"/>
      <c r="F22" t="s">
        <v>228</v>
      </c>
      <c r="G22" t="s">
        <v>229</v>
      </c>
    </row>
    <row r="23" spans="2:8" x14ac:dyDescent="0.25">
      <c r="B23" s="15"/>
      <c r="C23" s="15"/>
      <c r="F23" t="s">
        <v>218</v>
      </c>
      <c r="G23" t="s">
        <v>230</v>
      </c>
    </row>
    <row r="24" spans="2:8" x14ac:dyDescent="0.25">
      <c r="B24" s="15"/>
      <c r="C24" s="15"/>
      <c r="F24" t="s">
        <v>231</v>
      </c>
      <c r="G24" t="s">
        <v>232</v>
      </c>
    </row>
    <row r="25" spans="2:8" x14ac:dyDescent="0.25">
      <c r="B25" s="15"/>
      <c r="C25" s="15"/>
      <c r="F25" t="s">
        <v>46</v>
      </c>
      <c r="G25" t="s">
        <v>233</v>
      </c>
    </row>
    <row r="26" spans="2:8" x14ac:dyDescent="0.25">
      <c r="B26" s="15"/>
      <c r="C26" s="15"/>
      <c r="F26" t="s">
        <v>234</v>
      </c>
      <c r="G26" t="s">
        <v>235</v>
      </c>
    </row>
    <row r="27" spans="2:8" x14ac:dyDescent="0.25">
      <c r="B27" s="15"/>
      <c r="C27" s="15"/>
      <c r="F27" t="s">
        <v>236</v>
      </c>
      <c r="G27" t="s">
        <v>237</v>
      </c>
    </row>
    <row r="28" spans="2:8" x14ac:dyDescent="0.25">
      <c r="B28" s="15"/>
      <c r="C28" s="15"/>
      <c r="F28" t="s">
        <v>238</v>
      </c>
      <c r="G28" t="s">
        <v>239</v>
      </c>
    </row>
    <row r="29" spans="2:8" x14ac:dyDescent="0.25">
      <c r="B29" s="15"/>
      <c r="C29" s="15"/>
      <c r="F29" t="s">
        <v>240</v>
      </c>
      <c r="G29" t="s">
        <v>241</v>
      </c>
    </row>
    <row r="30" spans="2:8" x14ac:dyDescent="0.25">
      <c r="B30" s="15"/>
      <c r="C30" s="15"/>
      <c r="F30" t="s">
        <v>242</v>
      </c>
      <c r="G30" t="s">
        <v>243</v>
      </c>
    </row>
    <row r="31" spans="2:8" x14ac:dyDescent="0.25">
      <c r="B31" s="15"/>
      <c r="C31" s="15"/>
      <c r="F31" t="s">
        <v>212</v>
      </c>
      <c r="G31" t="s">
        <v>244</v>
      </c>
    </row>
    <row r="32" spans="2:8" x14ac:dyDescent="0.25">
      <c r="F32" t="s">
        <v>57</v>
      </c>
      <c r="G32" t="s">
        <v>252</v>
      </c>
    </row>
  </sheetData>
  <mergeCells count="9">
    <mergeCell ref="R15:S15"/>
    <mergeCell ref="X4:Y4"/>
    <mergeCell ref="AC3:AG3"/>
    <mergeCell ref="R2:AG2"/>
    <mergeCell ref="B3:P3"/>
    <mergeCell ref="R3:S3"/>
    <mergeCell ref="T3:U3"/>
    <mergeCell ref="V3:Y3"/>
    <mergeCell ref="Z3:AB3"/>
  </mergeCells>
  <conditionalFormatting sqref="R1:S1 R2 R3:T3 V3 R4:X4 Z4:AG4 R5:S14 R15 R16:S17 R18 R23:S1048576">
    <cfRule type="containsText" dxfId="8" priority="16" operator="containsText" text="VALUE">
      <formula>NOT(ISERROR(SEARCH("VALUE",R1)))</formula>
    </cfRule>
    <cfRule type="containsText" dxfId="7" priority="17" operator="containsText" text="Pass">
      <formula>NOT(ISERROR(SEARCH("Pass",R1)))</formula>
    </cfRule>
    <cfRule type="containsText" dxfId="6" priority="18" operator="containsText" text="Fail">
      <formula>NOT(ISERROR(SEARCH("Fail",R1)))</formula>
    </cfRule>
  </conditionalFormatting>
  <conditionalFormatting sqref="Z3">
    <cfRule type="containsText" dxfId="5" priority="10" operator="containsText" text="VALUE">
      <formula>NOT(ISERROR(SEARCH("VALUE",Z3)))</formula>
    </cfRule>
    <cfRule type="containsText" dxfId="4" priority="11" operator="containsText" text="Pass">
      <formula>NOT(ISERROR(SEARCH("Pass",Z3)))</formula>
    </cfRule>
    <cfRule type="containsText" dxfId="3" priority="12" operator="containsText" text="Fail">
      <formula>NOT(ISERROR(SEARCH("Fail",Z3)))</formula>
    </cfRule>
  </conditionalFormatting>
  <conditionalFormatting sqref="AC3">
    <cfRule type="containsText" dxfId="2" priority="7" operator="containsText" text="VALUE">
      <formula>NOT(ISERROR(SEARCH("VALUE",AC3)))</formula>
    </cfRule>
    <cfRule type="containsText" dxfId="1" priority="8" operator="containsText" text="Pass">
      <formula>NOT(ISERROR(SEARCH("Pass",AC3)))</formula>
    </cfRule>
    <cfRule type="containsText" dxfId="0" priority="9" operator="containsText" text="Fail">
      <formula>NOT(ISERROR(SEARCH("Fail",AC3)))</formula>
    </cfRule>
  </conditionalFormatting>
  <pageMargins left="0.7" right="0.7" top="0.75" bottom="0.75" header="0.3" footer="0.3"/>
  <pageSetup paperSize="8"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2FF98D7FBCA7AA42ADBE27AC96EFD93A" ma:contentTypeVersion="44" ma:contentTypeDescription="Create a new document." ma:contentTypeScope="" ma:versionID="2b47c6a1b7e6ff3bf52929a294d9f103">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c760b49e-90f4-4260-b1d9-e3d7d6a75612" targetNamespace="http://schemas.microsoft.com/office/2006/metadata/properties" ma:root="true" ma:fieldsID="7e5ce2b836d9d7b1c7954cc595fd8a69" ns2:_="" ns3:_="" ns4:_="" ns5:_="" ns6:_="">
    <xsd:import namespace="dbe221e7-66db-4bdb-a92c-aa517c005f15"/>
    <xsd:import namespace="662745e8-e224-48e8-a2e3-254862b8c2f5"/>
    <xsd:import namespace="eebef177-55b5-4448-a5fb-28ea454417ee"/>
    <xsd:import namespace="5ffd8e36-f429-4edc-ab50-c5be84842779"/>
    <xsd:import namespace="c760b49e-90f4-4260-b1d9-e3d7d6a7561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lcf76f155ced4ddcb4097134ff3c332f" minOccurs="0"/>
                <xsd:element ref="ns6:MediaServiceOCR" minOccurs="0"/>
                <xsd:element ref="ns6:MediaServiceGenerationTime" minOccurs="0"/>
                <xsd:element ref="ns6:MediaServiceEventHashCode" minOccurs="0"/>
                <xsd:element ref="ns6:MediaServiceDateTaken" minOccurs="0"/>
                <xsd:element ref="ns6:MediaServiceObjectDetectorVersions" minOccurs="0"/>
                <xsd:element ref="ns2:SharedWithUsers" minOccurs="0"/>
                <xsd:element ref="ns2:SharedWithDetails" minOccurs="0"/>
                <xsd:element ref="ns6:MediaServiceLocation" minOccurs="0"/>
                <xsd:element ref="ns6:MediaLengthInSecond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60b49e-90f4-4260-b1d9-e3d7d6a7561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2" nillable="true" ma:displayName="Extracted Text" ma:internalName="MediaServiceOCR" ma:readOnly="true">
      <xsd:simpleType>
        <xsd:restriction base="dms:Note">
          <xsd:maxLength value="255"/>
        </xsd:restriction>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ServiceLocation" ma:index="59" nillable="true" ma:displayName="Location" ma:indexed="true" ma:internalName="MediaServiceLocation" ma:readOnly="true">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556</Value>
      <Value>14</Value>
    </TaxCatchAll>
    <lcf76f155ced4ddcb4097134ff3c332f xmlns="c760b49e-90f4-4260-b1d9-e3d7d6a75612">
      <Terms xmlns="http://schemas.microsoft.com/office/infopath/2007/PartnerControls"/>
    </lcf76f155ced4ddcb4097134ff3c332f>
    <EAReceivedDate xmlns="eebef177-55b5-4448-a5fb-28ea454417ee">2025-11-11T00:00:00+00:00</EAReceivedDate>
    <ga477587807b4e8dbd9d142e03c014fa xmlns="dbe221e7-66db-4bdb-a92c-aa517c005f15">
      <Terms xmlns="http://schemas.microsoft.com/office/infopath/2007/PartnerControls"/>
    </ga477587807b4e8dbd9d142e03c014fa>
    <PermitNumber xmlns="eebef177-55b5-4448-a5fb-28ea454417ee">EPR-CP3225SW</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EPR/CP3225SW</OtherReference>
    <EventLink xmlns="5ffd8e36-f429-4edc-ab50-c5be84842779" xsi:nil="true"/>
    <Customer_x002f_OperatorName xmlns="eebef177-55b5-4448-a5fb-28ea454417ee">SSE Hornsea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2025-10-23T23:00:00+00:00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EPR/CP3225SW</EPRNumber>
    <FacilityAddressPostcode xmlns="eebef177-55b5-4448-a5fb-28ea454417ee">HU11 4QB</FacilityAddressPostcode>
    <ed3cfd1978f244c4af5dc9d642a18018 xmlns="dbe221e7-66db-4bdb-a92c-aa517c005f15">
      <Terms xmlns="http://schemas.microsoft.com/office/infopath/2007/PartnerControls"/>
    </ed3cfd1978f244c4af5dc9d642a18018>
    <ExternalAuthor xmlns="eebef177-55b5-4448-a5fb-28ea454417ee">T. Rodehs</ExternalAuthor>
    <SiteName xmlns="eebef177-55b5-4448-a5fb-28ea454417ee">Aldbrough Hydrogen Pathfinder</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Aldbrough Gas Storage Facility, Garton Road, HU11 4QB</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Props1.xml><?xml version="1.0" encoding="utf-8"?>
<ds:datastoreItem xmlns:ds="http://schemas.openxmlformats.org/officeDocument/2006/customXml" ds:itemID="{8607E6DC-4A27-4C9D-B176-766B47CD3F1A}">
  <ds:schemaRefs>
    <ds:schemaRef ds:uri="http://schemas.microsoft.com/sharepoint/v3/contenttype/forms"/>
  </ds:schemaRefs>
</ds:datastoreItem>
</file>

<file path=customXml/itemProps2.xml><?xml version="1.0" encoding="utf-8"?>
<ds:datastoreItem xmlns:ds="http://schemas.openxmlformats.org/officeDocument/2006/customXml" ds:itemID="{E1ED0D5F-8D94-4897-BA6C-77064E4F0F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c760b49e-90f4-4260-b1d9-e3d7d6a756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E11107-607A-43C0-AD07-8F22AE2AA292}">
  <ds:schemaRefs>
    <ds:schemaRef ds:uri="c760b49e-90f4-4260-b1d9-e3d7d6a75612"/>
    <ds:schemaRef ds:uri="http://purl.org/dc/terms/"/>
    <ds:schemaRef ds:uri="http://purl.org/dc/elements/1.1/"/>
    <ds:schemaRef ds:uri="http://schemas.microsoft.com/office/2006/metadata/properties"/>
    <ds:schemaRef ds:uri="http://schemas.microsoft.com/office/infopath/2007/PartnerControls"/>
    <ds:schemaRef ds:uri="dbe221e7-66db-4bdb-a92c-aa517c005f15"/>
    <ds:schemaRef ds:uri="http://www.w3.org/XML/1998/namespace"/>
    <ds:schemaRef ds:uri="http://schemas.microsoft.com/office/2006/documentManagement/types"/>
    <ds:schemaRef ds:uri="http://schemas.openxmlformats.org/package/2006/metadata/core-properties"/>
    <ds:schemaRef ds:uri="eebef177-55b5-4448-a5fb-28ea454417ee"/>
    <ds:schemaRef ds:uri="5ffd8e36-f429-4edc-ab50-c5be84842779"/>
    <ds:schemaRef ds:uri="662745e8-e224-48e8-a2e3-254862b8c2f5"/>
    <ds:schemaRef ds:uri="http://purl.org/dc/dcmitype/"/>
  </ds:schemaRefs>
</ds:datastoreItem>
</file>

<file path=docMetadata/LabelInfo.xml><?xml version="1.0" encoding="utf-8"?>
<clbl:labelList xmlns:clbl="http://schemas.microsoft.com/office/2020/mipLabelMetadata">
  <clbl:label id="{a6c0d0a6-a4b9-4802-9a97-568759608577}" enabled="1" method="Standard" siteId="{f2fe6bd3-9c4a-485b-ae69-e18820a881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Front Cover</vt:lpstr>
      <vt:lpstr>Contents</vt:lpstr>
      <vt:lpstr>1.Sample Analysis</vt:lpstr>
      <vt:lpstr>2.Ammonia Calculations</vt:lpstr>
      <vt:lpstr>3.Background Concentrations</vt:lpstr>
      <vt:lpstr>4.H1 Test_TRaC Riverine Phase 1</vt:lpstr>
      <vt:lpstr>5.H1 Test_TRaC Riverine Phase 2</vt:lpstr>
      <vt:lpstr>'1.Sample Analysis'!Print_Area</vt:lpstr>
      <vt:lpstr>'2.Ammonia Calculations'!Print_Area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Taraka Rhodes</dc:creator>
  <cp:keywords/>
  <dc:description/>
  <cp:lastModifiedBy>Wayne Clark</cp:lastModifiedBy>
  <cp:revision/>
  <cp:lastPrinted>2025-03-13T16:58:35Z</cp:lastPrinted>
  <dcterms:created xsi:type="dcterms:W3CDTF">2023-12-05T13:04:44Z</dcterms:created>
  <dcterms:modified xsi:type="dcterms:W3CDTF">2025-12-09T16:17:34Z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0x0101000E9AD557692E154F9D2697C8C6432F76002FF98D7FBCA7AA42ADBE27AC96EFD93A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2025-10-28T15:57:52Z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884a8d1c-e505-4dc2-8ad6-d0a2efb73de0</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y fmtid="{D5CDD505-2E9C-101B-9397-08002B2CF9AE}" pid="12" name="InformationType">
    <vt:lpwstr/>
  </property>
  <property fmtid="{D5CDD505-2E9C-101B-9397-08002B2CF9AE}" pid="13" name="Distribution">
    <vt:lpwstr>9;#Internal EA|b77da37e-7166-4741-8c12-4679faab22d9</vt:lpwstr>
  </property>
  <property fmtid="{D5CDD505-2E9C-101B-9397-08002B2CF9AE}" pid="14" name="HOCopyrightLevel">
    <vt:lpwstr>7;#Crown|69589897-2828-4761-976e-717fd8e631c9</vt:lpwstr>
  </property>
  <property fmtid="{D5CDD505-2E9C-101B-9397-08002B2CF9AE}" pid="15" name="HOGovernmentSecurityClassification">
    <vt:lpwstr>6;#Official|14c80daa-741b-422c-9722-f71693c9ede4</vt:lpwstr>
  </property>
  <property fmtid="{D5CDD505-2E9C-101B-9397-08002B2CF9AE}" pid="16" name="OrganisationalUnit">
    <vt:lpwstr>8;#EA|d5f78ddb-b1b6-4328-9877-d7e3ed06fdac</vt:lpwstr>
  </property>
  <property fmtid="{D5CDD505-2E9C-101B-9397-08002B2CF9AE}" pid="17" name="HOSiteType">
    <vt:lpwstr>10;#Team|ff0485df-0575-416f-802f-e999165821b7</vt:lpwstr>
  </property>
  <property fmtid="{D5CDD505-2E9C-101B-9397-08002B2CF9AE}" pid="18" name="PermitDocumentType">
    <vt:lpwstr/>
  </property>
  <property fmtid="{D5CDD505-2E9C-101B-9397-08002B2CF9AE}" pid="19" name="TypeofPermit">
    <vt:lpwstr>556;#To be confirmed|848d856d-b418-408d-977a-0b756acaad6b</vt:lpwstr>
  </property>
  <property fmtid="{D5CDD505-2E9C-101B-9397-08002B2CF9AE}" pid="20" name="DisclosureStatus">
    <vt:lpwstr>41;#Public Register|f1fcf6a6-5d97-4f1d-964e-a2f916eb1f18</vt:lpwstr>
  </property>
  <property fmtid="{D5CDD505-2E9C-101B-9397-08002B2CF9AE}" pid="21" name="ActivityGrouping">
    <vt:lpwstr>14;#Application ＆ Associated Docs|5eadfd3c-6deb-44e1-b7e1-16accd427bec</vt:lpwstr>
  </property>
  <property fmtid="{D5CDD505-2E9C-101B-9397-08002B2CF9AE}" pid="22" name="Catchment">
    <vt:lpwstr/>
  </property>
  <property fmtid="{D5CDD505-2E9C-101B-9397-08002B2CF9AE}" pid="23" name="MajorProjectID">
    <vt:lpwstr/>
  </property>
  <property fmtid="{D5CDD505-2E9C-101B-9397-08002B2CF9AE}" pid="24" name="StandardRulesID">
    <vt:lpwstr/>
  </property>
  <property fmtid="{D5CDD505-2E9C-101B-9397-08002B2CF9AE}" pid="25" name="CessationStatus">
    <vt:lpwstr/>
  </property>
  <property fmtid="{D5CDD505-2E9C-101B-9397-08002B2CF9AE}" pid="26" name="Regime">
    <vt:lpwstr>11;#EPR|0e5af97d-1a8c-4d8f-a20b-528a11cab1f6</vt:lpwstr>
  </property>
  <property fmtid="{D5CDD505-2E9C-101B-9397-08002B2CF9AE}" pid="27" name="RegulatedActivitySub_x002d_Class">
    <vt:lpwstr/>
  </property>
  <property fmtid="{D5CDD505-2E9C-101B-9397-08002B2CF9AE}" pid="28" name="RegulatedActivitySub-Class">
    <vt:lpwstr/>
  </property>
  <property fmtid="{D5CDD505-2E9C-101B-9397-08002B2CF9AE}" pid="29" name="EventType1">
    <vt:lpwstr/>
  </property>
  <property fmtid="{D5CDD505-2E9C-101B-9397-08002B2CF9AE}" pid="30" name="RegulatedActivityClass">
    <vt:lpwstr>49;#Installations|645f1c9c-65df-490a-9ce3-4a2aa7c5ff7f</vt:lpwstr>
  </property>
</Properties>
</file>