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gacy\UKCRD1FP001\UKCRD1FP001-V1IE\projects\general\Air Quality\Projects\RWE Ellesmere Port Air Quality Assessment\Permitting\Grimsby\H1 Software\"/>
    </mc:Choice>
  </mc:AlternateContent>
  <xr:revisionPtr revIDLastSave="0" documentId="13_ncr:1_{4C1550B5-A678-41CF-B112-B4C4F1B5FCFC}" xr6:coauthVersionLast="45" xr6:coauthVersionMax="45" xr10:uidLastSave="{00000000-0000-0000-0000-000000000000}"/>
  <bookViews>
    <workbookView xWindow="-108" yWindow="-108" windowWidth="30936" windowHeight="16896" activeTab="1" xr2:uid="{00000000-000D-0000-FFFF-FFFF00000000}"/>
  </bookViews>
  <sheets>
    <sheet name="Grimsby A" sheetId="17" r:id="rId1"/>
    <sheet name="Grimsby B" sheetId="10" r:id="rId2"/>
    <sheet name="BG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7" l="1"/>
  <c r="D41" i="10"/>
  <c r="C37" i="10"/>
  <c r="B42" i="10" l="1"/>
  <c r="C42" i="10" s="1"/>
  <c r="C41" i="10"/>
  <c r="B41" i="10"/>
  <c r="B43" i="10"/>
  <c r="C43" i="10" s="1"/>
  <c r="C42" i="17"/>
  <c r="C43" i="17"/>
  <c r="C41" i="17"/>
  <c r="B43" i="17"/>
  <c r="B42" i="17"/>
  <c r="B41" i="17"/>
  <c r="L16" i="18" l="1"/>
  <c r="L27" i="18" s="1"/>
  <c r="K16" i="18"/>
  <c r="K27" i="18"/>
  <c r="J16" i="18"/>
  <c r="J27" i="18" s="1"/>
  <c r="I16" i="18"/>
  <c r="I27" i="18" s="1"/>
  <c r="I23" i="18"/>
  <c r="J23" i="18"/>
  <c r="K23" i="18"/>
  <c r="L23" i="18"/>
  <c r="I24" i="18"/>
  <c r="J24" i="18"/>
  <c r="K24" i="18"/>
  <c r="L24" i="18"/>
  <c r="J22" i="18"/>
  <c r="K22" i="18"/>
  <c r="L22" i="18"/>
  <c r="I22" i="18"/>
  <c r="I20" i="18"/>
  <c r="J20" i="18"/>
  <c r="K20" i="18"/>
  <c r="L20" i="18"/>
  <c r="I21" i="18"/>
  <c r="J21" i="18"/>
  <c r="K21" i="18"/>
  <c r="L21" i="18"/>
  <c r="J19" i="18"/>
  <c r="K19" i="18"/>
  <c r="L19" i="18"/>
  <c r="I19" i="18"/>
  <c r="D27" i="18"/>
  <c r="E27" i="18"/>
  <c r="C27" i="18"/>
  <c r="D16" i="18"/>
  <c r="E16" i="18"/>
  <c r="C16" i="18"/>
  <c r="C23" i="18"/>
  <c r="D23" i="18"/>
  <c r="E23" i="18"/>
  <c r="C24" i="18"/>
  <c r="D24" i="18"/>
  <c r="E24" i="18"/>
  <c r="D22" i="18"/>
  <c r="E22" i="18"/>
  <c r="C22" i="18"/>
  <c r="D19" i="18"/>
  <c r="E19" i="18"/>
  <c r="D20" i="18"/>
  <c r="E20" i="18"/>
  <c r="D21" i="18"/>
  <c r="E21" i="18"/>
  <c r="C20" i="18"/>
  <c r="C21" i="18"/>
  <c r="C19" i="18"/>
  <c r="J15" i="18"/>
  <c r="K15" i="18"/>
  <c r="L15" i="18"/>
  <c r="I15" i="18"/>
  <c r="C15" i="18"/>
  <c r="E15" i="18" l="1"/>
  <c r="D15" i="18"/>
  <c r="D17" i="17"/>
  <c r="D18" i="17" s="1"/>
  <c r="C10" i="17"/>
  <c r="F68" i="10" l="1"/>
  <c r="F67" i="10"/>
  <c r="F64" i="10" l="1"/>
  <c r="F63" i="10"/>
  <c r="F61" i="10"/>
  <c r="E61" i="10"/>
  <c r="C61" i="10"/>
  <c r="C13" i="17" l="1"/>
  <c r="C12" i="17"/>
  <c r="C18" i="17" l="1"/>
  <c r="G18" i="17" s="1"/>
  <c r="C16" i="17"/>
  <c r="C17" i="17" s="1"/>
  <c r="C9" i="17"/>
  <c r="C15" i="17" s="1"/>
  <c r="C20" i="17" s="1"/>
  <c r="C35" i="17" s="1"/>
  <c r="M54" i="17"/>
  <c r="O36" i="17"/>
  <c r="M36" i="17"/>
  <c r="J35" i="17"/>
  <c r="J34" i="17" s="1"/>
  <c r="H35" i="17"/>
  <c r="H34" i="17" s="1"/>
  <c r="G35" i="17"/>
  <c r="F35" i="17"/>
  <c r="E35" i="17"/>
  <c r="D35" i="17"/>
  <c r="D34" i="17" s="1"/>
  <c r="A35" i="17"/>
  <c r="G34" i="17"/>
  <c r="F34" i="17"/>
  <c r="E34" i="17"/>
  <c r="A34" i="17"/>
  <c r="M27" i="17"/>
  <c r="M26" i="17"/>
  <c r="A26" i="17"/>
  <c r="A25" i="17"/>
  <c r="O19" i="17"/>
  <c r="O20" i="17" s="1"/>
  <c r="O21" i="17" s="1"/>
  <c r="O35" i="17" s="1"/>
  <c r="O37" i="17" s="1"/>
  <c r="M19" i="17"/>
  <c r="M20" i="17" s="1"/>
  <c r="M21" i="17" s="1"/>
  <c r="M35" i="17" s="1"/>
  <c r="M37" i="17" s="1"/>
  <c r="H17" i="17"/>
  <c r="H16" i="17" s="1"/>
  <c r="J13" i="17"/>
  <c r="H13" i="17"/>
  <c r="G13" i="17"/>
  <c r="F13" i="17"/>
  <c r="E13" i="17"/>
  <c r="D13" i="17"/>
  <c r="I12" i="17"/>
  <c r="H12" i="17"/>
  <c r="G12" i="17"/>
  <c r="F12" i="17"/>
  <c r="E12" i="17"/>
  <c r="D12" i="17"/>
  <c r="M10" i="17"/>
  <c r="M12" i="17" s="1"/>
  <c r="M13" i="17" s="1"/>
  <c r="J10" i="17"/>
  <c r="I10" i="17"/>
  <c r="H10" i="17"/>
  <c r="G10" i="17"/>
  <c r="F10" i="17"/>
  <c r="E10" i="17"/>
  <c r="D10" i="17"/>
  <c r="M9" i="17"/>
  <c r="M8" i="17"/>
  <c r="C8" i="17" l="1"/>
  <c r="C14" i="17" s="1"/>
  <c r="C19" i="17" s="1"/>
  <c r="C11" i="17" s="1"/>
  <c r="J11" i="17" s="1"/>
  <c r="J12" i="17" s="1"/>
  <c r="C38" i="17"/>
  <c r="C39" i="17"/>
  <c r="C37" i="17"/>
  <c r="C36" i="17"/>
  <c r="C26" i="17"/>
  <c r="F20" i="17"/>
  <c r="I9" i="17"/>
  <c r="G9" i="17"/>
  <c r="J9" i="17"/>
  <c r="J15" i="17" s="1"/>
  <c r="J14" i="17" s="1"/>
  <c r="D9" i="17"/>
  <c r="H9" i="17"/>
  <c r="Q37" i="17"/>
  <c r="E15" i="17"/>
  <c r="E19" i="10"/>
  <c r="E11" i="10" s="1"/>
  <c r="C19" i="10"/>
  <c r="C20" i="10" s="1"/>
  <c r="D13" i="10"/>
  <c r="E20" i="17" l="1"/>
  <c r="E9" i="17"/>
  <c r="E14" i="17"/>
  <c r="F19" i="17"/>
  <c r="F26" i="17"/>
  <c r="F15" i="17"/>
  <c r="F14" i="17" s="1"/>
  <c r="H15" i="17"/>
  <c r="H14" i="17" s="1"/>
  <c r="H8" i="17"/>
  <c r="H18" i="17"/>
  <c r="F16" i="17"/>
  <c r="F17" i="17" s="1"/>
  <c r="E16" i="17"/>
  <c r="E17" i="17" s="1"/>
  <c r="D16" i="17"/>
  <c r="I17" i="17" s="1"/>
  <c r="I16" i="17" s="1"/>
  <c r="J16" i="17"/>
  <c r="J17" i="17" s="1"/>
  <c r="J18" i="17" s="1"/>
  <c r="G8" i="17"/>
  <c r="G17" i="17"/>
  <c r="G16" i="17" s="1"/>
  <c r="D8" i="17"/>
  <c r="D15" i="17"/>
  <c r="C25" i="17"/>
  <c r="C27" i="17"/>
  <c r="C28" i="17"/>
  <c r="C34" i="17"/>
  <c r="J20" i="17"/>
  <c r="J8" i="17"/>
  <c r="I8" i="17"/>
  <c r="G15" i="17"/>
  <c r="I15" i="17"/>
  <c r="I14" i="17" s="1"/>
  <c r="H10" i="10"/>
  <c r="H12" i="10"/>
  <c r="F9" i="17" l="1"/>
  <c r="F8" i="17" s="1"/>
  <c r="J26" i="17"/>
  <c r="J19" i="17"/>
  <c r="I18" i="17"/>
  <c r="D20" i="17"/>
  <c r="D14" i="17"/>
  <c r="F28" i="17"/>
  <c r="F27" i="17"/>
  <c r="F25" i="17"/>
  <c r="E8" i="17"/>
  <c r="E18" i="17"/>
  <c r="G14" i="17"/>
  <c r="G20" i="17"/>
  <c r="E19" i="17"/>
  <c r="E11" i="17" s="1"/>
  <c r="E26" i="17"/>
  <c r="H20" i="17"/>
  <c r="F11" i="17"/>
  <c r="F18" i="17" l="1"/>
  <c r="J25" i="17"/>
  <c r="J28" i="17"/>
  <c r="J27" i="17"/>
  <c r="D19" i="17"/>
  <c r="D11" i="17" s="1"/>
  <c r="D26" i="17"/>
  <c r="H26" i="17"/>
  <c r="H19" i="17"/>
  <c r="I13" i="17" s="1"/>
  <c r="E27" i="17"/>
  <c r="E25" i="17"/>
  <c r="E28" i="17"/>
  <c r="G19" i="17"/>
  <c r="G11" i="17" s="1"/>
  <c r="G26" i="17"/>
  <c r="G27" i="17" l="1"/>
  <c r="G25" i="17"/>
  <c r="G28" i="17"/>
  <c r="H11" i="17"/>
  <c r="I20" i="17"/>
  <c r="I19" i="17" s="1"/>
  <c r="H28" i="17"/>
  <c r="H25" i="17"/>
  <c r="H27" i="17"/>
  <c r="D27" i="17"/>
  <c r="D25" i="17"/>
  <c r="D28" i="17"/>
  <c r="D14" i="10"/>
  <c r="D19" i="10" s="1"/>
  <c r="D20" i="10" s="1"/>
  <c r="C15" i="10"/>
  <c r="C9" i="10" s="1"/>
  <c r="H9" i="10" s="1"/>
  <c r="M12" i="10"/>
  <c r="E15" i="10"/>
  <c r="E9" i="10" s="1"/>
  <c r="Q19" i="10"/>
  <c r="S19" i="10"/>
  <c r="S20" i="10" s="1"/>
  <c r="S21" i="10" s="1"/>
  <c r="S35" i="10" s="1"/>
  <c r="D10" i="10"/>
  <c r="E8" i="10" l="1"/>
  <c r="U37" i="10" s="1"/>
  <c r="E17" i="10"/>
  <c r="E16" i="10" s="1"/>
  <c r="D15" i="10"/>
  <c r="D9" i="10" s="1"/>
  <c r="D8" i="10" s="1"/>
  <c r="C17" i="10"/>
  <c r="C16" i="10" s="1"/>
  <c r="D12" i="10"/>
  <c r="D35" i="10" s="1"/>
  <c r="D34" i="10" s="1"/>
  <c r="C8" i="10"/>
  <c r="S37" i="10"/>
  <c r="S36" i="10"/>
  <c r="N35" i="10"/>
  <c r="N34" i="10" s="1"/>
  <c r="L35" i="10"/>
  <c r="L34" i="10" s="1"/>
  <c r="K35" i="10"/>
  <c r="K34" i="10" s="1"/>
  <c r="J35" i="10"/>
  <c r="J34" i="10" s="1"/>
  <c r="I35" i="10"/>
  <c r="I34" i="10" s="1"/>
  <c r="H35" i="10"/>
  <c r="H34" i="10" s="1"/>
  <c r="A35" i="10"/>
  <c r="A34" i="10"/>
  <c r="D36" i="10" l="1"/>
  <c r="D11" i="10"/>
  <c r="D26" i="10"/>
  <c r="D28" i="10" s="1"/>
  <c r="D37" i="10" s="1"/>
  <c r="N9" i="10"/>
  <c r="N8" i="10" s="1"/>
  <c r="N16" i="10"/>
  <c r="N17" i="10" s="1"/>
  <c r="Q36" i="10"/>
  <c r="Q54" i="10"/>
  <c r="Q20" i="10"/>
  <c r="Q21" i="10" s="1"/>
  <c r="Q35" i="10" s="1"/>
  <c r="Q27" i="10"/>
  <c r="Q26" i="10"/>
  <c r="K10" i="10"/>
  <c r="A25" i="10"/>
  <c r="A26" i="10"/>
  <c r="H8" i="10"/>
  <c r="L9" i="10"/>
  <c r="K9" i="10"/>
  <c r="K8" i="10" s="1"/>
  <c r="M9" i="10"/>
  <c r="M8" i="10" s="1"/>
  <c r="Q9" i="10"/>
  <c r="Q10" i="10"/>
  <c r="Q12" i="10" s="1"/>
  <c r="Q13" i="10" s="1"/>
  <c r="Q8" i="10"/>
  <c r="L17" i="10"/>
  <c r="L16" i="10" s="1"/>
  <c r="L18" i="10" l="1"/>
  <c r="D25" i="10"/>
  <c r="D27" i="10"/>
  <c r="Q37" i="10"/>
  <c r="I15" i="10"/>
  <c r="N18" i="10"/>
  <c r="K15" i="10"/>
  <c r="K14" i="10" s="1"/>
  <c r="H15" i="10"/>
  <c r="H14" i="10" s="1"/>
  <c r="N10" i="10"/>
  <c r="N15" i="10" s="1"/>
  <c r="N14" i="10" s="1"/>
  <c r="L10" i="10"/>
  <c r="L15" i="10" s="1"/>
  <c r="L14" i="10" s="1"/>
  <c r="I10" i="10"/>
  <c r="M10" i="10"/>
  <c r="M15" i="10" s="1"/>
  <c r="M14" i="10" s="1"/>
  <c r="J10" i="10"/>
  <c r="K18" i="10"/>
  <c r="K17" i="10" s="1"/>
  <c r="K16" i="10" s="1"/>
  <c r="I16" i="10"/>
  <c r="I17" i="10" s="1"/>
  <c r="H16" i="10"/>
  <c r="H17" i="10" s="1"/>
  <c r="M17" i="10" s="1"/>
  <c r="M16" i="10" s="1"/>
  <c r="J16" i="10"/>
  <c r="J17" i="10" s="1"/>
  <c r="L8" i="10"/>
  <c r="L12" i="10"/>
  <c r="I12" i="10"/>
  <c r="J12" i="10"/>
  <c r="K12" i="10"/>
  <c r="H18" i="10" l="1"/>
  <c r="M18" i="10"/>
  <c r="I14" i="10"/>
  <c r="I9" i="10"/>
  <c r="I8" i="10" s="1"/>
  <c r="C38" i="10" l="1"/>
  <c r="I18" i="10"/>
  <c r="H13" i="10" l="1"/>
  <c r="H20" i="10" s="1"/>
  <c r="I13" i="10"/>
  <c r="I20" i="10" s="1"/>
  <c r="I26" i="10" s="1"/>
  <c r="K13" i="10"/>
  <c r="K20" i="10" s="1"/>
  <c r="L13" i="10"/>
  <c r="L20" i="10" s="1"/>
  <c r="L26" i="10" s="1"/>
  <c r="N13" i="10"/>
  <c r="N20" i="10" s="1"/>
  <c r="J13" i="10"/>
  <c r="K26" i="10" l="1"/>
  <c r="K25" i="10" s="1"/>
  <c r="K19" i="10"/>
  <c r="K11" i="10" s="1"/>
  <c r="L27" i="10"/>
  <c r="L28" i="10"/>
  <c r="L25" i="10"/>
  <c r="H26" i="10"/>
  <c r="H19" i="10"/>
  <c r="H11" i="10" s="1"/>
  <c r="N19" i="10"/>
  <c r="I25" i="10"/>
  <c r="I28" i="10"/>
  <c r="I27" i="10"/>
  <c r="J20" i="10"/>
  <c r="C26" i="10"/>
  <c r="C35" i="10"/>
  <c r="C11" i="10"/>
  <c r="N11" i="10" s="1"/>
  <c r="N12" i="10" s="1"/>
  <c r="N26" i="10" s="1"/>
  <c r="L19" i="10"/>
  <c r="I19" i="10"/>
  <c r="I11" i="10" s="1"/>
  <c r="K27" i="10" l="1"/>
  <c r="K28" i="10"/>
  <c r="C27" i="10"/>
  <c r="C28" i="10"/>
  <c r="B37" i="10" s="1"/>
  <c r="C25" i="10"/>
  <c r="J15" i="10"/>
  <c r="J14" i="10" s="1"/>
  <c r="J19" i="10"/>
  <c r="J26" i="10"/>
  <c r="H25" i="10"/>
  <c r="H27" i="10"/>
  <c r="H28" i="10"/>
  <c r="N25" i="10"/>
  <c r="N27" i="10"/>
  <c r="N28" i="10"/>
  <c r="C36" i="10"/>
  <c r="C34" i="10"/>
  <c r="L11" i="10"/>
  <c r="M13" i="10"/>
  <c r="M20" i="10" s="1"/>
  <c r="M19" i="10" s="1"/>
  <c r="J9" i="10" l="1"/>
  <c r="J18" i="10" s="1"/>
  <c r="J27" i="10"/>
  <c r="J28" i="10"/>
  <c r="J25" i="10"/>
  <c r="J11" i="10"/>
  <c r="E20" i="10"/>
  <c r="J8" i="10" l="1"/>
  <c r="E35" i="10"/>
  <c r="E26" i="10"/>
  <c r="E25" i="10" l="1"/>
  <c r="E28" i="10"/>
  <c r="E37" i="10" s="1"/>
  <c r="E27" i="10"/>
  <c r="G27" i="10" s="1"/>
  <c r="E36" i="10"/>
  <c r="E3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Patrick Froggatt</author>
  </authors>
  <commentList>
    <comment ref="M7" authorId="0" shapeId="0" xr:uid="{AF23087A-D2B2-4C65-8CB2-EE8ED087E68A}">
      <text>
        <r>
          <rPr>
            <sz val="8"/>
            <color indexed="81"/>
            <rFont val="Tahoma"/>
            <family val="2"/>
          </rPr>
          <t>Approximation</t>
        </r>
      </text>
    </comment>
    <comment ref="L17" authorId="1" shapeId="0" xr:uid="{E1F1FDC0-AC07-43DF-828D-5A1FBCBF5C0E}">
      <text>
        <r>
          <rPr>
            <b/>
            <sz val="8"/>
            <color indexed="81"/>
            <rFont val="Tahoma"/>
            <family val="2"/>
          </rPr>
          <t>Patrick Froggatt:</t>
        </r>
        <r>
          <rPr>
            <sz val="8"/>
            <color indexed="81"/>
            <rFont val="Tahoma"/>
            <family val="2"/>
          </rPr>
          <t xml:space="preserve">
Standard pressure at sea level 101325 Pa)</t>
        </r>
      </text>
    </comment>
    <comment ref="L18" authorId="1" shapeId="0" xr:uid="{96FDD36A-3DDC-44EE-97EE-CF889D5A0CA4}">
      <text>
        <r>
          <rPr>
            <b/>
            <sz val="8"/>
            <color indexed="81"/>
            <rFont val="Tahoma"/>
            <family val="2"/>
          </rPr>
          <t>Patrick Froggatt:</t>
        </r>
        <r>
          <rPr>
            <sz val="8"/>
            <color indexed="81"/>
            <rFont val="Tahoma"/>
            <family val="2"/>
          </rPr>
          <t xml:space="preserve">
Specifi gas constant for dry air 287.05 j/(kg.k)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Patrick Froggatt</author>
  </authors>
  <commentList>
    <comment ref="Q7" authorId="0" shapeId="0" xr:uid="{00000000-0006-0000-0100-000002000000}">
      <text>
        <r>
          <rPr>
            <sz val="8"/>
            <color indexed="81"/>
            <rFont val="Tahoma"/>
            <family val="2"/>
          </rPr>
          <t>Approximation</t>
        </r>
      </text>
    </comment>
    <comment ref="P17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Patrick Froggatt:</t>
        </r>
        <r>
          <rPr>
            <sz val="8"/>
            <color indexed="81"/>
            <rFont val="Tahoma"/>
            <family val="2"/>
          </rPr>
          <t xml:space="preserve">
Standard pressure at sea level 101325 Pa)</t>
        </r>
      </text>
    </comment>
    <comment ref="P18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Patrick Froggatt:</t>
        </r>
        <r>
          <rPr>
            <sz val="8"/>
            <color indexed="81"/>
            <rFont val="Tahoma"/>
            <family val="2"/>
          </rPr>
          <t xml:space="preserve">
Specifi gas constant for dry air 287.05 j/(kg.k)</t>
        </r>
      </text>
    </comment>
  </commentList>
</comments>
</file>

<file path=xl/sharedStrings.xml><?xml version="1.0" encoding="utf-8"?>
<sst xmlns="http://schemas.openxmlformats.org/spreadsheetml/2006/main" count="352" uniqueCount="130">
  <si>
    <t>-</t>
  </si>
  <si>
    <t>Concentration</t>
  </si>
  <si>
    <t>%</t>
  </si>
  <si>
    <t>Data Provided</t>
  </si>
  <si>
    <t>Data Calculated</t>
  </si>
  <si>
    <t>Parameter</t>
  </si>
  <si>
    <t>Flue gas flow wet, Am3/h</t>
  </si>
  <si>
    <t>Flue gas flow wet, Am3/s</t>
  </si>
  <si>
    <t>Duct temp, Deg C</t>
  </si>
  <si>
    <t>Duct O2, % vol (wet basis)</t>
  </si>
  <si>
    <t>Flue gas density</t>
  </si>
  <si>
    <t>kg/m3 wet</t>
  </si>
  <si>
    <t>Duct O2, % vol (dry basis)</t>
  </si>
  <si>
    <t>Flue gas mass</t>
  </si>
  <si>
    <t>kg/s</t>
  </si>
  <si>
    <t>Duct H2O, % vol</t>
  </si>
  <si>
    <t>water</t>
  </si>
  <si>
    <t>Nm3/h</t>
  </si>
  <si>
    <t>Flue gas flow, Nm3/h (0 degC, WET, Actual O2)</t>
  </si>
  <si>
    <t>Nm3/s</t>
  </si>
  <si>
    <t>Flue gas flow, Nm3/s (0 degC, WET, Actual O2)</t>
  </si>
  <si>
    <t>water density</t>
  </si>
  <si>
    <t>kg/m3</t>
  </si>
  <si>
    <t>water mass</t>
  </si>
  <si>
    <t>water % mass</t>
  </si>
  <si>
    <t>Stack velocity, m/s</t>
  </si>
  <si>
    <t>Flue gas flow, Nm3/h (0 degC, DRY, Actual O2)</t>
  </si>
  <si>
    <t>Flue gas flow, Nm3/s (0 degC, DRY, Actual O2)</t>
  </si>
  <si>
    <t>Pollutant</t>
  </si>
  <si>
    <t>mg.Nm3</t>
  </si>
  <si>
    <t>Mass Emissions</t>
  </si>
  <si>
    <t>Flue diameter, m</t>
  </si>
  <si>
    <t>Flue area, m2</t>
  </si>
  <si>
    <t>Velocity</t>
  </si>
  <si>
    <t>Flow (Actual)</t>
  </si>
  <si>
    <t>Flow (Norm 0deg, Wet,Act O2)</t>
  </si>
  <si>
    <t>Flow (Norm 0deg, dry,11% O2)</t>
  </si>
  <si>
    <t>deg K</t>
  </si>
  <si>
    <t xml:space="preserve">Plume Visibility </t>
  </si>
  <si>
    <t>Flue Area</t>
  </si>
  <si>
    <t>% O2 for Emission Values</t>
  </si>
  <si>
    <t>Air Density</t>
  </si>
  <si>
    <t>Pa</t>
  </si>
  <si>
    <t>Density of dry air</t>
  </si>
  <si>
    <t>Air pressure</t>
  </si>
  <si>
    <t>Specific gas constant</t>
  </si>
  <si>
    <t>j/(kg.k)</t>
  </si>
  <si>
    <t>Temp</t>
  </si>
  <si>
    <t>Deg C</t>
  </si>
  <si>
    <t>Concentration Change with temp</t>
  </si>
  <si>
    <t>g or ouE/m3</t>
  </si>
  <si>
    <t>Measured Conc</t>
  </si>
  <si>
    <t>Sampling temp</t>
  </si>
  <si>
    <t>Normalised Conc</t>
  </si>
  <si>
    <t>Emission Calculations</t>
  </si>
  <si>
    <t>g.s-1</t>
  </si>
  <si>
    <t>Flow (Actual Wet O2)</t>
  </si>
  <si>
    <t>Calc % H2O</t>
  </si>
  <si>
    <t>g/s</t>
  </si>
  <si>
    <t>Re: Conversion Kg/Hr to M3/h</t>
  </si>
  <si>
    <t xml:space="preserve">Dry air at 0º C has a density of </t>
  </si>
  <si>
    <t xml:space="preserve"> kg/m³</t>
  </si>
  <si>
    <t>Density of stack gas @ temperature</t>
  </si>
  <si>
    <t>Flue Gas Mass Flow</t>
  </si>
  <si>
    <t>kg/hr / (Density kg/m³) = m³/hr</t>
  </si>
  <si>
    <t>m³/hr</t>
  </si>
  <si>
    <t xml:space="preserve">ppmv = air pollutant concentration, in parts per million by volume </t>
  </si>
  <si>
    <t>mg/m³ = milligrams of pollutant per cubic meter of air</t>
  </si>
  <si>
    <t xml:space="preserve">T = atmospheric temperature in kelvins = 273.15 + °C </t>
  </si>
  <si>
    <t xml:space="preserve">0.08205 = Universal Gas Law constant in atm·l/(mol·K) </t>
  </si>
  <si>
    <t xml:space="preserve">M = molecular weight of the air pollutant (dimensionless) </t>
  </si>
  <si>
    <t>ppmv = mg/m3*((0.08205*T)/M)</t>
  </si>
  <si>
    <t>mg/m3 = ppmv*(M/(0,08205*T))</t>
  </si>
  <si>
    <t>Converting air pollutant concentrations</t>
  </si>
  <si>
    <t>Pressure Corrections</t>
  </si>
  <si>
    <t>Standard Pressure</t>
  </si>
  <si>
    <t>Measure Pressure</t>
  </si>
  <si>
    <t>Measure Value</t>
  </si>
  <si>
    <t>Corrected Value</t>
  </si>
  <si>
    <t>= measured value * (101.3 (Kpa)/measured [pressure (Kpa))</t>
  </si>
  <si>
    <t>kg/h</t>
  </si>
  <si>
    <t>Height (m)</t>
  </si>
  <si>
    <t># of Engines</t>
  </si>
  <si>
    <t>Per Engine
Clark 4.5MW</t>
  </si>
  <si>
    <t>Per Engine
Clark 2.67MW</t>
  </si>
  <si>
    <t>NOx</t>
  </si>
  <si>
    <t>JMS 616 GS-N.L</t>
  </si>
  <si>
    <t>JMS 624 GS-N.L</t>
  </si>
  <si>
    <t>9.8 / 10</t>
  </si>
  <si>
    <t>CO</t>
  </si>
  <si>
    <t>9.8 / 9.6</t>
  </si>
  <si>
    <t>10.82 / 11.03</t>
  </si>
  <si>
    <t>Power Input</t>
  </si>
  <si>
    <t>kW</t>
  </si>
  <si>
    <t>Mechanical output</t>
  </si>
  <si>
    <t>Electrical output</t>
  </si>
  <si>
    <t>kW el</t>
  </si>
  <si>
    <t>Total output generated</t>
  </si>
  <si>
    <t>kW total</t>
  </si>
  <si>
    <t>Fuel Gas LHV</t>
  </si>
  <si>
    <t>kWh/Nm3</t>
  </si>
  <si>
    <t>Gas Vol</t>
  </si>
  <si>
    <t>kWh/h</t>
  </si>
  <si>
    <t>MW/yr</t>
  </si>
  <si>
    <t>kW/yr</t>
  </si>
  <si>
    <t>hrs</t>
  </si>
  <si>
    <t>GWP</t>
  </si>
  <si>
    <t>CO2 Emission Factor (kg/MWh)</t>
  </si>
  <si>
    <t>Annual CO2 Emissions (tonnes)</t>
  </si>
  <si>
    <t>Annual CO2 Emissions (kg)</t>
  </si>
  <si>
    <t>R1</t>
  </si>
  <si>
    <t>R2</t>
  </si>
  <si>
    <t>R3</t>
  </si>
  <si>
    <t>R4</t>
  </si>
  <si>
    <t>X3</t>
  </si>
  <si>
    <t>R5</t>
  </si>
  <si>
    <t>R6</t>
  </si>
  <si>
    <t>PC</t>
  </si>
  <si>
    <t>Annual</t>
  </si>
  <si>
    <t>CC</t>
  </si>
  <si>
    <t>PEC</t>
  </si>
  <si>
    <t>ST</t>
  </si>
  <si>
    <t>PC 99.79</t>
  </si>
  <si>
    <t>PC 98.8</t>
  </si>
  <si>
    <t>PEC 99.33</t>
  </si>
  <si>
    <t>CC 99.32</t>
  </si>
  <si>
    <t>N/A</t>
  </si>
  <si>
    <t>@ 1,500 hours</t>
  </si>
  <si>
    <t>@ 2,250 hours</t>
  </si>
  <si>
    <t>NO2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</si>
</sst>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,##0.0000"/>
    <numFmt numFmtId="166" formatCode="0.000"/>
    <numFmt numFmtId="167" formatCode="0.000000"/>
    <numFmt numFmtId="168" formatCode="#,##0.000"/>
    <numFmt numFmtId="169" formatCode="0.0000"/>
    <numFmt numFmtId="170" formatCode="#,##0.00000"/>
    <numFmt numFmtId="171" formatCode="#,##0.0"/>
    <numFmt numFmtId="172" formatCode="0.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10"/>
      <color indexed="63"/>
      <name val="Helvetica"/>
      <family val="2"/>
    </font>
    <font>
      <b/>
      <sz val="10"/>
      <color indexed="63"/>
      <name val="Helvetic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</font>
    <font>
      <sz val="8"/>
      <name val="Arial"/>
    </font>
  </fonts>
  <fills count="4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9" fillId="0" borderId="0" applyNumberFormat="0" applyFill="0" applyBorder="0" applyAlignment="0" applyProtection="0"/>
    <xf numFmtId="0" fontId="10" fillId="0" borderId="50" applyNumberFormat="0" applyFill="0" applyAlignment="0" applyProtection="0"/>
    <xf numFmtId="0" fontId="11" fillId="0" borderId="51" applyNumberFormat="0" applyFill="0" applyAlignment="0" applyProtection="0"/>
    <xf numFmtId="0" fontId="12" fillId="0" borderId="52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53" applyNumberFormat="0" applyAlignment="0" applyProtection="0"/>
    <xf numFmtId="0" fontId="17" fillId="12" borderId="54" applyNumberFormat="0" applyAlignment="0" applyProtection="0"/>
    <xf numFmtId="0" fontId="18" fillId="12" borderId="53" applyNumberFormat="0" applyAlignment="0" applyProtection="0"/>
    <xf numFmtId="0" fontId="19" fillId="0" borderId="55" applyNumberFormat="0" applyFill="0" applyAlignment="0" applyProtection="0"/>
    <xf numFmtId="0" fontId="20" fillId="13" borderId="5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8" applyNumberFormat="0" applyFill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0" borderId="0"/>
    <xf numFmtId="0" fontId="1" fillId="14" borderId="57" applyNumberFormat="0" applyFont="0" applyAlignment="0" applyProtection="0"/>
    <xf numFmtId="9" fontId="26" fillId="0" borderId="0" applyFont="0" applyFill="0" applyBorder="0" applyAlignment="0" applyProtection="0"/>
  </cellStyleXfs>
  <cellXfs count="164">
    <xf numFmtId="0" fontId="0" fillId="0" borderId="0" xfId="0"/>
    <xf numFmtId="0" fontId="0" fillId="2" borderId="1" xfId="0" applyFill="1" applyBorder="1"/>
    <xf numFmtId="0" fontId="2" fillId="0" borderId="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justify" vertical="top" wrapText="1"/>
    </xf>
    <xf numFmtId="0" fontId="2" fillId="0" borderId="1" xfId="0" applyFont="1" applyBorder="1"/>
    <xf numFmtId="0" fontId="5" fillId="0" borderId="0" xfId="0" applyFont="1" applyAlignment="1">
      <alignment horizontal="center"/>
    </xf>
    <xf numFmtId="2" fontId="3" fillId="3" borderId="15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2" fontId="3" fillId="4" borderId="15" xfId="0" applyNumberFormat="1" applyFont="1" applyFill="1" applyBorder="1" applyAlignment="1">
      <alignment horizontal="center" vertical="top" wrapText="1"/>
    </xf>
    <xf numFmtId="3" fontId="3" fillId="4" borderId="15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3" fillId="0" borderId="0" xfId="0" applyFont="1" applyFill="1" applyBorder="1"/>
    <xf numFmtId="2" fontId="3" fillId="4" borderId="13" xfId="0" applyNumberFormat="1" applyFont="1" applyFill="1" applyBorder="1" applyAlignment="1">
      <alignment horizontal="center" vertical="top" wrapText="1"/>
    </xf>
    <xf numFmtId="3" fontId="3" fillId="4" borderId="13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/>
    <xf numFmtId="0" fontId="3" fillId="0" borderId="13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justify" vertical="top" wrapText="1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2" fillId="0" borderId="22" xfId="0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3" fontId="3" fillId="4" borderId="27" xfId="0" applyNumberFormat="1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0" fillId="4" borderId="29" xfId="0" applyFill="1" applyBorder="1" applyAlignment="1">
      <alignment horizontal="center" wrapText="1"/>
    </xf>
    <xf numFmtId="0" fontId="0" fillId="4" borderId="30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2" fillId="0" borderId="12" xfId="0" applyFont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3" fontId="3" fillId="2" borderId="13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31" xfId="0" applyFont="1" applyFill="1" applyBorder="1" applyAlignment="1">
      <alignment horizontal="justify" vertical="top" wrapText="1"/>
    </xf>
    <xf numFmtId="0" fontId="2" fillId="0" borderId="32" xfId="0" applyFont="1" applyBorder="1"/>
    <xf numFmtId="0" fontId="3" fillId="0" borderId="33" xfId="0" applyFont="1" applyFill="1" applyBorder="1" applyAlignment="1">
      <alignment horizontal="center" vertical="top" wrapText="1"/>
    </xf>
    <xf numFmtId="2" fontId="0" fillId="0" borderId="0" xfId="0" applyNumberFormat="1"/>
    <xf numFmtId="0" fontId="0" fillId="0" borderId="22" xfId="0" applyBorder="1"/>
    <xf numFmtId="0" fontId="0" fillId="0" borderId="24" xfId="0" applyBorder="1"/>
    <xf numFmtId="0" fontId="0" fillId="3" borderId="20" xfId="0" applyFill="1" applyBorder="1"/>
    <xf numFmtId="0" fontId="0" fillId="0" borderId="34" xfId="0" applyBorder="1"/>
    <xf numFmtId="2" fontId="0" fillId="2" borderId="35" xfId="0" applyNumberFormat="1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2" fontId="0" fillId="2" borderId="39" xfId="0" applyNumberFormat="1" applyFill="1" applyBorder="1"/>
    <xf numFmtId="164" fontId="0" fillId="3" borderId="23" xfId="0" applyNumberFormat="1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/>
    <xf numFmtId="2" fontId="3" fillId="2" borderId="13" xfId="0" applyNumberFormat="1" applyFont="1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 vertical="top" wrapText="1"/>
    </xf>
    <xf numFmtId="2" fontId="3" fillId="5" borderId="15" xfId="0" applyNumberFormat="1" applyFont="1" applyFill="1" applyBorder="1" applyAlignment="1">
      <alignment horizontal="center" vertical="top" wrapText="1"/>
    </xf>
    <xf numFmtId="2" fontId="3" fillId="6" borderId="13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justify" vertical="top" wrapText="1"/>
    </xf>
    <xf numFmtId="0" fontId="3" fillId="0" borderId="28" xfId="0" applyFont="1" applyFill="1" applyBorder="1" applyAlignment="1">
      <alignment horizontal="center" vertical="top" wrapText="1"/>
    </xf>
    <xf numFmtId="3" fontId="3" fillId="2" borderId="29" xfId="0" applyNumberFormat="1" applyFont="1" applyFill="1" applyBorder="1" applyAlignment="1">
      <alignment horizontal="center" vertical="top" wrapText="1"/>
    </xf>
    <xf numFmtId="3" fontId="3" fillId="6" borderId="29" xfId="0" applyNumberFormat="1" applyFont="1" applyFill="1" applyBorder="1" applyAlignment="1">
      <alignment horizontal="center" vertical="top" wrapText="1"/>
    </xf>
    <xf numFmtId="3" fontId="3" fillId="6" borderId="11" xfId="0" applyNumberFormat="1" applyFont="1" applyFill="1" applyBorder="1" applyAlignment="1">
      <alignment horizontal="center" vertical="top" wrapText="1"/>
    </xf>
    <xf numFmtId="2" fontId="3" fillId="3" borderId="33" xfId="0" applyNumberFormat="1" applyFont="1" applyFill="1" applyBorder="1" applyAlignment="1">
      <alignment horizontal="center" vertical="top" wrapText="1"/>
    </xf>
    <xf numFmtId="0" fontId="0" fillId="4" borderId="40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3" fontId="3" fillId="3" borderId="15" xfId="0" applyNumberFormat="1" applyFont="1" applyFill="1" applyBorder="1" applyAlignment="1">
      <alignment horizontal="center" vertical="top" wrapText="1"/>
    </xf>
    <xf numFmtId="4" fontId="3" fillId="6" borderId="13" xfId="0" applyNumberFormat="1" applyFont="1" applyFill="1" applyBorder="1" applyAlignment="1">
      <alignment horizontal="center" vertical="top" wrapText="1"/>
    </xf>
    <xf numFmtId="2" fontId="3" fillId="5" borderId="13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4" borderId="15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wrapText="1"/>
    </xf>
    <xf numFmtId="0" fontId="3" fillId="0" borderId="0" xfId="0" applyFont="1"/>
    <xf numFmtId="2" fontId="0" fillId="3" borderId="20" xfId="0" applyNumberFormat="1" applyFill="1" applyBorder="1"/>
    <xf numFmtId="4" fontId="3" fillId="2" borderId="14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left"/>
    </xf>
    <xf numFmtId="0" fontId="0" fillId="0" borderId="0" xfId="0" quotePrefix="1"/>
    <xf numFmtId="2" fontId="0" fillId="0" borderId="20" xfId="0" applyNumberFormat="1" applyBorder="1"/>
    <xf numFmtId="2" fontId="0" fillId="2" borderId="23" xfId="0" applyNumberFormat="1" applyFill="1" applyBorder="1"/>
    <xf numFmtId="0" fontId="8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0" xfId="0" applyBorder="1"/>
    <xf numFmtId="0" fontId="0" fillId="0" borderId="41" xfId="0" applyBorder="1"/>
    <xf numFmtId="0" fontId="7" fillId="0" borderId="5" xfId="0" applyFont="1" applyBorder="1"/>
    <xf numFmtId="2" fontId="0" fillId="0" borderId="0" xfId="0" applyNumberFormat="1" applyBorder="1"/>
    <xf numFmtId="1" fontId="0" fillId="0" borderId="0" xfId="0" applyNumberFormat="1" applyBorder="1"/>
    <xf numFmtId="0" fontId="7" fillId="0" borderId="42" xfId="0" applyFont="1" applyBorder="1"/>
    <xf numFmtId="1" fontId="0" fillId="0" borderId="43" xfId="0" applyNumberFormat="1" applyBorder="1"/>
    <xf numFmtId="0" fontId="0" fillId="0" borderId="44" xfId="0" applyBorder="1"/>
    <xf numFmtId="0" fontId="3" fillId="0" borderId="45" xfId="0" applyFont="1" applyBorder="1"/>
    <xf numFmtId="0" fontId="0" fillId="0" borderId="7" xfId="0" applyBorder="1"/>
    <xf numFmtId="0" fontId="3" fillId="0" borderId="8" xfId="0" applyFont="1" applyBorder="1"/>
    <xf numFmtId="0" fontId="0" fillId="0" borderId="10" xfId="0" applyBorder="1"/>
    <xf numFmtId="0" fontId="0" fillId="7" borderId="6" xfId="0" applyFill="1" applyBorder="1"/>
    <xf numFmtId="0" fontId="0" fillId="7" borderId="9" xfId="0" applyFill="1" applyBorder="1"/>
    <xf numFmtId="0" fontId="2" fillId="0" borderId="47" xfId="0" applyFont="1" applyBorder="1" applyAlignment="1">
      <alignment horizontal="center" vertical="top" wrapText="1"/>
    </xf>
    <xf numFmtId="0" fontId="0" fillId="4" borderId="4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47" xfId="0" applyFill="1" applyBorder="1" applyAlignment="1">
      <alignment horizontal="center" wrapText="1"/>
    </xf>
    <xf numFmtId="0" fontId="3" fillId="4" borderId="47" xfId="0" applyFont="1" applyFill="1" applyBorder="1" applyAlignment="1">
      <alignment horizontal="center" wrapText="1"/>
    </xf>
    <xf numFmtId="0" fontId="3" fillId="4" borderId="48" xfId="0" applyFont="1" applyFill="1" applyBorder="1" applyAlignment="1">
      <alignment horizontal="center" wrapText="1"/>
    </xf>
    <xf numFmtId="0" fontId="2" fillId="0" borderId="5" xfId="0" applyFont="1" applyBorder="1"/>
    <xf numFmtId="0" fontId="3" fillId="0" borderId="48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165" fontId="3" fillId="2" borderId="13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6" fontId="0" fillId="0" borderId="0" xfId="0" applyNumberFormat="1"/>
    <xf numFmtId="0" fontId="23" fillId="0" borderId="0" xfId="0" applyFont="1"/>
    <xf numFmtId="0" fontId="25" fillId="0" borderId="0" xfId="0" applyFont="1"/>
    <xf numFmtId="164" fontId="25" fillId="0" borderId="0" xfId="0" applyNumberFormat="1" applyFont="1"/>
    <xf numFmtId="166" fontId="25" fillId="0" borderId="0" xfId="0" applyNumberFormat="1" applyFont="1"/>
    <xf numFmtId="167" fontId="25" fillId="0" borderId="0" xfId="0" applyNumberFormat="1" applyFont="1"/>
    <xf numFmtId="3" fontId="3" fillId="2" borderId="46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top" wrapText="1"/>
    </xf>
    <xf numFmtId="0" fontId="3" fillId="0" borderId="60" xfId="0" applyFont="1" applyBorder="1" applyAlignment="1">
      <alignment horizontal="justify" vertical="top" wrapText="1"/>
    </xf>
    <xf numFmtId="0" fontId="3" fillId="0" borderId="61" xfId="0" applyFont="1" applyBorder="1" applyAlignment="1">
      <alignment horizontal="center" vertical="top" wrapText="1"/>
    </xf>
    <xf numFmtId="2" fontId="0" fillId="2" borderId="46" xfId="0" applyNumberFormat="1" applyFill="1" applyBorder="1" applyAlignment="1">
      <alignment horizontal="center"/>
    </xf>
    <xf numFmtId="2" fontId="0" fillId="6" borderId="46" xfId="0" applyNumberFormat="1" applyFill="1" applyBorder="1" applyAlignment="1">
      <alignment horizontal="center"/>
    </xf>
    <xf numFmtId="0" fontId="3" fillId="0" borderId="59" xfId="0" applyFont="1" applyBorder="1" applyAlignment="1">
      <alignment horizontal="justify" vertical="top" wrapText="1"/>
    </xf>
    <xf numFmtId="0" fontId="3" fillId="0" borderId="62" xfId="0" applyFont="1" applyBorder="1" applyAlignment="1">
      <alignment horizontal="center" vertical="top" wrapText="1"/>
    </xf>
    <xf numFmtId="3" fontId="3" fillId="2" borderId="59" xfId="0" applyNumberFormat="1" applyFont="1" applyFill="1" applyBorder="1" applyAlignment="1">
      <alignment horizontal="center" vertical="top" wrapText="1"/>
    </xf>
    <xf numFmtId="2" fontId="0" fillId="2" borderId="59" xfId="0" applyNumberFormat="1" applyFill="1" applyBorder="1" applyAlignment="1">
      <alignment horizontal="center"/>
    </xf>
    <xf numFmtId="2" fontId="0" fillId="6" borderId="59" xfId="0" applyNumberFormat="1" applyFill="1" applyBorder="1" applyAlignment="1">
      <alignment horizontal="center"/>
    </xf>
    <xf numFmtId="3" fontId="0" fillId="0" borderId="0" xfId="0" applyNumberFormat="1"/>
    <xf numFmtId="164" fontId="3" fillId="3" borderId="15" xfId="0" applyNumberFormat="1" applyFont="1" applyFill="1" applyBorder="1" applyAlignment="1">
      <alignment horizontal="center" vertical="top" wrapText="1"/>
    </xf>
    <xf numFmtId="1" fontId="3" fillId="3" borderId="15" xfId="0" applyNumberFormat="1" applyFont="1" applyFill="1" applyBorder="1" applyAlignment="1">
      <alignment horizontal="center" vertical="top" wrapText="1"/>
    </xf>
    <xf numFmtId="3" fontId="0" fillId="7" borderId="9" xfId="0" applyNumberFormat="1" applyFill="1" applyBorder="1"/>
    <xf numFmtId="168" fontId="3" fillId="2" borderId="13" xfId="0" applyNumberFormat="1" applyFont="1" applyFill="1" applyBorder="1" applyAlignment="1">
      <alignment horizontal="center" vertical="top" wrapText="1"/>
    </xf>
    <xf numFmtId="170" fontId="3" fillId="2" borderId="48" xfId="0" applyNumberFormat="1" applyFont="1" applyFill="1" applyBorder="1" applyAlignment="1">
      <alignment horizontal="center" vertical="top" wrapText="1"/>
    </xf>
    <xf numFmtId="2" fontId="3" fillId="3" borderId="15" xfId="0" quotePrefix="1" applyNumberFormat="1" applyFont="1" applyFill="1" applyBorder="1" applyAlignment="1">
      <alignment horizontal="center" vertical="top" wrapText="1"/>
    </xf>
    <xf numFmtId="4" fontId="3" fillId="4" borderId="14" xfId="0" applyNumberFormat="1" applyFont="1" applyFill="1" applyBorder="1" applyAlignment="1">
      <alignment horizontal="center" vertical="top" wrapText="1"/>
    </xf>
    <xf numFmtId="4" fontId="3" fillId="5" borderId="33" xfId="0" applyNumberFormat="1" applyFont="1" applyFill="1" applyBorder="1" applyAlignment="1">
      <alignment horizontal="center" vertical="top" wrapText="1"/>
    </xf>
    <xf numFmtId="4" fontId="3" fillId="6" borderId="11" xfId="0" applyNumberFormat="1" applyFont="1" applyFill="1" applyBorder="1" applyAlignment="1">
      <alignment horizontal="center" vertical="top" wrapText="1"/>
    </xf>
    <xf numFmtId="170" fontId="2" fillId="2" borderId="48" xfId="0" applyNumberFormat="1" applyFont="1" applyFill="1" applyBorder="1" applyAlignment="1">
      <alignment horizontal="center" vertical="top" wrapText="1"/>
    </xf>
    <xf numFmtId="165" fontId="2" fillId="2" borderId="59" xfId="0" applyNumberFormat="1" applyFont="1" applyFill="1" applyBorder="1" applyAlignment="1">
      <alignment horizontal="center" vertical="top" wrapText="1"/>
    </xf>
    <xf numFmtId="170" fontId="2" fillId="2" borderId="59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169" fontId="25" fillId="0" borderId="0" xfId="0" applyNumberFormat="1" applyFont="1"/>
    <xf numFmtId="171" fontId="3" fillId="2" borderId="59" xfId="0" applyNumberFormat="1" applyFont="1" applyFill="1" applyBorder="1" applyAlignment="1">
      <alignment horizontal="center" vertical="top" wrapText="1"/>
    </xf>
    <xf numFmtId="0" fontId="3" fillId="0" borderId="63" xfId="0" applyFont="1" applyFill="1" applyBorder="1" applyAlignment="1">
      <alignment horizontal="center" vertical="top" wrapText="1"/>
    </xf>
    <xf numFmtId="4" fontId="2" fillId="2" borderId="48" xfId="0" applyNumberFormat="1" applyFont="1" applyFill="1" applyBorder="1" applyAlignment="1">
      <alignment horizontal="center" vertical="top" wrapText="1"/>
    </xf>
    <xf numFmtId="4" fontId="2" fillId="2" borderId="59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39" borderId="0" xfId="0" applyFill="1"/>
    <xf numFmtId="9" fontId="0" fillId="0" borderId="0" xfId="43" applyFont="1"/>
    <xf numFmtId="0" fontId="0" fillId="0" borderId="0" xfId="0" applyFill="1"/>
    <xf numFmtId="172" fontId="0" fillId="0" borderId="0" xfId="43" applyNumberFormat="1" applyFont="1"/>
    <xf numFmtId="0" fontId="2" fillId="0" borderId="49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4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3" fillId="0" borderId="0" xfId="0" applyNumberFormat="1" applyFont="1"/>
    <xf numFmtId="2" fontId="25" fillId="0" borderId="0" xfId="0" applyNumberFormat="1" applyFont="1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Percent" xfId="43" builtinId="5"/>
    <cellStyle name="Title" xfId="1" builtinId="15" customBuiltin="1"/>
    <cellStyle name="Total" xfId="16" builtinId="25" customBuiltin="1"/>
    <cellStyle name="Warning Text" xfId="14" builtinId="11" customBuiltin="1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683BC-CD66-4AAB-9AB0-7CE27406A4B7}">
  <dimension ref="A1:Q73"/>
  <sheetViews>
    <sheetView topLeftCell="A10" workbookViewId="0">
      <selection activeCell="C49" sqref="C49"/>
    </sheetView>
  </sheetViews>
  <sheetFormatPr defaultRowHeight="13.2" x14ac:dyDescent="0.25"/>
  <cols>
    <col min="1" max="1" width="42.5546875" bestFit="1" customWidth="1"/>
    <col min="2" max="2" width="13.88671875" bestFit="1" customWidth="1"/>
    <col min="3" max="3" width="17.33203125" bestFit="1" customWidth="1"/>
    <col min="4" max="4" width="17.6640625" customWidth="1"/>
    <col min="5" max="5" width="16.88671875" customWidth="1"/>
    <col min="6" max="7" width="16.88671875" bestFit="1" customWidth="1"/>
    <col min="8" max="10" width="16.88671875" customWidth="1"/>
    <col min="12" max="12" width="36.33203125" customWidth="1"/>
    <col min="14" max="14" width="11.109375" bestFit="1" customWidth="1"/>
  </cols>
  <sheetData>
    <row r="1" spans="1:14" x14ac:dyDescent="0.25">
      <c r="A1" s="6" t="s">
        <v>54</v>
      </c>
      <c r="B1" s="6"/>
      <c r="C1" s="6"/>
      <c r="D1" s="6"/>
    </row>
    <row r="2" spans="1:14" x14ac:dyDescent="0.25">
      <c r="B2" s="8"/>
      <c r="C2" t="s">
        <v>3</v>
      </c>
      <c r="D2" s="58"/>
      <c r="E2" s="79" t="s">
        <v>3</v>
      </c>
    </row>
    <row r="3" spans="1:14" x14ac:dyDescent="0.25">
      <c r="B3" s="1"/>
      <c r="C3" t="s">
        <v>4</v>
      </c>
      <c r="D3" s="16"/>
      <c r="E3" t="s">
        <v>4</v>
      </c>
    </row>
    <row r="4" spans="1:14" ht="13.8" thickBot="1" x14ac:dyDescent="0.3">
      <c r="E4" s="12"/>
    </row>
    <row r="5" spans="1:14" ht="27.75" customHeight="1" x14ac:dyDescent="0.25">
      <c r="A5" s="2" t="s">
        <v>5</v>
      </c>
      <c r="B5" s="36" t="s">
        <v>3</v>
      </c>
      <c r="C5" s="3"/>
      <c r="D5" s="15" t="s">
        <v>34</v>
      </c>
      <c r="E5" s="71" t="s">
        <v>35</v>
      </c>
      <c r="F5" s="15" t="s">
        <v>36</v>
      </c>
      <c r="G5" s="72" t="s">
        <v>33</v>
      </c>
      <c r="H5" s="72" t="s">
        <v>39</v>
      </c>
      <c r="I5" s="78" t="s">
        <v>57</v>
      </c>
      <c r="J5" s="64" t="s">
        <v>56</v>
      </c>
      <c r="K5" s="11"/>
      <c r="L5" s="42" t="s">
        <v>38</v>
      </c>
      <c r="M5" s="29"/>
      <c r="N5" s="30"/>
    </row>
    <row r="6" spans="1:14" x14ac:dyDescent="0.25">
      <c r="A6" s="111" t="s">
        <v>81</v>
      </c>
      <c r="B6" s="112"/>
      <c r="C6" s="104"/>
      <c r="D6" s="105"/>
      <c r="E6" s="106"/>
      <c r="F6" s="105"/>
      <c r="G6" s="107"/>
      <c r="H6" s="107"/>
      <c r="I6" s="108"/>
      <c r="J6" s="109"/>
      <c r="K6" s="11"/>
      <c r="L6" s="110"/>
      <c r="M6" s="90"/>
      <c r="N6" s="91"/>
    </row>
    <row r="7" spans="1:14" x14ac:dyDescent="0.25">
      <c r="A7" s="40" t="s">
        <v>82</v>
      </c>
      <c r="B7" s="37"/>
      <c r="C7" s="32"/>
      <c r="D7" s="33"/>
      <c r="E7" s="34"/>
      <c r="F7" s="33"/>
      <c r="G7" s="35"/>
      <c r="H7" s="35"/>
      <c r="I7" s="35"/>
      <c r="J7" s="33"/>
      <c r="K7" s="11"/>
      <c r="L7" s="19" t="s">
        <v>10</v>
      </c>
      <c r="M7" s="20">
        <v>1.2</v>
      </c>
      <c r="N7" s="21" t="s">
        <v>11</v>
      </c>
    </row>
    <row r="8" spans="1:14" x14ac:dyDescent="0.25">
      <c r="A8" s="41" t="s">
        <v>6</v>
      </c>
      <c r="B8" s="73"/>
      <c r="C8" s="121">
        <f>C9*3600</f>
        <v>24480</v>
      </c>
      <c r="D8" s="31">
        <f t="shared" ref="D8:J8" si="0">IF(D9="","",D9*3600)</f>
        <v>24480</v>
      </c>
      <c r="E8" s="31">
        <f>IF(E9="","",E9*3600)</f>
        <v>24479.999999999996</v>
      </c>
      <c r="F8" s="31">
        <f t="shared" si="0"/>
        <v>24156.252</v>
      </c>
      <c r="G8" s="31">
        <f t="shared" si="0"/>
        <v>24480</v>
      </c>
      <c r="H8" s="31">
        <f t="shared" si="0"/>
        <v>24480</v>
      </c>
      <c r="I8" s="31">
        <f t="shared" si="0"/>
        <v>24480</v>
      </c>
      <c r="J8" s="31">
        <f t="shared" si="0"/>
        <v>24480</v>
      </c>
      <c r="L8" s="22" t="s">
        <v>13</v>
      </c>
      <c r="M8" s="23" t="e">
        <f>#REF!*M7</f>
        <v>#REF!</v>
      </c>
      <c r="N8" s="24" t="s">
        <v>14</v>
      </c>
    </row>
    <row r="9" spans="1:14" x14ac:dyDescent="0.25">
      <c r="A9" s="17" t="s">
        <v>7</v>
      </c>
      <c r="B9" s="7">
        <v>6.8</v>
      </c>
      <c r="C9" s="133">
        <f>B9</f>
        <v>6.8</v>
      </c>
      <c r="D9" s="75">
        <f>IF($C$9="","",$C$9)</f>
        <v>6.8</v>
      </c>
      <c r="E9" s="31">
        <f>IF(E15="","",E15/(273/(273+E10)))</f>
        <v>6.7999999999999989</v>
      </c>
      <c r="F9" s="31">
        <f>IF(F20="","",F15/(273/(273+F10)))</f>
        <v>6.71007</v>
      </c>
      <c r="G9" s="60">
        <f>IF($C$9="","",$C$9)</f>
        <v>6.8</v>
      </c>
      <c r="H9" s="60">
        <f>IF($C$9="","",$C$9)</f>
        <v>6.8</v>
      </c>
      <c r="I9" s="60">
        <f>IF($C$9="","",$C$9)</f>
        <v>6.8</v>
      </c>
      <c r="J9" s="60">
        <f>IF($C$9="","",$C$9)</f>
        <v>6.8</v>
      </c>
      <c r="L9" s="25" t="s">
        <v>16</v>
      </c>
      <c r="M9" s="23" t="e">
        <f>#REF!*(#REF!/100)</f>
        <v>#REF!</v>
      </c>
      <c r="N9" s="24" t="s">
        <v>17</v>
      </c>
    </row>
    <row r="10" spans="1:14" x14ac:dyDescent="0.25">
      <c r="A10" s="17" t="s">
        <v>8</v>
      </c>
      <c r="B10" s="7">
        <v>451</v>
      </c>
      <c r="C10" s="7">
        <f>B10</f>
        <v>451</v>
      </c>
      <c r="D10" s="60">
        <f t="shared" ref="D10:J10" si="1">IF($C$10="","",$C$10)</f>
        <v>451</v>
      </c>
      <c r="E10" s="60">
        <f t="shared" si="1"/>
        <v>451</v>
      </c>
      <c r="F10" s="60">
        <f t="shared" si="1"/>
        <v>451</v>
      </c>
      <c r="G10" s="60">
        <f t="shared" si="1"/>
        <v>451</v>
      </c>
      <c r="H10" s="60">
        <f t="shared" si="1"/>
        <v>451</v>
      </c>
      <c r="I10" s="60">
        <f t="shared" si="1"/>
        <v>451</v>
      </c>
      <c r="J10" s="60">
        <f t="shared" si="1"/>
        <v>451</v>
      </c>
      <c r="L10" s="25" t="s">
        <v>16</v>
      </c>
      <c r="M10" s="23" t="e">
        <f>#REF!*(#REF!/100)</f>
        <v>#REF!</v>
      </c>
      <c r="N10" s="24" t="s">
        <v>19</v>
      </c>
    </row>
    <row r="11" spans="1:14" x14ac:dyDescent="0.25">
      <c r="A11" s="17" t="s">
        <v>9</v>
      </c>
      <c r="B11" s="138"/>
      <c r="C11" s="59">
        <f t="shared" ref="C11" si="2">IF(C12="","",((C19*(C12/100))/C14)*100)</f>
        <v>8.3190000000000008</v>
      </c>
      <c r="D11" s="62">
        <f t="shared" ref="D11:G11" si="3">IF(D12="","",((D19*(D12/100))/D14)*100)</f>
        <v>8.3190000000000008</v>
      </c>
      <c r="E11" s="62">
        <f t="shared" si="3"/>
        <v>8.3190000000000008</v>
      </c>
      <c r="F11" s="62">
        <f t="shared" si="3"/>
        <v>8.4304932735426004</v>
      </c>
      <c r="G11" s="62">
        <f t="shared" si="3"/>
        <v>8.3190000000000008</v>
      </c>
      <c r="H11" s="62">
        <f>IF(H12="","",((H19*(H12/100))/H14)*100)</f>
        <v>8.3190000000000008</v>
      </c>
      <c r="I11" s="62"/>
      <c r="J11" s="60">
        <f>IF($C$11="","",$C$11)</f>
        <v>8.3190000000000008</v>
      </c>
      <c r="L11" s="25" t="s">
        <v>21</v>
      </c>
      <c r="M11" s="23">
        <v>0.76219999999999999</v>
      </c>
      <c r="N11" s="24" t="s">
        <v>22</v>
      </c>
    </row>
    <row r="12" spans="1:14" x14ac:dyDescent="0.25">
      <c r="A12" s="17" t="s">
        <v>12</v>
      </c>
      <c r="B12" s="7">
        <v>9.4</v>
      </c>
      <c r="C12" s="39">
        <f>B12</f>
        <v>9.4</v>
      </c>
      <c r="D12" s="63">
        <f t="shared" ref="D12:H12" si="4">IF($C$12="","",$C$12)</f>
        <v>9.4</v>
      </c>
      <c r="E12" s="63">
        <f t="shared" si="4"/>
        <v>9.4</v>
      </c>
      <c r="F12" s="63">
        <f t="shared" si="4"/>
        <v>9.4</v>
      </c>
      <c r="G12" s="63">
        <f t="shared" si="4"/>
        <v>9.4</v>
      </c>
      <c r="H12" s="63">
        <f t="shared" si="4"/>
        <v>9.4</v>
      </c>
      <c r="I12" s="63">
        <f>IF($C$12="","",$C$12)</f>
        <v>9.4</v>
      </c>
      <c r="J12" s="62">
        <f>IF(J13="","",($J$11*100)/(100-$J$13))</f>
        <v>9.4</v>
      </c>
      <c r="L12" s="25" t="s">
        <v>23</v>
      </c>
      <c r="M12" s="23" t="e">
        <f>M10*M11</f>
        <v>#REF!</v>
      </c>
      <c r="N12" s="24" t="s">
        <v>14</v>
      </c>
    </row>
    <row r="13" spans="1:14" ht="13.8" thickBot="1" x14ac:dyDescent="0.3">
      <c r="A13" s="17" t="s">
        <v>15</v>
      </c>
      <c r="B13" s="7">
        <v>11.5</v>
      </c>
      <c r="C13" s="39">
        <f>B13</f>
        <v>11.5</v>
      </c>
      <c r="D13" s="61">
        <f>IF($C$13="","",$C$13)</f>
        <v>11.5</v>
      </c>
      <c r="E13" s="61">
        <f>IF($C$13="","",$C$13)</f>
        <v>11.5</v>
      </c>
      <c r="F13" s="61">
        <f>IF($C$13="","",$C$13)</f>
        <v>11.5</v>
      </c>
      <c r="G13" s="61">
        <f>IF($C$13="","",$C$13)</f>
        <v>11.5</v>
      </c>
      <c r="H13" s="61">
        <f>IF($C$13="","",$C$13)</f>
        <v>11.5</v>
      </c>
      <c r="I13" s="77">
        <f>IF(I14="","",(H14-H19)/H14*100)</f>
        <v>11.499999999999995</v>
      </c>
      <c r="J13" s="61">
        <f>IF($C$13="","",$C$13)</f>
        <v>11.5</v>
      </c>
      <c r="L13" s="26" t="s">
        <v>24</v>
      </c>
      <c r="M13" s="27" t="e">
        <f>M12/M8*100</f>
        <v>#REF!</v>
      </c>
      <c r="N13" s="28" t="s">
        <v>2</v>
      </c>
    </row>
    <row r="14" spans="1:14" x14ac:dyDescent="0.25">
      <c r="A14" s="17" t="s">
        <v>18</v>
      </c>
      <c r="B14" s="7"/>
      <c r="C14" s="38">
        <f>IF(C8="","",C8*(273/(273+C10)))</f>
        <v>9230.7182320441989</v>
      </c>
      <c r="D14" s="10">
        <f t="shared" ref="D14:J14" si="5">IF(D15="","",D15*3600)</f>
        <v>9230.7182320441989</v>
      </c>
      <c r="E14" s="10">
        <f t="shared" si="5"/>
        <v>9230.7182320441989</v>
      </c>
      <c r="F14" s="10">
        <f t="shared" si="5"/>
        <v>9108.6419834254139</v>
      </c>
      <c r="G14" s="10">
        <f t="shared" si="5"/>
        <v>9230.7182320441989</v>
      </c>
      <c r="H14" s="10">
        <f>IF(H15="","",H15*3600)</f>
        <v>9230.7182320441989</v>
      </c>
      <c r="I14" s="10">
        <f t="shared" si="5"/>
        <v>9230.7182320441989</v>
      </c>
      <c r="J14" s="10">
        <f t="shared" si="5"/>
        <v>9230.7182320441989</v>
      </c>
    </row>
    <row r="15" spans="1:14" ht="13.8" thickBot="1" x14ac:dyDescent="0.3">
      <c r="A15" s="17" t="s">
        <v>20</v>
      </c>
      <c r="B15" s="7"/>
      <c r="C15" s="39">
        <f>IF(C9="","",C9*(273/(273+C10)))</f>
        <v>2.564088397790055</v>
      </c>
      <c r="D15" s="14">
        <f>IF(D10="","",D9*(273/(273+D10)))</f>
        <v>2.564088397790055</v>
      </c>
      <c r="E15" s="61">
        <f>IF($C$15="","",$C$15)</f>
        <v>2.564088397790055</v>
      </c>
      <c r="F15" s="10">
        <f>IF(F20="","",F20*((100+F13)/100))</f>
        <v>2.5301783287292818</v>
      </c>
      <c r="G15" s="14">
        <f>IF(G10="","",G9*(273/(273+G10)))</f>
        <v>2.564088397790055</v>
      </c>
      <c r="H15" s="14">
        <f>IF(H10="","",H9*(273/(273+H10)))</f>
        <v>2.564088397790055</v>
      </c>
      <c r="I15" s="14">
        <f>IF(I10="","",I9*(273/(273+I10)))</f>
        <v>2.564088397790055</v>
      </c>
      <c r="J15" s="14">
        <f>IF(J10="","",J9*(273/(273+J10)))</f>
        <v>2.564088397790055</v>
      </c>
    </row>
    <row r="16" spans="1:14" x14ac:dyDescent="0.25">
      <c r="A16" s="17" t="s">
        <v>31</v>
      </c>
      <c r="B16" s="7">
        <v>0.5</v>
      </c>
      <c r="C16" s="133">
        <f>B16</f>
        <v>0.5</v>
      </c>
      <c r="D16" s="61">
        <f>IF($C$16="","",$C$16)</f>
        <v>0.5</v>
      </c>
      <c r="E16" s="61">
        <f>IF($C$16="","",$C$16)</f>
        <v>0.5</v>
      </c>
      <c r="F16" s="61">
        <f>IF($C$16="","",$C$16)</f>
        <v>0.5</v>
      </c>
      <c r="G16" s="9">
        <f>IF(G17="","",2*(SQRT(G17/PI())))</f>
        <v>0.5002319954324288</v>
      </c>
      <c r="H16" s="9" t="e">
        <f>IF(H17="","",2*(SQRT(H17/PI())))</f>
        <v>#REF!</v>
      </c>
      <c r="I16" s="9">
        <f>IF(I17="","",2*(SQRT(I17/PI())))</f>
        <v>0.5</v>
      </c>
      <c r="J16" s="61">
        <f>IF($C$16="","",$C$16)</f>
        <v>0.5</v>
      </c>
      <c r="L16" s="42" t="s">
        <v>41</v>
      </c>
      <c r="M16" s="29"/>
      <c r="N16" s="30"/>
    </row>
    <row r="17" spans="1:16" x14ac:dyDescent="0.25">
      <c r="A17" s="17" t="s">
        <v>32</v>
      </c>
      <c r="B17" s="7"/>
      <c r="C17" s="39">
        <f>IF(C16="","",((C16/2)^2)*PI())</f>
        <v>0.19634954084936207</v>
      </c>
      <c r="D17" s="13">
        <f>IF(D16="","",((D16/2)^2)*PI())</f>
        <v>0.19634954084936207</v>
      </c>
      <c r="E17" s="13">
        <f t="shared" ref="E17:F17" si="6">IF(E16="","",((E16/2)^2)*PI())</f>
        <v>0.19634954084936207</v>
      </c>
      <c r="F17" s="13">
        <f t="shared" si="6"/>
        <v>0.19634954084936207</v>
      </c>
      <c r="G17" s="74">
        <f>IF(G9="","",G9/G18)</f>
        <v>0.19653179190751444</v>
      </c>
      <c r="H17" s="75" t="e">
        <f>#REF!</f>
        <v>#REF!</v>
      </c>
      <c r="I17" s="75">
        <f>D17</f>
        <v>0.19634954084936207</v>
      </c>
      <c r="J17" s="13">
        <f>IF(J16="","",((J16/2)^2)*PI())</f>
        <v>0.19634954084936207</v>
      </c>
      <c r="L17" s="25" t="s">
        <v>44</v>
      </c>
      <c r="M17" s="47">
        <v>101325</v>
      </c>
      <c r="N17" s="24" t="s">
        <v>42</v>
      </c>
      <c r="O17" s="47">
        <v>101325</v>
      </c>
      <c r="P17" s="24" t="s">
        <v>42</v>
      </c>
    </row>
    <row r="18" spans="1:16" x14ac:dyDescent="0.25">
      <c r="A18" s="17" t="s">
        <v>25</v>
      </c>
      <c r="B18" s="7">
        <v>34.6</v>
      </c>
      <c r="C18" s="133">
        <f>B18</f>
        <v>34.6</v>
      </c>
      <c r="D18" s="13">
        <f>IF(D9="","",D9/D17)</f>
        <v>34.632115616796426</v>
      </c>
      <c r="E18" s="13">
        <f>IF(E9="","",E9/E17)</f>
        <v>34.632115616796419</v>
      </c>
      <c r="F18" s="13">
        <f>IF(F9="","",F9/F17)</f>
        <v>34.174105887764291</v>
      </c>
      <c r="G18" s="61">
        <f>IF($C$18="","",$C$18)</f>
        <v>34.6</v>
      </c>
      <c r="H18" s="13" t="e">
        <f>IF(H9="","",H9/H17)</f>
        <v>#REF!</v>
      </c>
      <c r="I18" s="13">
        <f>IF(I9="","",I9/I17)</f>
        <v>34.632115616796426</v>
      </c>
      <c r="J18" s="13">
        <f>IF(J9="","",J9/J17)</f>
        <v>34.632115616796426</v>
      </c>
      <c r="L18" s="25" t="s">
        <v>45</v>
      </c>
      <c r="M18" s="47">
        <v>287.05</v>
      </c>
      <c r="N18" s="24" t="s">
        <v>46</v>
      </c>
      <c r="O18" s="47">
        <v>287.05</v>
      </c>
      <c r="P18" s="24" t="s">
        <v>46</v>
      </c>
    </row>
    <row r="19" spans="1:16" x14ac:dyDescent="0.25">
      <c r="A19" s="17" t="s">
        <v>26</v>
      </c>
      <c r="B19" s="7"/>
      <c r="C19" s="38">
        <f>IF(C14="","",C14*((100-C13)/100))</f>
        <v>8169.1856353591165</v>
      </c>
      <c r="D19" s="10">
        <f>IF(D20="","",D20*3600)</f>
        <v>8169.1856353591165</v>
      </c>
      <c r="E19" s="10">
        <f t="shared" ref="E19:J19" si="7">IF(E20="","",E20*3600)</f>
        <v>8169.1856353591165</v>
      </c>
      <c r="F19" s="10">
        <f t="shared" si="7"/>
        <v>8169.1856353591165</v>
      </c>
      <c r="G19" s="10">
        <f t="shared" si="7"/>
        <v>8169.1856353591165</v>
      </c>
      <c r="H19" s="10">
        <f t="shared" si="7"/>
        <v>8169.1856353591165</v>
      </c>
      <c r="I19" s="10">
        <f t="shared" si="7"/>
        <v>8169.1856353591165</v>
      </c>
      <c r="J19" s="10">
        <f t="shared" si="7"/>
        <v>8169.1856353591165</v>
      </c>
      <c r="L19" s="25" t="s">
        <v>47</v>
      </c>
      <c r="M19" s="80">
        <f>C10</f>
        <v>451</v>
      </c>
      <c r="N19" s="24" t="s">
        <v>48</v>
      </c>
      <c r="O19" s="80" t="e">
        <f>#REF!</f>
        <v>#REF!</v>
      </c>
      <c r="P19" s="24" t="s">
        <v>48</v>
      </c>
    </row>
    <row r="20" spans="1:16" x14ac:dyDescent="0.25">
      <c r="A20" s="18" t="s">
        <v>27</v>
      </c>
      <c r="B20" s="70"/>
      <c r="C20" s="81">
        <f>IF(C15="","",C15*((100-C13)/100))</f>
        <v>2.2692182320441989</v>
      </c>
      <c r="D20" s="139">
        <f>IF(D13="","",D15*((100-D13)/100))</f>
        <v>2.2692182320441989</v>
      </c>
      <c r="E20" s="139">
        <f>IF(E13="","",E15*((100-E13)/100))</f>
        <v>2.2692182320441989</v>
      </c>
      <c r="F20" s="140">
        <f>IF($C$20="","",$C$20)</f>
        <v>2.2692182320441989</v>
      </c>
      <c r="G20" s="139">
        <f>IF(G13="","",G15*((100-G13)/100))</f>
        <v>2.2692182320441989</v>
      </c>
      <c r="H20" s="139">
        <f>IF(H13="","",H15*((100-H13)/100))</f>
        <v>2.2692182320441989</v>
      </c>
      <c r="I20" s="139">
        <f>IF(I13="","",I15*((100-I13)/100))</f>
        <v>2.2692182320441989</v>
      </c>
      <c r="J20" s="139">
        <f>IF(J13="","",J15*((100-J13)/100))</f>
        <v>2.2692182320441989</v>
      </c>
      <c r="L20" s="25"/>
      <c r="M20" s="84">
        <f>M19+273.15</f>
        <v>724.15</v>
      </c>
      <c r="N20" s="24" t="s">
        <v>37</v>
      </c>
      <c r="O20" s="84" t="e">
        <f>O19+273.15</f>
        <v>#REF!</v>
      </c>
      <c r="P20" s="24" t="s">
        <v>37</v>
      </c>
    </row>
    <row r="21" spans="1:16" ht="13.8" thickBot="1" x14ac:dyDescent="0.3">
      <c r="L21" s="45" t="s">
        <v>43</v>
      </c>
      <c r="M21" s="85">
        <f>M17/(M18*M20)</f>
        <v>0.48745050672542789</v>
      </c>
      <c r="N21" s="46" t="s">
        <v>22</v>
      </c>
      <c r="O21" s="85" t="e">
        <f>O17/(O18*O20)</f>
        <v>#REF!</v>
      </c>
      <c r="P21" s="46" t="s">
        <v>22</v>
      </c>
    </row>
    <row r="22" spans="1:16" ht="13.8" thickBot="1" x14ac:dyDescent="0.3">
      <c r="A22" s="3"/>
      <c r="B22" s="5" t="s">
        <v>1</v>
      </c>
      <c r="C22" s="156" t="s">
        <v>30</v>
      </c>
      <c r="D22" s="157"/>
      <c r="E22" s="157"/>
      <c r="F22" s="157"/>
      <c r="G22" s="157"/>
      <c r="H22" s="157"/>
      <c r="I22" s="157"/>
      <c r="J22" s="158"/>
    </row>
    <row r="23" spans="1:16" x14ac:dyDescent="0.25">
      <c r="A23" s="2" t="s">
        <v>28</v>
      </c>
      <c r="B23" s="3" t="s">
        <v>29</v>
      </c>
      <c r="C23" s="159" t="s">
        <v>55</v>
      </c>
      <c r="D23" s="160"/>
      <c r="E23" s="160"/>
      <c r="F23" s="160"/>
      <c r="G23" s="160"/>
      <c r="H23" s="160"/>
      <c r="I23" s="160"/>
      <c r="J23" s="161"/>
      <c r="L23" s="42" t="s">
        <v>49</v>
      </c>
      <c r="M23" s="29"/>
      <c r="N23" s="30"/>
    </row>
    <row r="24" spans="1:16" x14ac:dyDescent="0.25">
      <c r="A24" s="55" t="s">
        <v>40</v>
      </c>
      <c r="B24" s="57">
        <v>5</v>
      </c>
      <c r="C24" s="56" t="s">
        <v>0</v>
      </c>
      <c r="D24" s="56" t="s">
        <v>0</v>
      </c>
      <c r="E24" s="56" t="s">
        <v>0</v>
      </c>
      <c r="F24" s="56" t="s">
        <v>0</v>
      </c>
      <c r="G24" s="56" t="s">
        <v>0</v>
      </c>
      <c r="H24" s="56" t="s">
        <v>0</v>
      </c>
      <c r="I24" s="56"/>
      <c r="J24" s="56"/>
      <c r="L24" s="25" t="s">
        <v>51</v>
      </c>
      <c r="M24" s="47">
        <v>1257</v>
      </c>
      <c r="N24" s="24" t="s">
        <v>50</v>
      </c>
    </row>
    <row r="25" spans="1:16" x14ac:dyDescent="0.25">
      <c r="A25" s="65" t="str">
        <f>"Flue gas flow, Nm3/h (0 degC, DRY, "&amp;$B$24&amp;"% O2"</f>
        <v>Flue gas flow, Nm3/h (0 degC, DRY, 5% O2</v>
      </c>
      <c r="B25" s="66" t="s">
        <v>0</v>
      </c>
      <c r="C25" s="67">
        <f>IF(C26="","",C26*3600)</f>
        <v>5922.6595856353597</v>
      </c>
      <c r="D25" s="68">
        <f t="shared" ref="D25:H25" si="8">IF(D26="","",D26*3600)</f>
        <v>5922.6595856353597</v>
      </c>
      <c r="E25" s="68">
        <f t="shared" si="8"/>
        <v>5922.6595856353597</v>
      </c>
      <c r="F25" s="68">
        <f t="shared" si="8"/>
        <v>5922.6595856353597</v>
      </c>
      <c r="G25" s="68">
        <f t="shared" si="8"/>
        <v>5922.6595856353597</v>
      </c>
      <c r="H25" s="68">
        <f t="shared" si="8"/>
        <v>5922.6595856353597</v>
      </c>
      <c r="I25" s="68"/>
      <c r="J25" s="68">
        <f>IF(J26="","",J26*3600)</f>
        <v>5922.6595856353597</v>
      </c>
      <c r="L25" s="25" t="s">
        <v>52</v>
      </c>
      <c r="M25" s="47">
        <v>29</v>
      </c>
      <c r="N25" s="24" t="s">
        <v>48</v>
      </c>
    </row>
    <row r="26" spans="1:16" ht="13.8" thickBot="1" x14ac:dyDescent="0.3">
      <c r="A26" s="4" t="str">
        <f>"Flue gas flow, Nm3/s (0 degC, DRY, "&amp;$B$24&amp;"% O2"</f>
        <v>Flue gas flow, Nm3/s (0 degC, DRY, 5% O2</v>
      </c>
      <c r="B26" s="43" t="s">
        <v>0</v>
      </c>
      <c r="C26" s="76">
        <f>IF(C20="","",C20*((21-C12)/(21-$B$24)))</f>
        <v>1.6451832182320443</v>
      </c>
      <c r="D26" s="141">
        <f t="shared" ref="D26:H26" si="9">IF(D20="","",D20*((21-D12)/(21-$B$24)))</f>
        <v>1.6451832182320443</v>
      </c>
      <c r="E26" s="141">
        <f t="shared" si="9"/>
        <v>1.6451832182320443</v>
      </c>
      <c r="F26" s="141">
        <f t="shared" si="9"/>
        <v>1.6451832182320443</v>
      </c>
      <c r="G26" s="141">
        <f t="shared" si="9"/>
        <v>1.6451832182320443</v>
      </c>
      <c r="H26" s="141">
        <f t="shared" si="9"/>
        <v>1.6451832182320443</v>
      </c>
      <c r="I26" s="141"/>
      <c r="J26" s="141">
        <f>IF(J20="","",J20*((21-J12)/(21-$B$24)))</f>
        <v>1.6451832182320443</v>
      </c>
      <c r="L26" s="48" t="s">
        <v>53</v>
      </c>
      <c r="M26" s="49">
        <f>M24*((273+M25)/(273))</f>
        <v>1390.5274725274726</v>
      </c>
      <c r="N26" s="50" t="s">
        <v>50</v>
      </c>
    </row>
    <row r="27" spans="1:16" x14ac:dyDescent="0.25">
      <c r="A27" s="123" t="s">
        <v>85</v>
      </c>
      <c r="B27" s="124"/>
      <c r="C27" s="137">
        <f t="shared" ref="C27:C28" si="10">$B27*C$26/1000</f>
        <v>0</v>
      </c>
      <c r="D27" s="126" t="str">
        <f t="shared" ref="D27:H28" si="11">IF($B27="","",$B27*D$26/1000)</f>
        <v/>
      </c>
      <c r="E27" s="126" t="str">
        <f t="shared" si="11"/>
        <v/>
      </c>
      <c r="F27" s="126" t="str">
        <f t="shared" si="11"/>
        <v/>
      </c>
      <c r="G27" s="126" t="str">
        <f t="shared" si="11"/>
        <v/>
      </c>
      <c r="H27" s="126" t="str">
        <f t="shared" si="11"/>
        <v/>
      </c>
      <c r="I27" s="126"/>
      <c r="J27" s="126" t="str">
        <f>IF($B27="","",$B27*J$26/1000)</f>
        <v/>
      </c>
      <c r="L27" s="51" t="s">
        <v>51</v>
      </c>
      <c r="M27" s="53">
        <f>M29*((273)/(273+M28))</f>
        <v>1323.1219801980199</v>
      </c>
      <c r="N27" s="52" t="s">
        <v>50</v>
      </c>
    </row>
    <row r="28" spans="1:16" x14ac:dyDescent="0.25">
      <c r="A28" s="127" t="s">
        <v>89</v>
      </c>
      <c r="B28" s="128"/>
      <c r="C28" s="130">
        <f t="shared" si="10"/>
        <v>0</v>
      </c>
      <c r="D28" s="131" t="str">
        <f t="shared" si="11"/>
        <v/>
      </c>
      <c r="E28" s="131" t="str">
        <f t="shared" si="11"/>
        <v/>
      </c>
      <c r="F28" s="131" t="str">
        <f t="shared" si="11"/>
        <v/>
      </c>
      <c r="G28" s="131" t="str">
        <f t="shared" si="11"/>
        <v/>
      </c>
      <c r="H28" s="131" t="str">
        <f t="shared" si="11"/>
        <v/>
      </c>
      <c r="I28" s="131"/>
      <c r="J28" s="131" t="str">
        <f>IF($B28="","",$B28*J$26/1000)</f>
        <v/>
      </c>
      <c r="L28" s="25" t="s">
        <v>52</v>
      </c>
      <c r="M28" s="47">
        <v>30</v>
      </c>
      <c r="N28" s="24" t="s">
        <v>48</v>
      </c>
    </row>
    <row r="29" spans="1:16" ht="13.8" thickBot="1" x14ac:dyDescent="0.3">
      <c r="A29" s="127"/>
      <c r="B29" s="128"/>
      <c r="C29" s="129"/>
      <c r="D29" s="131"/>
      <c r="E29" s="131"/>
      <c r="F29" s="131"/>
      <c r="G29" s="131"/>
      <c r="H29" s="131"/>
      <c r="I29" s="131"/>
      <c r="J29" s="131"/>
      <c r="L29" s="45" t="s">
        <v>53</v>
      </c>
      <c r="M29" s="54">
        <v>1468.52</v>
      </c>
      <c r="N29" s="46" t="s">
        <v>50</v>
      </c>
    </row>
    <row r="30" spans="1:16" ht="13.8" thickBot="1" x14ac:dyDescent="0.3"/>
    <row r="31" spans="1:16" x14ac:dyDescent="0.25">
      <c r="A31" s="3"/>
      <c r="B31" s="5" t="s">
        <v>1</v>
      </c>
      <c r="C31" s="156" t="s">
        <v>30</v>
      </c>
      <c r="D31" s="157"/>
      <c r="E31" s="157"/>
      <c r="F31" s="157"/>
      <c r="G31" s="157"/>
      <c r="H31" s="157"/>
      <c r="I31" s="157"/>
      <c r="J31" s="158"/>
      <c r="L31" s="86" t="s">
        <v>59</v>
      </c>
      <c r="M31" s="87"/>
      <c r="N31" s="88"/>
    </row>
    <row r="32" spans="1:16" x14ac:dyDescent="0.25">
      <c r="A32" s="2" t="s">
        <v>28</v>
      </c>
      <c r="B32" s="3" t="s">
        <v>29</v>
      </c>
      <c r="C32" s="159" t="s">
        <v>55</v>
      </c>
      <c r="D32" s="160"/>
      <c r="E32" s="160"/>
      <c r="F32" s="160"/>
      <c r="G32" s="160"/>
      <c r="H32" s="160"/>
      <c r="I32" s="160"/>
      <c r="J32" s="161"/>
      <c r="L32" s="98" t="s">
        <v>63</v>
      </c>
      <c r="M32" s="102"/>
      <c r="N32" s="99" t="s">
        <v>58</v>
      </c>
      <c r="O32" s="102"/>
      <c r="P32" s="99" t="s">
        <v>58</v>
      </c>
    </row>
    <row r="33" spans="1:17" x14ac:dyDescent="0.25">
      <c r="A33" s="55" t="s">
        <v>40</v>
      </c>
      <c r="B33" s="57">
        <v>15</v>
      </c>
      <c r="C33" s="56" t="s">
        <v>0</v>
      </c>
      <c r="D33" s="56" t="s">
        <v>0</v>
      </c>
      <c r="E33" s="56" t="s">
        <v>0</v>
      </c>
      <c r="F33" s="56" t="s">
        <v>0</v>
      </c>
      <c r="G33" s="56" t="s">
        <v>0</v>
      </c>
      <c r="H33" s="56" t="s">
        <v>0</v>
      </c>
      <c r="I33" s="56"/>
      <c r="J33" s="56"/>
      <c r="L33" s="100" t="s">
        <v>63</v>
      </c>
      <c r="M33" s="135">
        <v>24773</v>
      </c>
      <c r="N33" s="101" t="s">
        <v>80</v>
      </c>
      <c r="O33" s="103">
        <v>15396</v>
      </c>
      <c r="P33" s="101" t="s">
        <v>80</v>
      </c>
    </row>
    <row r="34" spans="1:17" x14ac:dyDescent="0.25">
      <c r="A34" s="65" t="str">
        <f>"Flue gas flow, Nm3/h (0 degC, DRY, "&amp;$B$24&amp;"% O2"</f>
        <v>Flue gas flow, Nm3/h (0 degC, DRY, 5% O2</v>
      </c>
      <c r="B34" s="66" t="s">
        <v>0</v>
      </c>
      <c r="C34" s="67">
        <f>IF(C35="","",C35*3600)</f>
        <v>15793.758895027626</v>
      </c>
      <c r="D34" s="68" t="str">
        <f t="shared" ref="D34:H34" si="12">IF(D35="","",D35*3600)</f>
        <v/>
      </c>
      <c r="E34" s="68" t="str">
        <f t="shared" si="12"/>
        <v/>
      </c>
      <c r="F34" s="68" t="str">
        <f t="shared" si="12"/>
        <v/>
      </c>
      <c r="G34" s="68" t="str">
        <f t="shared" si="12"/>
        <v/>
      </c>
      <c r="H34" s="68" t="str">
        <f t="shared" si="12"/>
        <v/>
      </c>
      <c r="I34" s="68"/>
      <c r="J34" s="68" t="str">
        <f>IF(J35="","",J35*3600)</f>
        <v/>
      </c>
      <c r="L34" s="92" t="s">
        <v>60</v>
      </c>
      <c r="M34" s="90">
        <v>1.294438</v>
      </c>
      <c r="N34" s="91" t="s">
        <v>61</v>
      </c>
      <c r="O34" s="90">
        <v>1.294438</v>
      </c>
      <c r="P34" s="91" t="s">
        <v>61</v>
      </c>
    </row>
    <row r="35" spans="1:17" x14ac:dyDescent="0.25">
      <c r="A35" s="4" t="str">
        <f>"Flue gas flow, Nm3/s (0 degC, DRY, "&amp;$B$24&amp;"% O2"</f>
        <v>Flue gas flow, Nm3/s (0 degC, DRY, 5% O2</v>
      </c>
      <c r="B35" s="43" t="s">
        <v>0</v>
      </c>
      <c r="C35" s="76">
        <f>IF(C20="","",C20*((21-C12)/(21-$B$33)))</f>
        <v>4.387155248618785</v>
      </c>
      <c r="D35" s="69" t="str">
        <f t="shared" ref="D35:H35" si="13">IF(D29="","",D29*((21-D21)/(21-$B$24)))</f>
        <v/>
      </c>
      <c r="E35" s="69" t="str">
        <f t="shared" si="13"/>
        <v/>
      </c>
      <c r="F35" s="69" t="str">
        <f t="shared" si="13"/>
        <v/>
      </c>
      <c r="G35" s="69" t="str">
        <f t="shared" si="13"/>
        <v/>
      </c>
      <c r="H35" s="69" t="str">
        <f t="shared" si="13"/>
        <v/>
      </c>
      <c r="I35" s="69"/>
      <c r="J35" s="69" t="str">
        <f>IF(J29="","",J29*((21-J21)/(21-$B$24)))</f>
        <v/>
      </c>
      <c r="L35" s="89" t="s">
        <v>62</v>
      </c>
      <c r="M35" s="93">
        <f>M21</f>
        <v>0.48745050672542789</v>
      </c>
      <c r="N35" s="91" t="s">
        <v>61</v>
      </c>
      <c r="O35" s="93" t="e">
        <f>O21</f>
        <v>#REF!</v>
      </c>
      <c r="P35" s="91" t="s">
        <v>61</v>
      </c>
    </row>
    <row r="36" spans="1:17" x14ac:dyDescent="0.25">
      <c r="A36" s="123" t="s">
        <v>85</v>
      </c>
      <c r="B36" s="124">
        <v>190</v>
      </c>
      <c r="C36" s="149">
        <f>$B36*C$35/1000</f>
        <v>0.83355949723756917</v>
      </c>
      <c r="D36" s="126"/>
      <c r="E36" s="126"/>
      <c r="F36" s="126"/>
      <c r="G36" s="126"/>
      <c r="H36" s="126"/>
      <c r="I36" s="126"/>
      <c r="J36" s="126"/>
      <c r="L36" s="92" t="s">
        <v>64</v>
      </c>
      <c r="M36" s="94">
        <f>M33/M34</f>
        <v>19138.035193651609</v>
      </c>
      <c r="N36" s="91" t="s">
        <v>65</v>
      </c>
      <c r="O36" s="94">
        <f>O33/O34</f>
        <v>11893.964793987816</v>
      </c>
      <c r="P36" s="91" t="s">
        <v>65</v>
      </c>
      <c r="Q36">
        <v>12149</v>
      </c>
    </row>
    <row r="37" spans="1:17" ht="13.8" thickBot="1" x14ac:dyDescent="0.3">
      <c r="A37" s="127" t="s">
        <v>89</v>
      </c>
      <c r="B37" s="128">
        <v>393.75</v>
      </c>
      <c r="C37" s="150">
        <f>$B37*C$35/1000</f>
        <v>1.7274423791436466</v>
      </c>
      <c r="D37" s="131"/>
      <c r="E37" s="131"/>
      <c r="F37" s="131"/>
      <c r="G37" s="131"/>
      <c r="H37" s="131"/>
      <c r="I37" s="131"/>
      <c r="J37" s="131"/>
      <c r="L37" s="95" t="s">
        <v>64</v>
      </c>
      <c r="M37" s="96">
        <f>M33/M35</f>
        <v>50821.56989930915</v>
      </c>
      <c r="N37" s="97" t="s">
        <v>65</v>
      </c>
      <c r="O37" s="96" t="e">
        <f>O33/O35</f>
        <v>#REF!</v>
      </c>
      <c r="P37" s="97" t="s">
        <v>65</v>
      </c>
      <c r="Q37" s="132" t="e">
        <f>#REF!</f>
        <v>#REF!</v>
      </c>
    </row>
    <row r="38" spans="1:17" ht="13.8" thickBot="1" x14ac:dyDescent="0.3">
      <c r="A38" s="127"/>
      <c r="B38" s="128"/>
      <c r="C38" s="147" t="str">
        <f>IF($B38="","",$B38*C$35/1000)</f>
        <v/>
      </c>
      <c r="D38" s="131"/>
      <c r="E38" s="131"/>
      <c r="F38" s="131"/>
      <c r="G38" s="131"/>
      <c r="H38" s="131"/>
      <c r="I38" s="131"/>
      <c r="J38" s="131"/>
    </row>
    <row r="39" spans="1:17" x14ac:dyDescent="0.25">
      <c r="B39" s="148"/>
      <c r="C39" s="147" t="str">
        <f>IF($B39="","",$B39*C$35/1000)</f>
        <v/>
      </c>
      <c r="L39" s="42" t="s">
        <v>73</v>
      </c>
    </row>
    <row r="40" spans="1:17" x14ac:dyDescent="0.25">
      <c r="B40" s="114"/>
      <c r="C40" s="44"/>
      <c r="L40" t="s">
        <v>71</v>
      </c>
    </row>
    <row r="41" spans="1:17" x14ac:dyDescent="0.25">
      <c r="A41" t="s">
        <v>129</v>
      </c>
      <c r="B41" s="162">
        <f>B36*0.7</f>
        <v>133</v>
      </c>
      <c r="C41" s="149">
        <f>$B41*C$35/1000</f>
        <v>0.58349164806629839</v>
      </c>
      <c r="D41" s="118">
        <f>B36*0.35</f>
        <v>66.5</v>
      </c>
      <c r="L41" t="s">
        <v>72</v>
      </c>
    </row>
    <row r="42" spans="1:17" x14ac:dyDescent="0.25">
      <c r="A42" s="83" t="s">
        <v>127</v>
      </c>
      <c r="B42" s="163">
        <f>B41/(24*365)*1500</f>
        <v>22.773972602739725</v>
      </c>
      <c r="C42" s="149">
        <f t="shared" ref="C42:C43" si="14">$B42*C$35/1000</f>
        <v>9.9912953436010005E-2</v>
      </c>
      <c r="M42" s="82" t="s">
        <v>66</v>
      </c>
    </row>
    <row r="43" spans="1:17" x14ac:dyDescent="0.25">
      <c r="A43" s="83" t="s">
        <v>128</v>
      </c>
      <c r="B43" s="44">
        <f>B41/(24*365)*2250</f>
        <v>34.160958904109584</v>
      </c>
      <c r="C43" s="149">
        <f t="shared" si="14"/>
        <v>0.14986943015401499</v>
      </c>
      <c r="M43" s="44" t="s">
        <v>67</v>
      </c>
    </row>
    <row r="44" spans="1:17" ht="14.4" x14ac:dyDescent="0.3">
      <c r="B44" s="116"/>
      <c r="M44" t="s">
        <v>68</v>
      </c>
    </row>
    <row r="45" spans="1:17" ht="14.4" x14ac:dyDescent="0.3">
      <c r="B45" s="116"/>
      <c r="M45" t="s">
        <v>69</v>
      </c>
    </row>
    <row r="46" spans="1:17" x14ac:dyDescent="0.25">
      <c r="M46" t="s">
        <v>70</v>
      </c>
    </row>
    <row r="47" spans="1:17" ht="15" thickBot="1" x14ac:dyDescent="0.35">
      <c r="B47" s="116"/>
    </row>
    <row r="48" spans="1:17" x14ac:dyDescent="0.25">
      <c r="D48" s="117"/>
      <c r="L48" s="42" t="s">
        <v>74</v>
      </c>
    </row>
    <row r="49" spans="2:13" x14ac:dyDescent="0.25">
      <c r="D49" s="117"/>
    </row>
    <row r="50" spans="2:13" x14ac:dyDescent="0.25">
      <c r="D50" s="117"/>
      <c r="L50" s="83" t="s">
        <v>79</v>
      </c>
    </row>
    <row r="51" spans="2:13" x14ac:dyDescent="0.25">
      <c r="D51" s="117"/>
      <c r="L51" t="s">
        <v>75</v>
      </c>
      <c r="M51">
        <v>101.3</v>
      </c>
    </row>
    <row r="52" spans="2:13" x14ac:dyDescent="0.25">
      <c r="D52" s="117"/>
      <c r="L52" t="s">
        <v>76</v>
      </c>
      <c r="M52">
        <v>100</v>
      </c>
    </row>
    <row r="53" spans="2:13" x14ac:dyDescent="0.25">
      <c r="D53" s="117"/>
      <c r="L53" t="s">
        <v>77</v>
      </c>
      <c r="M53">
        <v>344</v>
      </c>
    </row>
    <row r="54" spans="2:13" x14ac:dyDescent="0.25">
      <c r="D54" s="117"/>
      <c r="L54" t="s">
        <v>78</v>
      </c>
      <c r="M54" s="11">
        <f>M53*(M51/M52)</f>
        <v>348.47199999999998</v>
      </c>
    </row>
    <row r="55" spans="2:13" x14ac:dyDescent="0.25">
      <c r="D55" s="117"/>
    </row>
    <row r="56" spans="2:13" x14ac:dyDescent="0.25">
      <c r="D56" s="117"/>
    </row>
    <row r="57" spans="2:13" ht="14.4" x14ac:dyDescent="0.3">
      <c r="B57" s="116"/>
      <c r="D57" s="117"/>
    </row>
    <row r="58" spans="2:13" x14ac:dyDescent="0.25">
      <c r="D58" s="117"/>
    </row>
    <row r="59" spans="2:13" x14ac:dyDescent="0.25">
      <c r="D59" s="117"/>
    </row>
    <row r="60" spans="2:13" x14ac:dyDescent="0.25">
      <c r="D60" s="117"/>
    </row>
    <row r="61" spans="2:13" x14ac:dyDescent="0.25">
      <c r="D61" s="117"/>
    </row>
    <row r="62" spans="2:13" x14ac:dyDescent="0.25">
      <c r="D62" s="117"/>
    </row>
    <row r="63" spans="2:13" x14ac:dyDescent="0.25">
      <c r="D63" s="117"/>
    </row>
    <row r="64" spans="2:13" x14ac:dyDescent="0.25">
      <c r="D64" s="117"/>
    </row>
    <row r="65" spans="3:4" x14ac:dyDescent="0.25">
      <c r="C65" s="114"/>
      <c r="D65" s="118"/>
    </row>
    <row r="66" spans="3:4" x14ac:dyDescent="0.25">
      <c r="C66" s="114"/>
      <c r="D66" s="118"/>
    </row>
    <row r="67" spans="3:4" x14ac:dyDescent="0.25">
      <c r="D67" s="117"/>
    </row>
    <row r="68" spans="3:4" x14ac:dyDescent="0.25">
      <c r="C68" s="115"/>
      <c r="D68" s="119"/>
    </row>
    <row r="69" spans="3:4" x14ac:dyDescent="0.25">
      <c r="C69" s="115"/>
      <c r="D69" s="119"/>
    </row>
    <row r="70" spans="3:4" x14ac:dyDescent="0.25">
      <c r="D70" s="117"/>
    </row>
    <row r="71" spans="3:4" x14ac:dyDescent="0.25">
      <c r="C71" s="44"/>
      <c r="D71" s="119"/>
    </row>
    <row r="72" spans="3:4" x14ac:dyDescent="0.25">
      <c r="C72" s="44"/>
      <c r="D72" s="119"/>
    </row>
    <row r="73" spans="3:4" x14ac:dyDescent="0.25">
      <c r="D73" s="117"/>
    </row>
  </sheetData>
  <mergeCells count="4">
    <mergeCell ref="C22:J22"/>
    <mergeCell ref="C23:J23"/>
    <mergeCell ref="C31:J31"/>
    <mergeCell ref="C32:J32"/>
  </mergeCells>
  <conditionalFormatting sqref="D11:I11">
    <cfRule type="cellIs" dxfId="4" priority="2" stopIfTrue="1" operator="greaterThan">
      <formula>D$12</formula>
    </cfRule>
  </conditionalFormatting>
  <conditionalFormatting sqref="D12:J12">
    <cfRule type="cellIs" dxfId="3" priority="3" stopIfTrue="1" operator="lessThan">
      <formula>D$11</formula>
    </cfRule>
  </conditionalFormatting>
  <conditionalFormatting sqref="C11">
    <cfRule type="cellIs" dxfId="2" priority="1" stopIfTrue="1" operator="greaterThan">
      <formula>C$12</formula>
    </cfRule>
  </conditionalFormatting>
  <pageMargins left="0.7" right="0.7" top="0.75" bottom="0.75" header="0.3" footer="0.3"/>
  <pageSetup paperSize="9" orientation="portrait" horizontalDpi="30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3"/>
  <sheetViews>
    <sheetView tabSelected="1" workbookViewId="0">
      <pane xSplit="1" ySplit="5" topLeftCell="B18" activePane="bottomRight" state="frozen"/>
      <selection activeCell="B43" sqref="B43"/>
      <selection pane="topRight" activeCell="B43" sqref="B43"/>
      <selection pane="bottomLeft" activeCell="B43" sqref="B43"/>
      <selection pane="bottomRight" activeCell="E45" sqref="E45"/>
    </sheetView>
  </sheetViews>
  <sheetFormatPr defaultRowHeight="13.2" x14ac:dyDescent="0.25"/>
  <cols>
    <col min="1" max="1" width="42.5546875" bestFit="1" customWidth="1"/>
    <col min="2" max="2" width="13.88671875" bestFit="1" customWidth="1"/>
    <col min="3" max="3" width="17.33203125" bestFit="1" customWidth="1"/>
    <col min="4" max="7" width="17.33203125" customWidth="1"/>
    <col min="8" max="8" width="17.6640625" customWidth="1"/>
    <col min="9" max="9" width="16.88671875" customWidth="1"/>
    <col min="10" max="11" width="16.88671875" bestFit="1" customWidth="1"/>
    <col min="12" max="14" width="16.88671875" customWidth="1"/>
    <col min="16" max="16" width="36.33203125" customWidth="1"/>
    <col min="18" max="18" width="11.109375" bestFit="1" customWidth="1"/>
  </cols>
  <sheetData>
    <row r="1" spans="1:18" x14ac:dyDescent="0.25">
      <c r="A1" s="6" t="s">
        <v>54</v>
      </c>
      <c r="B1" s="6"/>
      <c r="C1" s="6"/>
      <c r="D1" s="6"/>
      <c r="E1" s="6"/>
      <c r="F1" s="6"/>
      <c r="G1" s="6"/>
      <c r="H1" s="6"/>
    </row>
    <row r="2" spans="1:18" x14ac:dyDescent="0.25">
      <c r="B2" s="8"/>
      <c r="C2" t="s">
        <v>3</v>
      </c>
      <c r="H2" s="58"/>
      <c r="I2" s="79" t="s">
        <v>3</v>
      </c>
    </row>
    <row r="3" spans="1:18" x14ac:dyDescent="0.25">
      <c r="B3" s="1"/>
      <c r="C3" t="s">
        <v>4</v>
      </c>
      <c r="H3" s="16"/>
      <c r="I3" t="s">
        <v>4</v>
      </c>
    </row>
    <row r="4" spans="1:18" ht="13.8" thickBot="1" x14ac:dyDescent="0.3">
      <c r="C4" t="s">
        <v>87</v>
      </c>
      <c r="E4" t="s">
        <v>86</v>
      </c>
      <c r="I4" s="12"/>
    </row>
    <row r="5" spans="1:18" ht="27.75" customHeight="1" x14ac:dyDescent="0.25">
      <c r="A5" s="2" t="s">
        <v>5</v>
      </c>
      <c r="B5" s="36" t="s">
        <v>3</v>
      </c>
      <c r="C5" s="3" t="s">
        <v>83</v>
      </c>
      <c r="D5" s="3" t="s">
        <v>83</v>
      </c>
      <c r="E5" s="3" t="s">
        <v>84</v>
      </c>
      <c r="F5" s="3"/>
      <c r="G5" s="3"/>
      <c r="H5" s="15" t="s">
        <v>34</v>
      </c>
      <c r="I5" s="71" t="s">
        <v>35</v>
      </c>
      <c r="J5" s="15" t="s">
        <v>36</v>
      </c>
      <c r="K5" s="72" t="s">
        <v>33</v>
      </c>
      <c r="L5" s="72" t="s">
        <v>39</v>
      </c>
      <c r="M5" s="78" t="s">
        <v>57</v>
      </c>
      <c r="N5" s="64" t="s">
        <v>56</v>
      </c>
      <c r="O5" s="11"/>
      <c r="P5" s="42" t="s">
        <v>38</v>
      </c>
      <c r="Q5" s="29"/>
      <c r="R5" s="30"/>
    </row>
    <row r="6" spans="1:18" x14ac:dyDescent="0.25">
      <c r="A6" s="111" t="s">
        <v>81</v>
      </c>
      <c r="B6" s="112"/>
      <c r="C6" s="104">
        <v>10</v>
      </c>
      <c r="D6" s="104">
        <v>10</v>
      </c>
      <c r="E6" s="104">
        <v>10</v>
      </c>
      <c r="F6" s="104"/>
      <c r="G6" s="104"/>
      <c r="H6" s="105"/>
      <c r="I6" s="106"/>
      <c r="J6" s="105"/>
      <c r="K6" s="107"/>
      <c r="L6" s="107"/>
      <c r="M6" s="108"/>
      <c r="N6" s="109"/>
      <c r="O6" s="11"/>
      <c r="P6" s="110"/>
      <c r="Q6" s="90"/>
      <c r="R6" s="91"/>
    </row>
    <row r="7" spans="1:18" x14ac:dyDescent="0.25">
      <c r="A7" s="40" t="s">
        <v>82</v>
      </c>
      <c r="B7" s="37"/>
      <c r="C7" s="32">
        <v>1</v>
      </c>
      <c r="D7" s="32">
        <v>4</v>
      </c>
      <c r="E7" s="32">
        <v>1</v>
      </c>
      <c r="F7" s="32"/>
      <c r="G7" s="32"/>
      <c r="H7" s="33"/>
      <c r="I7" s="34"/>
      <c r="J7" s="33"/>
      <c r="K7" s="35"/>
      <c r="L7" s="35"/>
      <c r="M7" s="35"/>
      <c r="N7" s="33"/>
      <c r="O7" s="11"/>
      <c r="P7" s="19" t="s">
        <v>10</v>
      </c>
      <c r="Q7" s="20">
        <v>1.2</v>
      </c>
      <c r="R7" s="21" t="s">
        <v>11</v>
      </c>
    </row>
    <row r="8" spans="1:18" x14ac:dyDescent="0.25">
      <c r="A8" s="41" t="s">
        <v>6</v>
      </c>
      <c r="B8" s="73"/>
      <c r="C8" s="121">
        <f>IF(C9="","",C9*3600)</f>
        <v>44479.978021978022</v>
      </c>
      <c r="D8" s="121">
        <f>IF(D9="","",D9*3600)</f>
        <v>78216</v>
      </c>
      <c r="E8" s="121">
        <f>IF(E9="","",E9*3600)</f>
        <v>28258.663003663005</v>
      </c>
      <c r="F8" s="121"/>
      <c r="G8" s="121"/>
      <c r="H8" s="31">
        <f t="shared" ref="H8:N8" si="0">IF(H9="","",H9*3600)</f>
        <v>44479.978021978022</v>
      </c>
      <c r="I8" s="31">
        <f>IF(I9="","",I9*3600)</f>
        <v>44479.978021978022</v>
      </c>
      <c r="J8" s="31">
        <f t="shared" si="0"/>
        <v>44052.792313054932</v>
      </c>
      <c r="K8" s="31">
        <f t="shared" si="0"/>
        <v>44479.978021978022</v>
      </c>
      <c r="L8" s="31">
        <f t="shared" si="0"/>
        <v>44479.978021978022</v>
      </c>
      <c r="M8" s="31">
        <f t="shared" si="0"/>
        <v>44479.978021978022</v>
      </c>
      <c r="N8" s="31">
        <f t="shared" si="0"/>
        <v>44479.978021978022</v>
      </c>
      <c r="P8" s="22" t="s">
        <v>13</v>
      </c>
      <c r="Q8" s="23" t="e">
        <f>#REF!*Q7</f>
        <v>#REF!</v>
      </c>
      <c r="R8" s="24" t="s">
        <v>14</v>
      </c>
    </row>
    <row r="9" spans="1:18" x14ac:dyDescent="0.25">
      <c r="A9" s="17" t="s">
        <v>7</v>
      </c>
      <c r="B9" s="7"/>
      <c r="C9" s="136">
        <f>IF(C15="","",C15/(273/(273+C10)))</f>
        <v>12.35554945054945</v>
      </c>
      <c r="D9" s="113">
        <f>IF(D15="","",D15/(273/(273+D10)))</f>
        <v>21.726666666666667</v>
      </c>
      <c r="E9" s="113">
        <f>IF(E15="","",E15/(273/(273+E10)))</f>
        <v>7.8496286121286127</v>
      </c>
      <c r="F9" s="39"/>
      <c r="G9" s="39"/>
      <c r="H9" s="75">
        <f>IF($C$9="","",$C$9)</f>
        <v>12.35554945054945</v>
      </c>
      <c r="I9" s="31">
        <f>IF(I15="","",I15/(273/(273+I10)))</f>
        <v>12.35554945054945</v>
      </c>
      <c r="J9" s="31">
        <f>IF(J20="","",J15/(273/(273+J10)))</f>
        <v>12.23688675362637</v>
      </c>
      <c r="K9" s="60">
        <f>IF($C$9="","",$C$9)</f>
        <v>12.35554945054945</v>
      </c>
      <c r="L9" s="60">
        <f>IF($C$9="","",$C$9)</f>
        <v>12.35554945054945</v>
      </c>
      <c r="M9" s="60">
        <f>IF($C$9="","",$C$9)</f>
        <v>12.35554945054945</v>
      </c>
      <c r="N9" s="60">
        <f>IF($C$9="","",$C$9)</f>
        <v>12.35554945054945</v>
      </c>
      <c r="P9" s="25" t="s">
        <v>16</v>
      </c>
      <c r="Q9" s="23" t="e">
        <f>#REF!*(#REF!/100)</f>
        <v>#REF!</v>
      </c>
      <c r="R9" s="24" t="s">
        <v>17</v>
      </c>
    </row>
    <row r="10" spans="1:18" x14ac:dyDescent="0.25">
      <c r="A10" s="17" t="s">
        <v>8</v>
      </c>
      <c r="B10" s="7"/>
      <c r="C10" s="7">
        <v>348</v>
      </c>
      <c r="D10" s="7">
        <f>B10</f>
        <v>0</v>
      </c>
      <c r="E10" s="7">
        <v>362</v>
      </c>
      <c r="F10" s="7"/>
      <c r="G10" s="7"/>
      <c r="H10" s="60">
        <f t="shared" ref="H10:N10" si="1">IF($C$10="","",$C$10)</f>
        <v>348</v>
      </c>
      <c r="I10" s="60">
        <f t="shared" si="1"/>
        <v>348</v>
      </c>
      <c r="J10" s="60">
        <f t="shared" si="1"/>
        <v>348</v>
      </c>
      <c r="K10" s="60">
        <f t="shared" si="1"/>
        <v>348</v>
      </c>
      <c r="L10" s="60">
        <f t="shared" si="1"/>
        <v>348</v>
      </c>
      <c r="M10" s="60">
        <f t="shared" si="1"/>
        <v>348</v>
      </c>
      <c r="N10" s="60">
        <f t="shared" si="1"/>
        <v>348</v>
      </c>
      <c r="P10" s="25" t="s">
        <v>16</v>
      </c>
      <c r="Q10" s="23" t="e">
        <f>#REF!*(#REF!/100)</f>
        <v>#REF!</v>
      </c>
      <c r="R10" s="24" t="s">
        <v>19</v>
      </c>
    </row>
    <row r="11" spans="1:18" x14ac:dyDescent="0.25">
      <c r="A11" s="17" t="s">
        <v>9</v>
      </c>
      <c r="B11" s="138" t="s">
        <v>88</v>
      </c>
      <c r="C11" s="39">
        <f>IF(C12="","",((C19*(C12/100))/C14)*100)</f>
        <v>9.7596399999999992</v>
      </c>
      <c r="D11" s="39">
        <f t="shared" ref="D11" si="2">IF(D12="","",((D19*(D12/100))/D14)*100)</f>
        <v>9.7596399999999992</v>
      </c>
      <c r="E11" s="39">
        <f>IF(E12="","",((E19*(E12/100))/E14)*100)</f>
        <v>9.9711199999999991</v>
      </c>
      <c r="F11" s="59"/>
      <c r="G11" s="59"/>
      <c r="H11" s="62">
        <f t="shared" ref="H11:K11" si="3">IF(H12="","",((H19*(H12/100))/H14)*100)</f>
        <v>9.7596400000000028</v>
      </c>
      <c r="I11" s="62">
        <f t="shared" si="3"/>
        <v>9.7596400000000028</v>
      </c>
      <c r="J11" s="62">
        <f t="shared" si="3"/>
        <v>9.8542805100182171</v>
      </c>
      <c r="K11" s="62">
        <f t="shared" si="3"/>
        <v>9.7596400000000028</v>
      </c>
      <c r="L11" s="62">
        <f>IF(L12="","",((L19*(L12/100))/L14)*100)</f>
        <v>9.7596400000000028</v>
      </c>
      <c r="M11" s="62"/>
      <c r="N11" s="60">
        <f>IF($C$11="","",$C$11)</f>
        <v>9.7596399999999992</v>
      </c>
      <c r="P11" s="25" t="s">
        <v>21</v>
      </c>
      <c r="Q11" s="23">
        <v>0.76219999999999999</v>
      </c>
      <c r="R11" s="24" t="s">
        <v>22</v>
      </c>
    </row>
    <row r="12" spans="1:18" x14ac:dyDescent="0.25">
      <c r="A12" s="17" t="s">
        <v>12</v>
      </c>
      <c r="B12" s="7" t="s">
        <v>91</v>
      </c>
      <c r="C12" s="7">
        <v>10.82</v>
      </c>
      <c r="D12" s="145">
        <f t="shared" ref="D12" si="4">C12</f>
        <v>10.82</v>
      </c>
      <c r="E12" s="7">
        <v>11.03</v>
      </c>
      <c r="F12" s="59"/>
      <c r="G12" s="59"/>
      <c r="H12" s="63">
        <f t="shared" ref="H12:L12" si="5">IF($C$12="","",$C$12)</f>
        <v>10.82</v>
      </c>
      <c r="I12" s="63">
        <f t="shared" si="5"/>
        <v>10.82</v>
      </c>
      <c r="J12" s="63">
        <f t="shared" si="5"/>
        <v>10.82</v>
      </c>
      <c r="K12" s="63">
        <f t="shared" si="5"/>
        <v>10.82</v>
      </c>
      <c r="L12" s="63">
        <f t="shared" si="5"/>
        <v>10.82</v>
      </c>
      <c r="M12" s="63">
        <f>IF($C$12="","",$C$12)</f>
        <v>10.82</v>
      </c>
      <c r="N12" s="62">
        <f>IF(N13="","",($N$11*100)/(100-$N$13))</f>
        <v>10.819999999999999</v>
      </c>
      <c r="P12" s="25" t="s">
        <v>23</v>
      </c>
      <c r="Q12" s="23" t="e">
        <f>Q10*Q11</f>
        <v>#REF!</v>
      </c>
      <c r="R12" s="24" t="s">
        <v>14</v>
      </c>
    </row>
    <row r="13" spans="1:18" ht="13.8" thickBot="1" x14ac:dyDescent="0.3">
      <c r="A13" s="17" t="s">
        <v>15</v>
      </c>
      <c r="B13" s="7" t="s">
        <v>90</v>
      </c>
      <c r="C13" s="7">
        <v>9.8000000000000007</v>
      </c>
      <c r="D13" s="145">
        <f>C13</f>
        <v>9.8000000000000007</v>
      </c>
      <c r="E13" s="7">
        <v>9.6</v>
      </c>
      <c r="F13" s="122"/>
      <c r="G13" s="122"/>
      <c r="H13" s="61">
        <f>IF($C$13="","",$C$13)</f>
        <v>9.8000000000000007</v>
      </c>
      <c r="I13" s="61">
        <f>IF($C$13="","",$C$13)</f>
        <v>9.8000000000000007</v>
      </c>
      <c r="J13" s="61">
        <f>IF($C$13="","",$C$13)</f>
        <v>9.8000000000000007</v>
      </c>
      <c r="K13" s="61">
        <f>IF($C$13="","",$C$13)</f>
        <v>9.8000000000000007</v>
      </c>
      <c r="L13" s="61">
        <f>IF($C$13="","",$C$13)</f>
        <v>9.8000000000000007</v>
      </c>
      <c r="M13" s="77">
        <f>IF(M14="","",(L14-L19)/L14*100)</f>
        <v>9.7999999999999883</v>
      </c>
      <c r="N13" s="61">
        <f>IF($C$13="","",$C$13)</f>
        <v>9.8000000000000007</v>
      </c>
      <c r="P13" s="26" t="s">
        <v>24</v>
      </c>
      <c r="Q13" s="27" t="e">
        <f>Q12/Q8*100</f>
        <v>#REF!</v>
      </c>
      <c r="R13" s="28" t="s">
        <v>2</v>
      </c>
    </row>
    <row r="14" spans="1:18" x14ac:dyDescent="0.25">
      <c r="A14" s="17" t="s">
        <v>18</v>
      </c>
      <c r="B14" s="7"/>
      <c r="C14" s="134">
        <v>19554</v>
      </c>
      <c r="D14" s="134">
        <f>C14*D7</f>
        <v>78216</v>
      </c>
      <c r="E14" s="134">
        <v>12149</v>
      </c>
      <c r="F14" s="134"/>
      <c r="G14" s="134"/>
      <c r="H14" s="10">
        <f t="shared" ref="H14:N14" si="6">IF(H15="","",H15*3600)</f>
        <v>19554</v>
      </c>
      <c r="I14" s="10">
        <f t="shared" si="6"/>
        <v>19554</v>
      </c>
      <c r="J14" s="10">
        <f t="shared" si="6"/>
        <v>19366.203383999997</v>
      </c>
      <c r="K14" s="10">
        <f t="shared" si="6"/>
        <v>19554</v>
      </c>
      <c r="L14" s="10">
        <f t="shared" si="6"/>
        <v>19554</v>
      </c>
      <c r="M14" s="10">
        <f t="shared" si="6"/>
        <v>19554</v>
      </c>
      <c r="N14" s="10">
        <f t="shared" si="6"/>
        <v>19554</v>
      </c>
    </row>
    <row r="15" spans="1:18" ht="13.8" thickBot="1" x14ac:dyDescent="0.3">
      <c r="A15" s="17" t="s">
        <v>20</v>
      </c>
      <c r="B15" s="7"/>
      <c r="C15" s="39">
        <f>C14/3600</f>
        <v>5.4316666666666666</v>
      </c>
      <c r="D15" s="39">
        <f>D14/3600</f>
        <v>21.726666666666667</v>
      </c>
      <c r="E15" s="39">
        <f>E14/3600</f>
        <v>3.3747222222222222</v>
      </c>
      <c r="F15" s="39"/>
      <c r="G15" s="39"/>
      <c r="H15" s="14">
        <f>IF(H10="","",H9*(273/(273+H10)))</f>
        <v>5.4316666666666666</v>
      </c>
      <c r="I15" s="61">
        <f>IF($C$15="","",$C$15)</f>
        <v>5.4316666666666666</v>
      </c>
      <c r="J15" s="10">
        <f>IF(J20="","",J20*((100+J13)/100))</f>
        <v>5.3795009399999989</v>
      </c>
      <c r="K15" s="14">
        <f>IF(K10="","",K9*(273/(273+K10)))</f>
        <v>5.4316666666666666</v>
      </c>
      <c r="L15" s="14">
        <f>IF(L10="","",L9*(273/(273+L10)))</f>
        <v>5.4316666666666666</v>
      </c>
      <c r="M15" s="14">
        <f>IF(M10="","",M9*(273/(273+M10)))</f>
        <v>5.4316666666666666</v>
      </c>
      <c r="N15" s="14">
        <f>IF(N10="","",N9*(273/(273+N10)))</f>
        <v>5.4316666666666666</v>
      </c>
    </row>
    <row r="16" spans="1:18" x14ac:dyDescent="0.25">
      <c r="A16" s="17" t="s">
        <v>31</v>
      </c>
      <c r="B16" s="7"/>
      <c r="C16" s="39">
        <f>IF(C17="","",2*(SQRT(C17/PI())))</f>
        <v>0.68021566989427462</v>
      </c>
      <c r="D16" s="39"/>
      <c r="E16" s="39">
        <f>IF(E17="","",2*(SQRT(E17/PI())))</f>
        <v>0.54217583322275309</v>
      </c>
      <c r="F16" s="39"/>
      <c r="G16" s="39"/>
      <c r="H16" s="61">
        <f>IF($C$16="","",$C$16)</f>
        <v>0.68021566989427462</v>
      </c>
      <c r="I16" s="61">
        <f>IF($C$16="","",$C$16)</f>
        <v>0.68021566989427462</v>
      </c>
      <c r="J16" s="61">
        <f>IF($C$16="","",$C$16)</f>
        <v>0.68021566989427462</v>
      </c>
      <c r="K16" s="9">
        <f>IF(K17="","",2*(SQRT(K17/PI())))</f>
        <v>0.68021566989427462</v>
      </c>
      <c r="L16" s="9" t="e">
        <f>IF(L17="","",2*(SQRT(L17/PI())))</f>
        <v>#REF!</v>
      </c>
      <c r="M16" s="9">
        <f>IF(M17="","",2*(SQRT(M17/PI())))</f>
        <v>0.68021566989427462</v>
      </c>
      <c r="N16" s="61">
        <f>IF($C$16="","",$C$16)</f>
        <v>0.68021566989427462</v>
      </c>
      <c r="P16" s="42" t="s">
        <v>41</v>
      </c>
      <c r="Q16" s="29"/>
      <c r="R16" s="30"/>
    </row>
    <row r="17" spans="1:20" x14ac:dyDescent="0.25">
      <c r="A17" s="17" t="s">
        <v>32</v>
      </c>
      <c r="B17" s="7"/>
      <c r="C17" s="39">
        <f>IF(C9="","",C9/C18)</f>
        <v>0.36339851325145439</v>
      </c>
      <c r="D17" s="39"/>
      <c r="E17" s="39">
        <f>IF(E9="","",E9/E18)</f>
        <v>0.23087142976848862</v>
      </c>
      <c r="F17" s="39"/>
      <c r="G17" s="39"/>
      <c r="H17" s="13">
        <f t="shared" ref="H17:J17" si="7">IF(H16="","",((H16/2)^2)*PI())</f>
        <v>0.36339851325145439</v>
      </c>
      <c r="I17" s="13">
        <f t="shared" si="7"/>
        <v>0.36339851325145439</v>
      </c>
      <c r="J17" s="13">
        <f t="shared" si="7"/>
        <v>0.36339851325145439</v>
      </c>
      <c r="K17" s="74">
        <f>IF(K9="","",K9/K18)</f>
        <v>0.36339851325145439</v>
      </c>
      <c r="L17" s="75" t="e">
        <f>#REF!</f>
        <v>#REF!</v>
      </c>
      <c r="M17" s="75">
        <f>H17</f>
        <v>0.36339851325145439</v>
      </c>
      <c r="N17" s="13">
        <f>IF(N16="","",((N16/2)^2)*PI())</f>
        <v>0.36339851325145439</v>
      </c>
      <c r="P17" s="25" t="s">
        <v>44</v>
      </c>
      <c r="Q17" s="47">
        <v>101325</v>
      </c>
      <c r="R17" s="24" t="s">
        <v>42</v>
      </c>
      <c r="S17" s="47">
        <v>101325</v>
      </c>
      <c r="T17" s="24" t="s">
        <v>42</v>
      </c>
    </row>
    <row r="18" spans="1:20" x14ac:dyDescent="0.25">
      <c r="A18" s="17" t="s">
        <v>25</v>
      </c>
      <c r="B18" s="7"/>
      <c r="C18" s="133">
        <v>34</v>
      </c>
      <c r="D18" s="133"/>
      <c r="E18" s="133">
        <v>34</v>
      </c>
      <c r="F18" s="133"/>
      <c r="G18" s="133"/>
      <c r="H18" s="13">
        <f>IF(H9="","",H9/H17)</f>
        <v>34</v>
      </c>
      <c r="I18" s="13">
        <f>IF(I9="","",I9/I17)</f>
        <v>34</v>
      </c>
      <c r="J18" s="13">
        <f>IF(J9="","",J9/J17)</f>
        <v>33.673463999999996</v>
      </c>
      <c r="K18" s="61">
        <f>IF($C$18="","",$C$18)</f>
        <v>34</v>
      </c>
      <c r="L18" s="13" t="e">
        <f>IF(L9="","",L9/L17)</f>
        <v>#REF!</v>
      </c>
      <c r="M18" s="13">
        <f>IF(M9="","",M9/M17)</f>
        <v>34</v>
      </c>
      <c r="N18" s="13">
        <f>IF(N9="","",N9/N17)</f>
        <v>34</v>
      </c>
      <c r="P18" s="25" t="s">
        <v>45</v>
      </c>
      <c r="Q18" s="47">
        <v>287.05</v>
      </c>
      <c r="R18" s="24" t="s">
        <v>46</v>
      </c>
      <c r="S18" s="47">
        <v>287.05</v>
      </c>
      <c r="T18" s="24" t="s">
        <v>46</v>
      </c>
    </row>
    <row r="19" spans="1:20" x14ac:dyDescent="0.25">
      <c r="A19" s="17" t="s">
        <v>26</v>
      </c>
      <c r="B19" s="7"/>
      <c r="C19" s="39">
        <f>IF(C13="","",C14*((100-C13)/100))</f>
        <v>17637.707999999999</v>
      </c>
      <c r="D19" s="39">
        <f>IF(D13="","",D14*((100-D13)/100))</f>
        <v>70550.831999999995</v>
      </c>
      <c r="E19" s="39">
        <f>IF(E13="","",E14*((100-E13)/100))</f>
        <v>10982.696</v>
      </c>
      <c r="F19" s="39"/>
      <c r="G19" s="39"/>
      <c r="H19" s="10">
        <f>IF(H20="","",H20*3600)</f>
        <v>17637.708000000002</v>
      </c>
      <c r="I19" s="10">
        <f t="shared" ref="I19:N19" si="8">IF(I20="","",I20*3600)</f>
        <v>17637.708000000002</v>
      </c>
      <c r="J19" s="10">
        <f t="shared" si="8"/>
        <v>17637.707999999999</v>
      </c>
      <c r="K19" s="10">
        <f t="shared" si="8"/>
        <v>17637.708000000002</v>
      </c>
      <c r="L19" s="10">
        <f t="shared" si="8"/>
        <v>17637.708000000002</v>
      </c>
      <c r="M19" s="10">
        <f t="shared" si="8"/>
        <v>17637.708000000002</v>
      </c>
      <c r="N19" s="10">
        <f t="shared" si="8"/>
        <v>17637.708000000002</v>
      </c>
      <c r="P19" s="25" t="s">
        <v>47</v>
      </c>
      <c r="Q19" s="80">
        <f>C10</f>
        <v>348</v>
      </c>
      <c r="R19" s="24" t="s">
        <v>48</v>
      </c>
      <c r="S19" s="80">
        <f>E10</f>
        <v>362</v>
      </c>
      <c r="T19" s="24" t="s">
        <v>48</v>
      </c>
    </row>
    <row r="20" spans="1:20" x14ac:dyDescent="0.25">
      <c r="A20" s="18" t="s">
        <v>27</v>
      </c>
      <c r="B20" s="70"/>
      <c r="C20" s="81">
        <f>C19/3600</f>
        <v>4.8993633333333326</v>
      </c>
      <c r="D20" s="81">
        <f>D19/3600</f>
        <v>19.597453333333331</v>
      </c>
      <c r="E20" s="81">
        <f>E19/3600</f>
        <v>3.0507488888888887</v>
      </c>
      <c r="F20" s="81"/>
      <c r="G20" s="81"/>
      <c r="H20" s="139">
        <f>IF(H13="","",H15*((100-H13)/100))</f>
        <v>4.8993633333333335</v>
      </c>
      <c r="I20" s="139">
        <f>IF(I13="","",I15*((100-I13)/100))</f>
        <v>4.8993633333333335</v>
      </c>
      <c r="J20" s="140">
        <f>IF($C$20="","",$C$20)</f>
        <v>4.8993633333333326</v>
      </c>
      <c r="K20" s="139">
        <f>IF(K13="","",K15*((100-K13)/100))</f>
        <v>4.8993633333333335</v>
      </c>
      <c r="L20" s="139">
        <f>IF(L13="","",L15*((100-L13)/100))</f>
        <v>4.8993633333333335</v>
      </c>
      <c r="M20" s="139">
        <f>IF(M13="","",M15*((100-M13)/100))</f>
        <v>4.8993633333333344</v>
      </c>
      <c r="N20" s="139">
        <f>IF(N13="","",N15*((100-N13)/100))</f>
        <v>4.8993633333333335</v>
      </c>
      <c r="P20" s="25"/>
      <c r="Q20" s="84">
        <f>Q19+273.15</f>
        <v>621.15</v>
      </c>
      <c r="R20" s="24" t="s">
        <v>37</v>
      </c>
      <c r="S20" s="84">
        <f>S19+273.15</f>
        <v>635.15</v>
      </c>
      <c r="T20" s="24" t="s">
        <v>37</v>
      </c>
    </row>
    <row r="21" spans="1:20" ht="13.8" thickBot="1" x14ac:dyDescent="0.3">
      <c r="P21" s="45" t="s">
        <v>43</v>
      </c>
      <c r="Q21" s="85">
        <f>Q17/(Q18*Q20)</f>
        <v>0.56828026152333344</v>
      </c>
      <c r="R21" s="46" t="s">
        <v>22</v>
      </c>
      <c r="S21" s="85">
        <f>S17/(S18*S20)</f>
        <v>0.55575420679401499</v>
      </c>
      <c r="T21" s="46" t="s">
        <v>22</v>
      </c>
    </row>
    <row r="22" spans="1:20" ht="13.8" thickBot="1" x14ac:dyDescent="0.3">
      <c r="A22" s="3"/>
      <c r="B22" s="5" t="s">
        <v>1</v>
      </c>
      <c r="C22" s="156" t="s">
        <v>30</v>
      </c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8"/>
    </row>
    <row r="23" spans="1:20" x14ac:dyDescent="0.25">
      <c r="A23" s="2" t="s">
        <v>28</v>
      </c>
      <c r="B23" s="3" t="s">
        <v>29</v>
      </c>
      <c r="C23" s="159" t="s">
        <v>55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1"/>
      <c r="P23" s="42" t="s">
        <v>49</v>
      </c>
      <c r="Q23" s="29"/>
      <c r="R23" s="30"/>
    </row>
    <row r="24" spans="1:20" x14ac:dyDescent="0.25">
      <c r="A24" s="55" t="s">
        <v>40</v>
      </c>
      <c r="B24" s="57">
        <v>5</v>
      </c>
      <c r="C24" s="56" t="s">
        <v>0</v>
      </c>
      <c r="D24" s="56"/>
      <c r="E24" s="56"/>
      <c r="F24" s="56"/>
      <c r="G24" s="56"/>
      <c r="H24" s="56" t="s">
        <v>0</v>
      </c>
      <c r="I24" s="56" t="s">
        <v>0</v>
      </c>
      <c r="J24" s="56" t="s">
        <v>0</v>
      </c>
      <c r="K24" s="56" t="s">
        <v>0</v>
      </c>
      <c r="L24" s="56" t="s">
        <v>0</v>
      </c>
      <c r="M24" s="56"/>
      <c r="N24" s="56"/>
      <c r="P24" s="25" t="s">
        <v>51</v>
      </c>
      <c r="Q24" s="47">
        <v>1257</v>
      </c>
      <c r="R24" s="24" t="s">
        <v>50</v>
      </c>
    </row>
    <row r="25" spans="1:20" x14ac:dyDescent="0.25">
      <c r="A25" s="65" t="str">
        <f>"Flue gas flow, Nm3/h (0 degC, DRY, "&amp;$B$24&amp;"% O2"</f>
        <v>Flue gas flow, Nm3/h (0 degC, DRY, 5% O2</v>
      </c>
      <c r="B25" s="66" t="s">
        <v>0</v>
      </c>
      <c r="C25" s="67">
        <f>IF(C26="","",C26*3600)</f>
        <v>11221.991714999998</v>
      </c>
      <c r="D25" s="67">
        <f>IF(D26="","",D26*3600)</f>
        <v>44887.966859999993</v>
      </c>
      <c r="E25" s="67">
        <f>IF(E26="","",E26*3600)</f>
        <v>6843.5924450000002</v>
      </c>
      <c r="F25" s="67"/>
      <c r="G25" s="67"/>
      <c r="H25" s="68">
        <f t="shared" ref="H25:L25" si="9">IF(H26="","",H26*3600)</f>
        <v>11221.991715</v>
      </c>
      <c r="I25" s="68">
        <f t="shared" si="9"/>
        <v>11221.991715</v>
      </c>
      <c r="J25" s="68">
        <f t="shared" si="9"/>
        <v>11221.991714999998</v>
      </c>
      <c r="K25" s="68">
        <f t="shared" si="9"/>
        <v>11221.991715</v>
      </c>
      <c r="L25" s="68">
        <f t="shared" si="9"/>
        <v>11221.991715</v>
      </c>
      <c r="M25" s="68"/>
      <c r="N25" s="68">
        <f>IF(N26="","",N26*3600)</f>
        <v>11221.991715000002</v>
      </c>
      <c r="P25" s="25" t="s">
        <v>52</v>
      </c>
      <c r="Q25" s="47">
        <v>29</v>
      </c>
      <c r="R25" s="24" t="s">
        <v>48</v>
      </c>
    </row>
    <row r="26" spans="1:20" ht="13.8" thickBot="1" x14ac:dyDescent="0.3">
      <c r="A26" s="4" t="str">
        <f>"Flue gas flow, Nm3/s (0 degC, DRY, "&amp;$B$24&amp;"% O2"</f>
        <v>Flue gas flow, Nm3/s (0 degC, DRY, 5% O2</v>
      </c>
      <c r="B26" s="43" t="s">
        <v>0</v>
      </c>
      <c r="C26" s="76">
        <f>IF(C20="","",C20*((21-C12)/(21-$B$24)))</f>
        <v>3.1172199208333327</v>
      </c>
      <c r="D26" s="76">
        <f>IF(D20="","",D20*((21-D12)/(21-$B$24)))</f>
        <v>12.468879683333331</v>
      </c>
      <c r="E26" s="76">
        <f>IF(E20="","",E20*((21-E12)/(21-$B$24)))</f>
        <v>1.9009979013888889</v>
      </c>
      <c r="F26" s="76"/>
      <c r="G26" s="76"/>
      <c r="H26" s="141">
        <f t="shared" ref="H26:L26" si="10">IF(H20="","",H20*((21-H12)/(21-$B$24)))</f>
        <v>3.1172199208333335</v>
      </c>
      <c r="I26" s="141">
        <f t="shared" si="10"/>
        <v>3.1172199208333335</v>
      </c>
      <c r="J26" s="141">
        <f t="shared" si="10"/>
        <v>3.1172199208333327</v>
      </c>
      <c r="K26" s="141">
        <f t="shared" si="10"/>
        <v>3.1172199208333335</v>
      </c>
      <c r="L26" s="141">
        <f t="shared" si="10"/>
        <v>3.1172199208333335</v>
      </c>
      <c r="M26" s="141"/>
      <c r="N26" s="141">
        <f>IF(N20="","",N20*((21-N12)/(21-$B$24)))</f>
        <v>3.117219920833334</v>
      </c>
      <c r="P26" s="48" t="s">
        <v>53</v>
      </c>
      <c r="Q26" s="49">
        <f>Q24*((273+Q25)/(273))</f>
        <v>1390.5274725274726</v>
      </c>
      <c r="R26" s="50" t="s">
        <v>50</v>
      </c>
    </row>
    <row r="27" spans="1:20" x14ac:dyDescent="0.25">
      <c r="A27" s="123" t="s">
        <v>85</v>
      </c>
      <c r="B27" s="124">
        <v>250</v>
      </c>
      <c r="C27" s="137">
        <f t="shared" ref="C27:E28" si="11">$B27*C$26/1000</f>
        <v>0.77930498020833316</v>
      </c>
      <c r="D27" s="137">
        <f t="shared" si="11"/>
        <v>3.1172199208333327</v>
      </c>
      <c r="E27" s="137">
        <f t="shared" si="11"/>
        <v>0.47524947534722223</v>
      </c>
      <c r="F27" s="125"/>
      <c r="G27" s="125">
        <f>D27+E27/6</f>
        <v>3.1964281667245364</v>
      </c>
      <c r="H27" s="126">
        <f t="shared" ref="H27:L28" si="12">IF($B27="","",$B27*H$26/1000)</f>
        <v>0.77930498020833339</v>
      </c>
      <c r="I27" s="126">
        <f t="shared" si="12"/>
        <v>0.77930498020833339</v>
      </c>
      <c r="J27" s="126">
        <f t="shared" si="12"/>
        <v>0.77930498020833316</v>
      </c>
      <c r="K27" s="126">
        <f t="shared" si="12"/>
        <v>0.77930498020833339</v>
      </c>
      <c r="L27" s="126">
        <f t="shared" si="12"/>
        <v>0.77930498020833339</v>
      </c>
      <c r="M27" s="126"/>
      <c r="N27" s="126">
        <f>IF($B27="","",$B27*N$26/1000)</f>
        <v>0.7793049802083335</v>
      </c>
      <c r="P27" s="51" t="s">
        <v>51</v>
      </c>
      <c r="Q27" s="53">
        <f>Q29*((273)/(273+Q28))</f>
        <v>1323.1219801980199</v>
      </c>
      <c r="R27" s="52" t="s">
        <v>50</v>
      </c>
    </row>
    <row r="28" spans="1:20" x14ac:dyDescent="0.25">
      <c r="A28" s="127" t="s">
        <v>89</v>
      </c>
      <c r="B28" s="128">
        <v>1050</v>
      </c>
      <c r="C28" s="130">
        <f t="shared" si="11"/>
        <v>3.2730809168749992</v>
      </c>
      <c r="D28" s="130">
        <f t="shared" si="11"/>
        <v>13.092323667499997</v>
      </c>
      <c r="E28" s="130">
        <f t="shared" si="11"/>
        <v>1.9960477964583334</v>
      </c>
      <c r="F28" s="130"/>
      <c r="G28" s="130"/>
      <c r="H28" s="131">
        <f t="shared" si="12"/>
        <v>3.2730809168750001</v>
      </c>
      <c r="I28" s="131">
        <f t="shared" si="12"/>
        <v>3.2730809168750001</v>
      </c>
      <c r="J28" s="131">
        <f t="shared" si="12"/>
        <v>3.2730809168749992</v>
      </c>
      <c r="K28" s="131">
        <f t="shared" si="12"/>
        <v>3.2730809168750001</v>
      </c>
      <c r="L28" s="131">
        <f t="shared" si="12"/>
        <v>3.2730809168750001</v>
      </c>
      <c r="M28" s="131"/>
      <c r="N28" s="131">
        <f>IF($B28="","",$B28*N$26/1000)</f>
        <v>3.2730809168750006</v>
      </c>
      <c r="P28" s="25" t="s">
        <v>52</v>
      </c>
      <c r="Q28" s="47">
        <v>30</v>
      </c>
      <c r="R28" s="24" t="s">
        <v>48</v>
      </c>
    </row>
    <row r="29" spans="1:20" ht="13.8" thickBot="1" x14ac:dyDescent="0.3">
      <c r="A29" s="127"/>
      <c r="B29" s="128"/>
      <c r="C29" s="129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1"/>
      <c r="P29" s="45" t="s">
        <v>53</v>
      </c>
      <c r="Q29" s="54">
        <v>1468.52</v>
      </c>
      <c r="R29" s="46" t="s">
        <v>50</v>
      </c>
    </row>
    <row r="30" spans="1:20" ht="13.8" thickBot="1" x14ac:dyDescent="0.3"/>
    <row r="31" spans="1:20" x14ac:dyDescent="0.25">
      <c r="A31" s="3"/>
      <c r="B31" s="5" t="s">
        <v>1</v>
      </c>
      <c r="C31" s="156" t="s">
        <v>30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8"/>
      <c r="P31" s="86" t="s">
        <v>59</v>
      </c>
      <c r="Q31" s="87"/>
      <c r="R31" s="88"/>
    </row>
    <row r="32" spans="1:20" x14ac:dyDescent="0.25">
      <c r="A32" s="2" t="s">
        <v>28</v>
      </c>
      <c r="B32" s="3" t="s">
        <v>29</v>
      </c>
      <c r="C32" s="159" t="s">
        <v>55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P32" s="98" t="s">
        <v>63</v>
      </c>
      <c r="Q32" s="102"/>
      <c r="R32" s="99" t="s">
        <v>58</v>
      </c>
      <c r="S32" s="102"/>
      <c r="T32" s="99" t="s">
        <v>58</v>
      </c>
    </row>
    <row r="33" spans="1:21" x14ac:dyDescent="0.25">
      <c r="A33" s="55" t="s">
        <v>40</v>
      </c>
      <c r="B33" s="57">
        <v>15</v>
      </c>
      <c r="C33" s="56" t="s">
        <v>0</v>
      </c>
      <c r="D33" s="56"/>
      <c r="E33" s="56"/>
      <c r="F33" s="56"/>
      <c r="G33" s="56"/>
      <c r="H33" s="56" t="s">
        <v>0</v>
      </c>
      <c r="I33" s="56" t="s">
        <v>0</v>
      </c>
      <c r="J33" s="56" t="s">
        <v>0</v>
      </c>
      <c r="K33" s="56" t="s">
        <v>0</v>
      </c>
      <c r="L33" s="56" t="s">
        <v>0</v>
      </c>
      <c r="M33" s="56"/>
      <c r="N33" s="56"/>
      <c r="P33" s="100" t="s">
        <v>63</v>
      </c>
      <c r="Q33" s="135">
        <v>24773</v>
      </c>
      <c r="R33" s="101" t="s">
        <v>80</v>
      </c>
      <c r="S33" s="103">
        <v>15396</v>
      </c>
      <c r="T33" s="101" t="s">
        <v>80</v>
      </c>
    </row>
    <row r="34" spans="1:21" x14ac:dyDescent="0.25">
      <c r="A34" s="65" t="str">
        <f>"Flue gas flow, Nm3/h (0 degC, DRY, "&amp;$B$24&amp;"% O2"</f>
        <v>Flue gas flow, Nm3/h (0 degC, DRY, 5% O2</v>
      </c>
      <c r="B34" s="66" t="s">
        <v>0</v>
      </c>
      <c r="C34" s="67">
        <f>IF(C35="","",C35*3600)</f>
        <v>29925.311239999992</v>
      </c>
      <c r="D34" s="67">
        <f>IF(D35="","",D35*3600)</f>
        <v>119701.24495999997</v>
      </c>
      <c r="E34" s="67">
        <f>IF(E35="","",E35*3600)</f>
        <v>18249.579853333333</v>
      </c>
      <c r="F34" s="67"/>
      <c r="G34" s="67"/>
      <c r="H34" s="68" t="str">
        <f t="shared" ref="H34:L34" si="13">IF(H35="","",H35*3600)</f>
        <v/>
      </c>
      <c r="I34" s="68" t="str">
        <f t="shared" si="13"/>
        <v/>
      </c>
      <c r="J34" s="68" t="str">
        <f t="shared" si="13"/>
        <v/>
      </c>
      <c r="K34" s="68" t="str">
        <f t="shared" si="13"/>
        <v/>
      </c>
      <c r="L34" s="68" t="str">
        <f t="shared" si="13"/>
        <v/>
      </c>
      <c r="M34" s="68"/>
      <c r="N34" s="68" t="str">
        <f>IF(N35="","",N35*3600)</f>
        <v/>
      </c>
      <c r="P34" s="92" t="s">
        <v>60</v>
      </c>
      <c r="Q34" s="90">
        <v>1.294438</v>
      </c>
      <c r="R34" s="91" t="s">
        <v>61</v>
      </c>
      <c r="S34" s="90">
        <v>1.294438</v>
      </c>
      <c r="T34" s="91" t="s">
        <v>61</v>
      </c>
    </row>
    <row r="35" spans="1:21" x14ac:dyDescent="0.25">
      <c r="A35" s="4" t="str">
        <f>"Flue gas flow, Nm3/s (0 degC, DRY, "&amp;$B$24&amp;"% O2"</f>
        <v>Flue gas flow, Nm3/s (0 degC, DRY, 5% O2</v>
      </c>
      <c r="B35" s="43" t="s">
        <v>0</v>
      </c>
      <c r="C35" s="76">
        <f>IF(C20="","",C20*((21-C12)/(21-$B$33)))</f>
        <v>8.3125864555555538</v>
      </c>
      <c r="D35" s="76">
        <f t="shared" ref="D35" si="14">IF(D20="","",D20*((21-D12)/(21-$B$33)))</f>
        <v>33.250345822222215</v>
      </c>
      <c r="E35" s="76">
        <f>IF(E20="","",E20*((21-E12)/(21-$B$33)))</f>
        <v>5.0693277370370371</v>
      </c>
      <c r="F35" s="76"/>
      <c r="G35" s="76"/>
      <c r="H35" s="69" t="str">
        <f t="shared" ref="H35:L35" si="15">IF(H29="","",H29*((21-H21)/(21-$B$24)))</f>
        <v/>
      </c>
      <c r="I35" s="69" t="str">
        <f t="shared" si="15"/>
        <v/>
      </c>
      <c r="J35" s="69" t="str">
        <f t="shared" si="15"/>
        <v/>
      </c>
      <c r="K35" s="69" t="str">
        <f t="shared" si="15"/>
        <v/>
      </c>
      <c r="L35" s="69" t="str">
        <f t="shared" si="15"/>
        <v/>
      </c>
      <c r="M35" s="69"/>
      <c r="N35" s="69" t="str">
        <f>IF(N29="","",N29*((21-N21)/(21-$B$24)))</f>
        <v/>
      </c>
      <c r="P35" s="89" t="s">
        <v>62</v>
      </c>
      <c r="Q35" s="93">
        <f>Q21</f>
        <v>0.56828026152333344</v>
      </c>
      <c r="R35" s="91" t="s">
        <v>61</v>
      </c>
      <c r="S35" s="93">
        <f>S21</f>
        <v>0.55575420679401499</v>
      </c>
      <c r="T35" s="91" t="s">
        <v>61</v>
      </c>
    </row>
    <row r="36" spans="1:21" x14ac:dyDescent="0.25">
      <c r="A36" s="123" t="s">
        <v>85</v>
      </c>
      <c r="B36" s="124">
        <v>95</v>
      </c>
      <c r="C36" s="142">
        <f>$B36*C$35/1000</f>
        <v>0.78969571327777754</v>
      </c>
      <c r="D36" s="142">
        <f>$B36*D$35/1000</f>
        <v>3.1587828531111102</v>
      </c>
      <c r="E36" s="142">
        <f>$B36*E$35/1000</f>
        <v>0.48158613501851855</v>
      </c>
      <c r="F36" s="125"/>
      <c r="G36" s="125"/>
      <c r="H36" s="126"/>
      <c r="I36" s="126"/>
      <c r="J36" s="126"/>
      <c r="K36" s="126"/>
      <c r="L36" s="126"/>
      <c r="M36" s="126"/>
      <c r="N36" s="126"/>
      <c r="P36" s="92" t="s">
        <v>64</v>
      </c>
      <c r="Q36" s="94">
        <f>Q33/Q34</f>
        <v>19138.035193651609</v>
      </c>
      <c r="R36" s="91" t="s">
        <v>65</v>
      </c>
      <c r="S36" s="94">
        <f>S33/S34</f>
        <v>11893.964793987816</v>
      </c>
      <c r="T36" s="91" t="s">
        <v>65</v>
      </c>
      <c r="U36">
        <v>12149</v>
      </c>
    </row>
    <row r="37" spans="1:21" ht="13.8" thickBot="1" x14ac:dyDescent="0.3">
      <c r="A37" s="127" t="s">
        <v>89</v>
      </c>
      <c r="B37" s="128">
        <f>C37*1000/C35</f>
        <v>393.75</v>
      </c>
      <c r="C37" s="143">
        <f>C28</f>
        <v>3.2730809168749992</v>
      </c>
      <c r="D37" s="144">
        <f t="shared" ref="D37:E37" si="16">D28</f>
        <v>13.092323667499997</v>
      </c>
      <c r="E37" s="144">
        <f t="shared" si="16"/>
        <v>1.9960477964583334</v>
      </c>
      <c r="F37" s="130"/>
      <c r="G37" s="130"/>
      <c r="H37" s="131"/>
      <c r="I37" s="131"/>
      <c r="J37" s="131"/>
      <c r="K37" s="131"/>
      <c r="L37" s="131"/>
      <c r="M37" s="131"/>
      <c r="N37" s="131"/>
      <c r="P37" s="95" t="s">
        <v>64</v>
      </c>
      <c r="Q37" s="96">
        <f>Q33/Q35</f>
        <v>43592.927077202075</v>
      </c>
      <c r="R37" s="97" t="s">
        <v>65</v>
      </c>
      <c r="S37" s="96">
        <f>S33/S35</f>
        <v>27702.894214359731</v>
      </c>
      <c r="T37" s="97" t="s">
        <v>65</v>
      </c>
      <c r="U37" s="132">
        <f>E8</f>
        <v>28258.663003663005</v>
      </c>
    </row>
    <row r="38" spans="1:21" ht="13.8" thickBot="1" x14ac:dyDescent="0.3">
      <c r="A38" s="127"/>
      <c r="B38" s="128"/>
      <c r="C38" s="129" t="str">
        <f>IF($B38="","",$B38*C$35/1000)</f>
        <v/>
      </c>
      <c r="D38" s="130"/>
      <c r="E38" s="130"/>
      <c r="F38" s="130"/>
      <c r="G38" s="130"/>
      <c r="H38" s="131"/>
      <c r="I38" s="131"/>
      <c r="J38" s="131"/>
      <c r="K38" s="131"/>
      <c r="L38" s="131"/>
      <c r="M38" s="131"/>
      <c r="N38" s="131"/>
    </row>
    <row r="39" spans="1:21" x14ac:dyDescent="0.25">
      <c r="P39" s="42" t="s">
        <v>73</v>
      </c>
    </row>
    <row r="40" spans="1:21" x14ac:dyDescent="0.25">
      <c r="B40" s="114"/>
      <c r="C40" s="44"/>
      <c r="D40" s="44"/>
      <c r="E40" s="44"/>
      <c r="F40" s="44"/>
      <c r="G40" s="44"/>
      <c r="P40" t="s">
        <v>71</v>
      </c>
    </row>
    <row r="41" spans="1:21" x14ac:dyDescent="0.25">
      <c r="A41" t="s">
        <v>129</v>
      </c>
      <c r="B41" s="114">
        <f>B36*0.7</f>
        <v>66.5</v>
      </c>
      <c r="C41" s="149">
        <f>$B41*C$35/1000</f>
        <v>0.5527869992944443</v>
      </c>
      <c r="D41" s="163">
        <f>B36*0.35</f>
        <v>33.25</v>
      </c>
      <c r="E41" s="120"/>
      <c r="F41" s="120"/>
      <c r="G41" s="120"/>
      <c r="P41" t="s">
        <v>72</v>
      </c>
    </row>
    <row r="42" spans="1:21" x14ac:dyDescent="0.25">
      <c r="A42" s="83" t="s">
        <v>127</v>
      </c>
      <c r="B42" s="163">
        <f>B41/(24*365)*1500</f>
        <v>11.386986301369863</v>
      </c>
      <c r="C42" s="149">
        <f t="shared" ref="C42:C43" si="17">$B42*C$35/1000</f>
        <v>9.4655308098363741E-2</v>
      </c>
      <c r="Q42" s="82" t="s">
        <v>66</v>
      </c>
    </row>
    <row r="43" spans="1:21" x14ac:dyDescent="0.25">
      <c r="A43" s="83" t="s">
        <v>128</v>
      </c>
      <c r="B43" s="44">
        <f>B41/(24*365)*2250</f>
        <v>17.080479452054792</v>
      </c>
      <c r="C43" s="149">
        <f t="shared" si="17"/>
        <v>0.1419829621475456</v>
      </c>
      <c r="Q43" s="44" t="s">
        <v>67</v>
      </c>
    </row>
    <row r="44" spans="1:21" ht="14.4" x14ac:dyDescent="0.3">
      <c r="B44" s="116"/>
      <c r="Q44" t="s">
        <v>68</v>
      </c>
    </row>
    <row r="45" spans="1:21" ht="14.4" x14ac:dyDescent="0.3">
      <c r="B45" s="116"/>
      <c r="Q45" t="s">
        <v>69</v>
      </c>
    </row>
    <row r="46" spans="1:21" x14ac:dyDescent="0.25">
      <c r="Q46" t="s">
        <v>70</v>
      </c>
    </row>
    <row r="47" spans="1:21" ht="15" thickBot="1" x14ac:dyDescent="0.35">
      <c r="B47" s="116"/>
    </row>
    <row r="48" spans="1:21" x14ac:dyDescent="0.25">
      <c r="H48" s="117"/>
      <c r="P48" s="42" t="s">
        <v>74</v>
      </c>
    </row>
    <row r="49" spans="1:17" x14ac:dyDescent="0.25">
      <c r="H49" s="146"/>
    </row>
    <row r="50" spans="1:17" x14ac:dyDescent="0.25">
      <c r="H50" s="117"/>
      <c r="P50" s="83" t="s">
        <v>79</v>
      </c>
    </row>
    <row r="51" spans="1:17" x14ac:dyDescent="0.25">
      <c r="H51" s="117"/>
      <c r="P51" t="s">
        <v>75</v>
      </c>
      <c r="Q51">
        <v>101.3</v>
      </c>
    </row>
    <row r="52" spans="1:17" x14ac:dyDescent="0.25">
      <c r="H52" s="117"/>
      <c r="P52" t="s">
        <v>76</v>
      </c>
      <c r="Q52">
        <v>100</v>
      </c>
    </row>
    <row r="53" spans="1:17" x14ac:dyDescent="0.25">
      <c r="H53" s="117"/>
      <c r="P53" t="s">
        <v>77</v>
      </c>
      <c r="Q53">
        <v>344</v>
      </c>
    </row>
    <row r="54" spans="1:17" x14ac:dyDescent="0.25">
      <c r="A54" t="s">
        <v>92</v>
      </c>
      <c r="B54" t="s">
        <v>93</v>
      </c>
      <c r="C54">
        <v>9918</v>
      </c>
      <c r="E54">
        <v>6075</v>
      </c>
      <c r="H54" s="117"/>
      <c r="P54" t="s">
        <v>78</v>
      </c>
      <c r="Q54" s="11">
        <f>Q53*(Q51/Q52)</f>
        <v>348.47199999999998</v>
      </c>
    </row>
    <row r="55" spans="1:17" x14ac:dyDescent="0.25">
      <c r="A55" t="s">
        <v>94</v>
      </c>
      <c r="B55" t="s">
        <v>93</v>
      </c>
      <c r="C55">
        <v>4594</v>
      </c>
      <c r="E55">
        <v>2745</v>
      </c>
      <c r="H55" s="117"/>
    </row>
    <row r="56" spans="1:17" x14ac:dyDescent="0.25">
      <c r="A56" t="s">
        <v>95</v>
      </c>
      <c r="B56" t="s">
        <v>96</v>
      </c>
      <c r="C56">
        <v>4507</v>
      </c>
      <c r="E56">
        <v>2676</v>
      </c>
      <c r="H56" s="117"/>
    </row>
    <row r="57" spans="1:17" ht="14.4" x14ac:dyDescent="0.3">
      <c r="A57" t="s">
        <v>97</v>
      </c>
      <c r="B57" s="116" t="s">
        <v>98</v>
      </c>
      <c r="C57">
        <v>7401</v>
      </c>
      <c r="E57">
        <v>4374</v>
      </c>
      <c r="H57" s="117"/>
    </row>
    <row r="58" spans="1:17" x14ac:dyDescent="0.25">
      <c r="H58" s="117"/>
    </row>
    <row r="59" spans="1:17" x14ac:dyDescent="0.25">
      <c r="A59" t="s">
        <v>101</v>
      </c>
      <c r="B59" t="s">
        <v>17</v>
      </c>
      <c r="C59">
        <v>1044</v>
      </c>
      <c r="E59">
        <v>639</v>
      </c>
      <c r="H59" s="117"/>
    </row>
    <row r="60" spans="1:17" x14ac:dyDescent="0.25">
      <c r="A60" t="s">
        <v>99</v>
      </c>
      <c r="B60" t="s">
        <v>100</v>
      </c>
      <c r="C60">
        <v>9.5</v>
      </c>
      <c r="E60">
        <v>9.5</v>
      </c>
      <c r="H60" s="117"/>
    </row>
    <row r="61" spans="1:17" x14ac:dyDescent="0.25">
      <c r="B61" t="s">
        <v>102</v>
      </c>
      <c r="C61">
        <f>C60*C59</f>
        <v>9918</v>
      </c>
      <c r="E61">
        <f>E60*E59</f>
        <v>6070.5</v>
      </c>
      <c r="F61" s="11">
        <f>C61*4+E61</f>
        <v>45742.5</v>
      </c>
      <c r="H61" s="117"/>
    </row>
    <row r="62" spans="1:17" x14ac:dyDescent="0.25">
      <c r="F62" s="11">
        <v>1500</v>
      </c>
      <c r="G62" t="s">
        <v>105</v>
      </c>
      <c r="H62" s="117"/>
    </row>
    <row r="63" spans="1:17" x14ac:dyDescent="0.25">
      <c r="F63" s="11">
        <f>F61*F62</f>
        <v>68613750</v>
      </c>
      <c r="G63" t="s">
        <v>104</v>
      </c>
      <c r="H63" s="117"/>
    </row>
    <row r="64" spans="1:17" x14ac:dyDescent="0.25">
      <c r="F64" s="114">
        <f>F63/1000</f>
        <v>68613.75</v>
      </c>
      <c r="G64" t="s">
        <v>103</v>
      </c>
      <c r="H64" s="117"/>
    </row>
    <row r="65" spans="3:8" x14ac:dyDescent="0.25">
      <c r="C65" s="114"/>
      <c r="D65" s="114"/>
      <c r="E65" s="114"/>
      <c r="F65" s="114"/>
      <c r="G65" s="114"/>
      <c r="H65" s="118"/>
    </row>
    <row r="66" spans="3:8" x14ac:dyDescent="0.25">
      <c r="C66" s="114"/>
      <c r="D66" s="114"/>
      <c r="E66" s="114" t="s">
        <v>106</v>
      </c>
      <c r="F66" s="114">
        <v>190</v>
      </c>
      <c r="G66" s="114" t="s">
        <v>107</v>
      </c>
      <c r="H66" s="118"/>
    </row>
    <row r="67" spans="3:8" x14ac:dyDescent="0.25">
      <c r="F67">
        <f>F64*F66</f>
        <v>13036612.5</v>
      </c>
      <c r="G67" t="s">
        <v>109</v>
      </c>
      <c r="H67" s="117"/>
    </row>
    <row r="68" spans="3:8" x14ac:dyDescent="0.25">
      <c r="C68" s="115"/>
      <c r="D68" s="115"/>
      <c r="E68" s="115"/>
      <c r="F68" s="114">
        <f>F67/1000</f>
        <v>13036.612499999999</v>
      </c>
      <c r="G68" s="115" t="s">
        <v>108</v>
      </c>
      <c r="H68" s="119"/>
    </row>
    <row r="69" spans="3:8" x14ac:dyDescent="0.25">
      <c r="C69" s="115"/>
      <c r="D69" s="115"/>
      <c r="E69" s="115"/>
      <c r="F69" s="115"/>
      <c r="G69" s="115"/>
      <c r="H69" s="119"/>
    </row>
    <row r="70" spans="3:8" x14ac:dyDescent="0.25">
      <c r="H70" s="117"/>
    </row>
    <row r="71" spans="3:8" x14ac:dyDescent="0.25">
      <c r="C71" s="44"/>
      <c r="D71" s="44"/>
      <c r="E71" s="44"/>
      <c r="F71" s="44"/>
      <c r="G71" s="44"/>
      <c r="H71" s="119"/>
    </row>
    <row r="72" spans="3:8" x14ac:dyDescent="0.25">
      <c r="C72" s="44"/>
      <c r="D72" s="44"/>
      <c r="E72" s="44"/>
      <c r="F72" s="44"/>
      <c r="G72" s="44"/>
      <c r="H72" s="119"/>
    </row>
    <row r="73" spans="3:8" x14ac:dyDescent="0.25">
      <c r="H73" s="117"/>
    </row>
  </sheetData>
  <mergeCells count="4">
    <mergeCell ref="C22:N22"/>
    <mergeCell ref="C23:N23"/>
    <mergeCell ref="C31:N31"/>
    <mergeCell ref="C32:N32"/>
  </mergeCells>
  <phoneticPr fontId="0" type="noConversion"/>
  <conditionalFormatting sqref="H11:M11 F11:G12">
    <cfRule type="cellIs" dxfId="1" priority="11" stopIfTrue="1" operator="greaterThan">
      <formula>F$12</formula>
    </cfRule>
  </conditionalFormatting>
  <conditionalFormatting sqref="F12:N12">
    <cfRule type="cellIs" dxfId="0" priority="12" stopIfTrue="1" operator="lessThan">
      <formula>F$11</formula>
    </cfRule>
  </conditionalFormatting>
  <pageMargins left="0.75" right="0.75" top="1" bottom="1" header="0.5" footer="0.5"/>
  <pageSetup paperSize="9" scale="5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5E8B-B8B2-4B05-8650-6789029B237E}">
  <dimension ref="A1:M27"/>
  <sheetViews>
    <sheetView topLeftCell="A4" workbookViewId="0">
      <selection activeCell="K29" sqref="K29"/>
    </sheetView>
  </sheetViews>
  <sheetFormatPr defaultRowHeight="13.2" x14ac:dyDescent="0.25"/>
  <sheetData>
    <row r="1" spans="1:12" x14ac:dyDescent="0.25">
      <c r="C1" s="151" t="s">
        <v>110</v>
      </c>
      <c r="D1" s="151" t="s">
        <v>111</v>
      </c>
      <c r="E1" s="151" t="s">
        <v>112</v>
      </c>
      <c r="I1" t="s">
        <v>113</v>
      </c>
      <c r="J1" t="s">
        <v>114</v>
      </c>
      <c r="K1" t="s">
        <v>115</v>
      </c>
      <c r="L1" t="s">
        <v>116</v>
      </c>
    </row>
    <row r="2" spans="1:12" x14ac:dyDescent="0.25">
      <c r="A2" t="s">
        <v>118</v>
      </c>
      <c r="B2" t="s">
        <v>117</v>
      </c>
      <c r="C2" s="151">
        <v>0.8</v>
      </c>
      <c r="D2" s="151">
        <v>0.2</v>
      </c>
      <c r="E2" s="151">
        <v>0.1</v>
      </c>
      <c r="I2">
        <v>0.9</v>
      </c>
      <c r="J2">
        <v>0.4</v>
      </c>
      <c r="K2">
        <v>2.9</v>
      </c>
      <c r="L2">
        <v>1.4</v>
      </c>
    </row>
    <row r="3" spans="1:12" x14ac:dyDescent="0.25">
      <c r="A3" t="s">
        <v>118</v>
      </c>
      <c r="B3" t="s">
        <v>119</v>
      </c>
      <c r="C3" s="151">
        <v>2.9</v>
      </c>
      <c r="D3" s="151">
        <v>0.8</v>
      </c>
      <c r="E3" s="151">
        <v>0.3</v>
      </c>
      <c r="I3">
        <v>3.2</v>
      </c>
      <c r="J3">
        <v>1.3</v>
      </c>
      <c r="K3">
        <v>10.9</v>
      </c>
      <c r="L3">
        <v>8.3000000000000007</v>
      </c>
    </row>
    <row r="4" spans="1:12" x14ac:dyDescent="0.25">
      <c r="A4" t="s">
        <v>118</v>
      </c>
      <c r="B4" t="s">
        <v>120</v>
      </c>
      <c r="C4" s="151">
        <v>14.9</v>
      </c>
      <c r="D4" s="151">
        <v>15</v>
      </c>
      <c r="E4" s="151">
        <v>14.5</v>
      </c>
      <c r="I4">
        <v>19.399999999999999</v>
      </c>
      <c r="J4">
        <v>17.600000000000001</v>
      </c>
      <c r="K4">
        <v>27.1</v>
      </c>
      <c r="L4">
        <v>24.5</v>
      </c>
    </row>
    <row r="5" spans="1:12" x14ac:dyDescent="0.25">
      <c r="A5" t="s">
        <v>121</v>
      </c>
      <c r="B5" t="s">
        <v>122</v>
      </c>
      <c r="C5" s="151">
        <v>17.2</v>
      </c>
      <c r="D5" s="151">
        <v>11.7</v>
      </c>
      <c r="E5" s="151">
        <v>4.7</v>
      </c>
      <c r="I5">
        <v>30.5</v>
      </c>
      <c r="J5">
        <v>14.6</v>
      </c>
      <c r="K5">
        <v>94.8</v>
      </c>
      <c r="L5">
        <v>119</v>
      </c>
    </row>
    <row r="6" spans="1:12" x14ac:dyDescent="0.25">
      <c r="A6" t="s">
        <v>121</v>
      </c>
      <c r="B6" t="s">
        <v>123</v>
      </c>
      <c r="C6" s="151">
        <v>15.5</v>
      </c>
      <c r="D6" s="151">
        <v>9.1</v>
      </c>
      <c r="E6" s="151">
        <v>3.6</v>
      </c>
      <c r="I6">
        <v>21.8</v>
      </c>
      <c r="J6">
        <v>9.3000000000000007</v>
      </c>
      <c r="K6">
        <v>71.400000000000006</v>
      </c>
      <c r="L6">
        <v>75.2</v>
      </c>
    </row>
    <row r="7" spans="1:12" x14ac:dyDescent="0.25">
      <c r="A7" t="s">
        <v>121</v>
      </c>
      <c r="B7" t="s">
        <v>125</v>
      </c>
      <c r="C7" s="151">
        <v>55.9</v>
      </c>
      <c r="D7" s="151">
        <v>35.6</v>
      </c>
      <c r="E7" s="151">
        <v>14.3</v>
      </c>
      <c r="I7">
        <v>108</v>
      </c>
      <c r="J7">
        <v>50.6</v>
      </c>
      <c r="K7">
        <v>319.7</v>
      </c>
      <c r="L7">
        <v>607.79999999999995</v>
      </c>
    </row>
    <row r="8" spans="1:12" x14ac:dyDescent="0.25">
      <c r="A8" t="s">
        <v>121</v>
      </c>
      <c r="B8" t="s">
        <v>124</v>
      </c>
      <c r="C8" s="151">
        <v>80</v>
      </c>
      <c r="D8" s="151">
        <v>64</v>
      </c>
      <c r="E8" s="151">
        <v>42.7</v>
      </c>
      <c r="I8">
        <v>140.5</v>
      </c>
      <c r="J8">
        <v>83.1</v>
      </c>
      <c r="K8">
        <v>352.2</v>
      </c>
      <c r="L8">
        <v>640.29999999999995</v>
      </c>
    </row>
    <row r="15" spans="1:12" x14ac:dyDescent="0.25">
      <c r="C15" s="154">
        <f>C4-C3</f>
        <v>12</v>
      </c>
      <c r="D15" s="152">
        <f>D4-D3</f>
        <v>14.2</v>
      </c>
      <c r="E15" s="152">
        <f>E4-E3</f>
        <v>14.2</v>
      </c>
      <c r="I15" s="152">
        <f>I4-I3</f>
        <v>16.2</v>
      </c>
      <c r="J15">
        <f t="shared" ref="J15:L15" si="0">J4-J3</f>
        <v>16.3</v>
      </c>
      <c r="K15">
        <f t="shared" si="0"/>
        <v>16.200000000000003</v>
      </c>
      <c r="L15">
        <f t="shared" si="0"/>
        <v>16.2</v>
      </c>
    </row>
    <row r="16" spans="1:12" x14ac:dyDescent="0.25">
      <c r="C16">
        <f>C8-C7</f>
        <v>24.1</v>
      </c>
      <c r="D16">
        <f t="shared" ref="D16:E16" si="1">D8-D7</f>
        <v>28.4</v>
      </c>
      <c r="E16">
        <f t="shared" si="1"/>
        <v>28.400000000000002</v>
      </c>
      <c r="I16">
        <f>I8-I7</f>
        <v>32.5</v>
      </c>
      <c r="J16">
        <f t="shared" ref="J16" si="2">J8-J7</f>
        <v>32.499999999999993</v>
      </c>
      <c r="K16">
        <f>K8-K7</f>
        <v>32.5</v>
      </c>
      <c r="L16">
        <f>L8-L7</f>
        <v>32.5</v>
      </c>
    </row>
    <row r="19" spans="1:13" x14ac:dyDescent="0.25">
      <c r="A19" t="s">
        <v>118</v>
      </c>
      <c r="B19" t="s">
        <v>117</v>
      </c>
      <c r="C19" s="155">
        <f>C2/40</f>
        <v>0.02</v>
      </c>
      <c r="D19" s="155">
        <f t="shared" ref="D19:E19" si="3">D2/40</f>
        <v>5.0000000000000001E-3</v>
      </c>
      <c r="E19" s="155">
        <f t="shared" si="3"/>
        <v>2.5000000000000001E-3</v>
      </c>
      <c r="I19" s="153">
        <f>I2/30</f>
        <v>3.0000000000000002E-2</v>
      </c>
      <c r="J19" s="153">
        <f t="shared" ref="J19:L19" si="4">J2/30</f>
        <v>1.3333333333333334E-2</v>
      </c>
      <c r="K19" s="153">
        <f t="shared" si="4"/>
        <v>9.6666666666666665E-2</v>
      </c>
      <c r="L19" s="153">
        <f t="shared" si="4"/>
        <v>4.6666666666666662E-2</v>
      </c>
    </row>
    <row r="20" spans="1:13" x14ac:dyDescent="0.25">
      <c r="A20" t="s">
        <v>118</v>
      </c>
      <c r="B20" t="s">
        <v>119</v>
      </c>
      <c r="C20" s="155">
        <f t="shared" ref="C20:E21" si="5">C3/40</f>
        <v>7.2499999999999995E-2</v>
      </c>
      <c r="D20" s="155">
        <f t="shared" si="5"/>
        <v>0.02</v>
      </c>
      <c r="E20" s="155">
        <f t="shared" si="5"/>
        <v>7.4999999999999997E-3</v>
      </c>
      <c r="I20" s="153">
        <f t="shared" ref="I20:L20" si="6">I3/30</f>
        <v>0.10666666666666667</v>
      </c>
      <c r="J20" s="153">
        <f t="shared" si="6"/>
        <v>4.3333333333333335E-2</v>
      </c>
      <c r="K20" s="153">
        <f t="shared" si="6"/>
        <v>0.36333333333333334</v>
      </c>
      <c r="L20" s="153">
        <f t="shared" si="6"/>
        <v>0.27666666666666667</v>
      </c>
    </row>
    <row r="21" spans="1:13" x14ac:dyDescent="0.25">
      <c r="A21" t="s">
        <v>118</v>
      </c>
      <c r="B21" t="s">
        <v>120</v>
      </c>
      <c r="C21" s="153">
        <f t="shared" si="5"/>
        <v>0.3725</v>
      </c>
      <c r="D21" s="153">
        <f t="shared" si="5"/>
        <v>0.375</v>
      </c>
      <c r="E21" s="153">
        <f t="shared" si="5"/>
        <v>0.36249999999999999</v>
      </c>
      <c r="I21" s="153">
        <f t="shared" ref="I21:L21" si="7">I4/30</f>
        <v>0.64666666666666661</v>
      </c>
      <c r="J21" s="153">
        <f t="shared" si="7"/>
        <v>0.58666666666666667</v>
      </c>
      <c r="K21" s="153">
        <f t="shared" si="7"/>
        <v>0.90333333333333343</v>
      </c>
      <c r="L21" s="153">
        <f t="shared" si="7"/>
        <v>0.81666666666666665</v>
      </c>
    </row>
    <row r="22" spans="1:13" x14ac:dyDescent="0.25">
      <c r="A22" t="s">
        <v>121</v>
      </c>
      <c r="B22" t="s">
        <v>122</v>
      </c>
      <c r="C22" s="153">
        <f>C5/200</f>
        <v>8.5999999999999993E-2</v>
      </c>
      <c r="D22" s="153">
        <f t="shared" ref="D22:E22" si="8">D5/200</f>
        <v>5.8499999999999996E-2</v>
      </c>
      <c r="E22" s="153">
        <f t="shared" si="8"/>
        <v>2.35E-2</v>
      </c>
      <c r="I22" s="153">
        <f>I5/75</f>
        <v>0.40666666666666668</v>
      </c>
      <c r="J22" s="153">
        <f t="shared" ref="J22:L22" si="9">J5/75</f>
        <v>0.19466666666666665</v>
      </c>
      <c r="K22" s="153">
        <f t="shared" si="9"/>
        <v>1.264</v>
      </c>
      <c r="L22" s="153">
        <f t="shared" si="9"/>
        <v>1.5866666666666667</v>
      </c>
      <c r="M22" s="153"/>
    </row>
    <row r="23" spans="1:13" x14ac:dyDescent="0.25">
      <c r="A23" t="s">
        <v>121</v>
      </c>
      <c r="B23" t="s">
        <v>123</v>
      </c>
      <c r="C23" s="153">
        <f t="shared" ref="C23:E23" si="10">C6/200</f>
        <v>7.7499999999999999E-2</v>
      </c>
      <c r="D23" s="153">
        <f t="shared" si="10"/>
        <v>4.5499999999999999E-2</v>
      </c>
      <c r="E23" s="153">
        <f t="shared" si="10"/>
        <v>1.8000000000000002E-2</v>
      </c>
      <c r="I23" s="153">
        <f t="shared" ref="I23:L23" si="11">I6/75</f>
        <v>0.29066666666666668</v>
      </c>
      <c r="J23" s="153">
        <f t="shared" si="11"/>
        <v>0.12400000000000001</v>
      </c>
      <c r="K23" s="153">
        <f t="shared" si="11"/>
        <v>0.95200000000000007</v>
      </c>
      <c r="L23" s="153">
        <f t="shared" si="11"/>
        <v>1.0026666666666666</v>
      </c>
    </row>
    <row r="24" spans="1:13" x14ac:dyDescent="0.25">
      <c r="A24" t="s">
        <v>121</v>
      </c>
      <c r="B24" t="s">
        <v>125</v>
      </c>
      <c r="C24" s="153">
        <f t="shared" ref="C24:E24" si="12">C7/200</f>
        <v>0.27949999999999997</v>
      </c>
      <c r="D24" s="153">
        <f t="shared" si="12"/>
        <v>0.17800000000000002</v>
      </c>
      <c r="E24" s="153">
        <f t="shared" si="12"/>
        <v>7.1500000000000008E-2</v>
      </c>
      <c r="I24" s="153">
        <f t="shared" ref="I24:L24" si="13">I7/75</f>
        <v>1.44</v>
      </c>
      <c r="J24" s="153">
        <f t="shared" si="13"/>
        <v>0.67466666666666664</v>
      </c>
      <c r="K24" s="153">
        <f t="shared" si="13"/>
        <v>4.2626666666666662</v>
      </c>
      <c r="L24" s="153">
        <f t="shared" si="13"/>
        <v>8.1039999999999992</v>
      </c>
    </row>
    <row r="25" spans="1:13" x14ac:dyDescent="0.25">
      <c r="C25" s="153" t="s">
        <v>126</v>
      </c>
      <c r="D25" s="153" t="s">
        <v>126</v>
      </c>
      <c r="E25" s="153" t="s">
        <v>126</v>
      </c>
      <c r="I25" s="153" t="s">
        <v>126</v>
      </c>
      <c r="J25" s="153" t="s">
        <v>126</v>
      </c>
      <c r="K25" s="153" t="s">
        <v>126</v>
      </c>
      <c r="L25" s="153" t="s">
        <v>126</v>
      </c>
    </row>
    <row r="26" spans="1:13" x14ac:dyDescent="0.25">
      <c r="C26" s="153"/>
      <c r="D26" s="153"/>
      <c r="E26" s="153"/>
    </row>
    <row r="27" spans="1:13" x14ac:dyDescent="0.25">
      <c r="A27" t="s">
        <v>121</v>
      </c>
      <c r="B27" t="s">
        <v>124</v>
      </c>
      <c r="C27" s="153">
        <f>C7/(200-C16)</f>
        <v>0.31779420125071062</v>
      </c>
      <c r="D27" s="153">
        <f t="shared" ref="D27:E27" si="14">D7/(200-D16)</f>
        <v>0.20745920745920748</v>
      </c>
      <c r="E27" s="153">
        <f t="shared" si="14"/>
        <v>8.3333333333333343E-2</v>
      </c>
      <c r="G27" t="s">
        <v>121</v>
      </c>
      <c r="H27" t="s">
        <v>124</v>
      </c>
      <c r="I27" s="153">
        <f>I7/(75-I16)</f>
        <v>2.5411764705882351</v>
      </c>
      <c r="J27" s="153">
        <f t="shared" ref="J27:L27" si="15">J7/(75-J16)</f>
        <v>1.1905882352941175</v>
      </c>
      <c r="K27" s="153">
        <f t="shared" si="15"/>
        <v>7.5223529411764707</v>
      </c>
      <c r="L27" s="153">
        <f t="shared" si="15"/>
        <v>14.301176470588235</v>
      </c>
    </row>
  </sheetData>
  <phoneticPr fontId="2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D4D92D51675A442A00CEFF055B17D24" ma:contentTypeVersion="45" ma:contentTypeDescription="Create a new document." ma:contentTypeScope="" ma:versionID="c898a7b1c4793cc4a4c026c070d0cec1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f2b7f3ca-46f3-45f8-8338-025c3a7cf089" targetNamespace="http://schemas.microsoft.com/office/2006/metadata/properties" ma:root="true" ma:fieldsID="59fe42d45cbc3eb304879783ec9ca43a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f2b7f3ca-46f3-45f8-8338-025c3a7cf08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7f3ca-46f3-45f8-8338-025c3a7cf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52" nillable="true" ma:displayName="Tags" ma:internalName="MediaServiceAutoTags" ma:readOnly="true">
      <xsd:simpleType>
        <xsd:restriction base="dms:Text"/>
      </xsd:simpleType>
    </xsd:element>
    <xsd:element name="MediaServiceGenerationTime" ma:index="5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2023-02-22T00:00:00+00:00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epr-wp3036qh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RWE Generation UK plc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2023-02-22T00:00:00+00:00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EPR/WP3036QH/V002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DN31 2SW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RWE Generation UK plc</ExternalAuthor>
    <SiteName xmlns="eebef177-55b5-4448-a5fb-28ea454417ee">Grimsby Power Station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lcf76f155ced4ddcb4097134ff3c332f xmlns="f2b7f3ca-46f3-45f8-8338-025c3a7cf089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Grimsby Power Station  Gate 3  Moody Lane  Grimsby  DN31 2SW</FacilityAddress>
  </documentManagement>
</p:properties>
</file>

<file path=customXml/itemProps1.xml><?xml version="1.0" encoding="utf-8"?>
<ds:datastoreItem xmlns:ds="http://schemas.openxmlformats.org/officeDocument/2006/customXml" ds:itemID="{F536A763-1266-487E-9095-E8FA5BABB2E1}"/>
</file>

<file path=customXml/itemProps2.xml><?xml version="1.0" encoding="utf-8"?>
<ds:datastoreItem xmlns:ds="http://schemas.openxmlformats.org/officeDocument/2006/customXml" ds:itemID="{C8132A84-23C5-4570-81D5-2207D03E0D41}"/>
</file>

<file path=customXml/itemProps3.xml><?xml version="1.0" encoding="utf-8"?>
<ds:datastoreItem xmlns:ds="http://schemas.openxmlformats.org/officeDocument/2006/customXml" ds:itemID="{37EE6084-7342-4B12-87BA-FF1A44323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Grimsby A</vt:lpstr>
      <vt:lpstr>Grimsby B</vt:lpstr>
      <vt:lpstr>BG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Froggatt, Patrick</dc:creator>
  <cp:lastModifiedBy>Froggatt, Patrick</cp:lastModifiedBy>
  <cp:lastPrinted>2009-02-10T11:05:29Z</cp:lastPrinted>
  <dcterms:created xsi:type="dcterms:W3CDTF">2006-09-14T14:35:37Z</dcterms:created>
  <dcterms:modified xsi:type="dcterms:W3CDTF">2022-08-25T12:25:02Z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0x0101000E9AD557692E154F9D2697C8C6432F76006D4D92D51675A442A00CEFF055B17D24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12;#Application ＆ Associated Docs|5eadfd3c-6deb-44e1-b7e1-16accd427bec</vt:lpwstr>
  </property>
  <property fmtid="{D5CDD505-2E9C-101B-9397-08002B2CF9AE}" pid="10" name="RegulatedActivityClass">
    <vt:lpwstr>38;#Installations|645f1c9c-65df-490a-9ce3-4a2aa7c5ff7f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10;#EPR|0e5af97d-1a8c-4d8f-a20b-528a11cab1f6</vt:lpwstr>
  </property>
</Properties>
</file>