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8 SITE FOLDERS\TAR_AL\5648 Permit Application\4 DATA (Work in progress)\4. Permit Application\FINAL\Appendices\Appendix H - HRA\TAR_ALg28688_final\TAR_ALg28688 FV\App A – Screening\"/>
    </mc:Choice>
  </mc:AlternateContent>
  <xr:revisionPtr revIDLastSave="0" documentId="13_ncr:1_{E088888E-2C51-47CE-8B9A-323249090651}" xr6:coauthVersionLast="47" xr6:coauthVersionMax="47" xr10:uidLastSave="{00000000-0000-0000-0000-000000000000}"/>
  <bookViews>
    <workbookView xWindow="57480" yWindow="9540" windowWidth="29040" windowHeight="15840" xr2:uid="{75C67F12-4701-4CF0-866C-A5B6E63110AE}"/>
  </bookViews>
  <sheets>
    <sheet name="Database" sheetId="1" r:id="rId1"/>
    <sheet name="Toluene source term" sheetId="2" r:id="rId2"/>
  </sheets>
  <externalReferences>
    <externalReference r:id="rId3"/>
  </externalReferences>
  <definedNames>
    <definedName name="n">[1]AttenuationInputs!$G$11</definedName>
    <definedName name="_xlnm.Print_Area" localSheetId="0">Database!$A$1:$R$49</definedName>
    <definedName name="Qaq">[1]WaterBalance!$E$11</definedName>
    <definedName name="Qsrc">[1]WaterBalance!$E$14</definedName>
    <definedName name="QsrcLitres">[1]WaterBalance!$E$15</definedName>
    <definedName name="x">[1]AttenuationInputs!$G$8</definedName>
    <definedName name="α">[1]AttenuationInputs!$G$14</definedName>
    <definedName name="αT">[1]AttenuationInputs!$G$15</definedName>
    <definedName name="νw">[1]AttenuationInputs!$G$12</definedName>
    <definedName name="τ">[1]AttenuationInputs!$G$13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B5" i="2"/>
  <c r="L14" i="1" l="1"/>
  <c r="L12" i="1"/>
  <c r="N6" i="1"/>
  <c r="L6" i="1"/>
  <c r="K5" i="1" l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4" i="1"/>
  <c r="N19" i="1"/>
  <c r="J19" i="1"/>
  <c r="J20" i="1" l="1"/>
  <c r="I10" i="1"/>
  <c r="J10" i="1" l="1"/>
  <c r="M10" i="1"/>
  <c r="J6" i="1" l="1"/>
  <c r="J7" i="1"/>
  <c r="J8" i="1"/>
  <c r="J9" i="1"/>
  <c r="J12" i="1"/>
  <c r="J13" i="1"/>
  <c r="J14" i="1"/>
  <c r="J15" i="1"/>
  <c r="J16" i="1"/>
  <c r="J17" i="1"/>
  <c r="J18" i="1"/>
  <c r="J21" i="1"/>
  <c r="K21" i="1" s="1"/>
  <c r="J22" i="1"/>
  <c r="K22" i="1" s="1"/>
  <c r="J3" i="1"/>
  <c r="K8" i="1" l="1"/>
  <c r="M8" i="1"/>
  <c r="N8" i="1" s="1"/>
  <c r="M7" i="1"/>
  <c r="M9" i="1"/>
  <c r="M21" i="1"/>
  <c r="M18" i="1"/>
  <c r="M22" i="1"/>
  <c r="M20" i="1"/>
  <c r="N20" i="1" s="1"/>
  <c r="M17" i="1"/>
  <c r="N17" i="1" s="1"/>
  <c r="M16" i="1"/>
  <c r="N16" i="1" s="1"/>
  <c r="M15" i="1"/>
  <c r="N15" i="1" s="1"/>
  <c r="M14" i="1"/>
  <c r="N14" i="1" s="1"/>
  <c r="M13" i="1"/>
  <c r="N13" i="1" s="1"/>
  <c r="E22" i="1"/>
  <c r="E21" i="1"/>
  <c r="E20" i="1"/>
  <c r="E18" i="1"/>
  <c r="E17" i="1"/>
  <c r="E16" i="1"/>
  <c r="E15" i="1"/>
  <c r="E14" i="1"/>
  <c r="E13" i="1"/>
  <c r="E12" i="1"/>
  <c r="N12" i="1" s="1"/>
  <c r="I11" i="1"/>
  <c r="E11" i="1"/>
  <c r="E10" i="1"/>
  <c r="N10" i="1" s="1"/>
  <c r="E9" i="1"/>
  <c r="E8" i="1"/>
  <c r="E7" i="1"/>
  <c r="E6" i="1"/>
  <c r="I5" i="1"/>
  <c r="F5" i="1"/>
  <c r="E5" i="1"/>
  <c r="F4" i="1"/>
  <c r="J4" i="1" s="1"/>
  <c r="E4" i="1"/>
  <c r="N18" i="1" l="1"/>
  <c r="N7" i="1"/>
  <c r="N9" i="1"/>
  <c r="M4" i="1"/>
  <c r="N4" i="1" s="1"/>
  <c r="M11" i="1"/>
  <c r="M5" i="1"/>
  <c r="J11" i="1"/>
  <c r="N21" i="1"/>
  <c r="N22" i="1"/>
  <c r="J5" i="1"/>
  <c r="N5" i="1" l="1"/>
  <c r="N11" i="1"/>
</calcChain>
</file>

<file path=xl/sharedStrings.xml><?xml version="1.0" encoding="utf-8"?>
<sst xmlns="http://schemas.openxmlformats.org/spreadsheetml/2006/main" count="118" uniqueCount="97">
  <si>
    <r>
      <t xml:space="preserve">Inert waste leaching limit values </t>
    </r>
    <r>
      <rPr>
        <b/>
        <vertAlign val="superscript"/>
        <sz val="11"/>
        <color theme="1"/>
        <rFont val="Calibri"/>
        <family val="2"/>
        <scheme val="minor"/>
      </rPr>
      <t>A</t>
    </r>
  </si>
  <si>
    <t>Parameter</t>
  </si>
  <si>
    <t>Symbol and notes</t>
  </si>
  <si>
    <t>L/S = 10l/kg</t>
  </si>
  <si>
    <t>L/S = 10l/kg eluate concentratation</t>
  </si>
  <si>
    <t>AA-EQS</t>
  </si>
  <si>
    <t>MAC-EQS</t>
  </si>
  <si>
    <t>Units</t>
  </si>
  <si>
    <t>mg/kg</t>
  </si>
  <si>
    <t>mg/l</t>
  </si>
  <si>
    <t>Antimony</t>
  </si>
  <si>
    <t>Sb</t>
  </si>
  <si>
    <t>Non hazardous</t>
  </si>
  <si>
    <t>Arsenic</t>
  </si>
  <si>
    <t>As</t>
  </si>
  <si>
    <t>Hazardous</t>
  </si>
  <si>
    <t>Barium</t>
  </si>
  <si>
    <t>Ba</t>
  </si>
  <si>
    <t>Cadmium</t>
  </si>
  <si>
    <t>Chromium</t>
  </si>
  <si>
    <t>Cr</t>
  </si>
  <si>
    <t>Copper</t>
  </si>
  <si>
    <t>Lead</t>
  </si>
  <si>
    <t>Mercury</t>
  </si>
  <si>
    <t>Hg</t>
  </si>
  <si>
    <t>Molybdenum</t>
  </si>
  <si>
    <t>Mo</t>
  </si>
  <si>
    <t xml:space="preserve">Nickel </t>
  </si>
  <si>
    <t xml:space="preserve">Selenium </t>
  </si>
  <si>
    <t>Se</t>
  </si>
  <si>
    <t>Zinc</t>
  </si>
  <si>
    <t>Chloride</t>
  </si>
  <si>
    <t>Fluoride</t>
  </si>
  <si>
    <t>Sulphate</t>
  </si>
  <si>
    <t>Notes</t>
  </si>
  <si>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Council decision of 19 December 2002 establishing criteria and procedures for the acceptance of waste at landfills pursuant to Article 16 of and Annex II to Directive 1999/31/EC. Official Journal of the European Communities. 2003/33/EC. </t>
    </r>
  </si>
  <si>
    <r>
      <t>Cl</t>
    </r>
    <r>
      <rPr>
        <vertAlign val="superscript"/>
        <sz val="10"/>
        <rFont val="Arial"/>
        <family val="2"/>
      </rPr>
      <t>-</t>
    </r>
  </si>
  <si>
    <r>
      <t>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2-</t>
    </r>
  </si>
  <si>
    <t>Phenol index</t>
  </si>
  <si>
    <t>Dissolved organic carbon</t>
  </si>
  <si>
    <t>Total dissolved solids</t>
  </si>
  <si>
    <r>
      <rPr>
        <b/>
        <vertAlign val="superscript"/>
        <sz val="10"/>
        <rFont val="Arial"/>
        <family val="2"/>
      </rPr>
      <t>B</t>
    </r>
    <r>
      <rPr>
        <sz val="10"/>
        <rFont val="Arial"/>
        <family val="2"/>
      </rPr>
      <t xml:space="preserve"> "2018 01 31 Confirmed hazardous substances list"  http://www.wfduk.org/sites/default/files/Media/JAGDAG/2018%2001%2031%20Confirmed%20hazardous%20substances%20list_0.pdf accessed 24 September 2021</t>
    </r>
  </si>
  <si>
    <r>
      <rPr>
        <b/>
        <vertAlign val="superscript"/>
        <sz val="10"/>
        <rFont val="Arial"/>
        <family val="2"/>
      </rPr>
      <t>C</t>
    </r>
    <r>
      <rPr>
        <sz val="10"/>
        <rFont val="Arial"/>
        <family val="2"/>
      </rPr>
      <t xml:space="preserve"> Where a substance has not been determined as a hazardous substance or non hazardous pollutant it is assumed that it is a non hazardous pollutant.</t>
    </r>
  </si>
  <si>
    <r>
      <t xml:space="preserve">Category </t>
    </r>
    <r>
      <rPr>
        <b/>
        <vertAlign val="superscript"/>
        <sz val="10"/>
        <rFont val="Arial"/>
        <family val="2"/>
      </rPr>
      <t>B, C</t>
    </r>
  </si>
  <si>
    <r>
      <rPr>
        <b/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Conservatively it is assumed that all of the mercury is mercury II which is designated as a hazardous substance.</t>
    </r>
  </si>
  <si>
    <r>
      <rPr>
        <b/>
        <vertAlign val="superscript"/>
        <sz val="10"/>
        <rFont val="Arial"/>
        <family val="2"/>
      </rPr>
      <t>F</t>
    </r>
    <r>
      <rPr>
        <sz val="10"/>
        <rFont val="Arial"/>
        <family val="2"/>
      </rPr>
      <t xml:space="preserve"> https://www.gov.uk/government/publications/values-for-groundwater-risk-assessments/hazardous-substances-to-groundwater-minimum-reporting-values accessed 24 September 2021</t>
    </r>
  </si>
  <si>
    <r>
      <t xml:space="preserve">Minimum reporting value (MRV) </t>
    </r>
    <r>
      <rPr>
        <b/>
        <vertAlign val="superscript"/>
        <sz val="10"/>
        <rFont val="Arial"/>
        <family val="2"/>
      </rPr>
      <t>F, G</t>
    </r>
  </si>
  <si>
    <r>
      <rPr>
        <b/>
        <vertAlign val="superscript"/>
        <sz val="10"/>
        <rFont val="Arial"/>
        <family val="2"/>
      </rPr>
      <t>H</t>
    </r>
    <r>
      <rPr>
        <sz val="10"/>
        <rFont val="Arial"/>
        <family val="2"/>
      </rPr>
      <t xml:space="preserve"> The Water Supply (Water Quality) Regulations 2016 (England) (with 2018 amendments consolidated) https://www.legislation.gov.uk/uksi/2016/614/schedule/1 accessed 24 September 2021</t>
    </r>
  </si>
  <si>
    <t>Minimum of MRV, DWS and EQS</t>
  </si>
  <si>
    <t>Mean background concentration</t>
  </si>
  <si>
    <r>
      <rPr>
        <b/>
        <vertAlign val="superscript"/>
        <sz val="10"/>
        <rFont val="Arial"/>
        <family val="2"/>
      </rPr>
      <t>I</t>
    </r>
    <r>
      <rPr>
        <sz val="10"/>
        <rFont val="Arial"/>
        <family val="2"/>
      </rPr>
      <t xml:space="preserve"> https://assets.publishing.service.gov.uk/government/uploads/system/uploads/attachment_data/file/1010041/Freshwaters_specific_pollutants_and_operational_environmental_quality_standards.ods accessed 24 September 2021</t>
    </r>
  </si>
  <si>
    <r>
      <rPr>
        <b/>
        <vertAlign val="superscript"/>
        <sz val="10"/>
        <rFont val="Arial"/>
        <family val="2"/>
      </rPr>
      <t>J</t>
    </r>
    <r>
      <rPr>
        <sz val="10"/>
        <rFont val="Arial"/>
        <family val="2"/>
      </rPr>
      <t xml:space="preserve"> https://assets.publishing.service.gov.uk/government/uploads/system/uploads/attachment_data/file/1010036/Freshwaters_priority_hazardous_substances__priority_substances_and_other_pollutants_environmental_quality_standards.ods accessed 24 September 2021</t>
    </r>
  </si>
  <si>
    <r>
      <rPr>
        <b/>
        <vertAlign val="superscript"/>
        <sz val="10"/>
        <rFont val="Arial"/>
        <family val="2"/>
      </rPr>
      <t>K</t>
    </r>
    <r>
      <rPr>
        <sz val="10"/>
        <rFont val="Arial"/>
        <family val="2"/>
      </rPr>
      <t xml:space="preserve"> The EQS values reported are for a water hardness between 100mg/l and 200mg/l.</t>
    </r>
  </si>
  <si>
    <r>
      <t xml:space="preserve">Cd </t>
    </r>
    <r>
      <rPr>
        <b/>
        <vertAlign val="superscript"/>
        <sz val="10"/>
        <rFont val="Arial"/>
        <family val="2"/>
      </rPr>
      <t xml:space="preserve"> K</t>
    </r>
  </si>
  <si>
    <r>
      <t xml:space="preserve">Cu  </t>
    </r>
    <r>
      <rPr>
        <b/>
        <vertAlign val="superscript"/>
        <sz val="10"/>
        <rFont val="Arial"/>
        <family val="2"/>
      </rPr>
      <t>L</t>
    </r>
  </si>
  <si>
    <r>
      <t xml:space="preserve">Ni  </t>
    </r>
    <r>
      <rPr>
        <b/>
        <vertAlign val="superscript"/>
        <sz val="10"/>
        <rFont val="Arial"/>
        <family val="2"/>
      </rPr>
      <t>L</t>
    </r>
  </si>
  <si>
    <r>
      <t xml:space="preserve">Freshwater Environmental Quality Standard (EQS) </t>
    </r>
    <r>
      <rPr>
        <b/>
        <vertAlign val="superscript"/>
        <sz val="11"/>
        <color theme="1"/>
        <rFont val="Calibri"/>
        <family val="2"/>
        <scheme val="minor"/>
      </rPr>
      <t>I, J</t>
    </r>
  </si>
  <si>
    <r>
      <rPr>
        <b/>
        <vertAlign val="superscript"/>
        <sz val="10"/>
        <rFont val="Arial"/>
        <family val="2"/>
      </rPr>
      <t>M</t>
    </r>
    <r>
      <rPr>
        <sz val="10"/>
        <rFont val="Arial"/>
        <family val="2"/>
      </rPr>
      <t xml:space="preserve"> The EQS values reported are for less than 50 milligrams of calcium carbonate per litre of water (mg/l)</t>
    </r>
  </si>
  <si>
    <r>
      <rPr>
        <sz val="10"/>
        <rFont val="Arial"/>
        <family val="2"/>
      </rPr>
      <t>F</t>
    </r>
    <r>
      <rPr>
        <vertAlign val="superscript"/>
        <sz val="10"/>
        <rFont val="Arial"/>
        <family val="2"/>
      </rPr>
      <t xml:space="preserve">-     </t>
    </r>
    <r>
      <rPr>
        <b/>
        <vertAlign val="superscript"/>
        <sz val="10"/>
        <rFont val="Arial"/>
        <family val="2"/>
      </rPr>
      <t>M</t>
    </r>
  </si>
  <si>
    <r>
      <rPr>
        <b/>
        <vertAlign val="superscript"/>
        <sz val="10"/>
        <rFont val="Arial"/>
        <family val="2"/>
      </rPr>
      <t>N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Dissolved plus ambient background concentration.</t>
    </r>
  </si>
  <si>
    <r>
      <t xml:space="preserve">Zn  </t>
    </r>
    <r>
      <rPr>
        <b/>
        <vertAlign val="superscript"/>
        <sz val="10"/>
        <rFont val="Arial"/>
        <family val="2"/>
      </rPr>
      <t>L, N</t>
    </r>
  </si>
  <si>
    <t>Substances for which there is no MRV or relevant environmental quality standards are not considered in detail.</t>
  </si>
  <si>
    <t>Hazardous substances</t>
  </si>
  <si>
    <t>Key</t>
  </si>
  <si>
    <t>Non hazardous substance</t>
  </si>
  <si>
    <t>Screening criterion is the minimum of the UK DWS or EQS unless the mean background concentration is lower in which case the mean background concentration is used.</t>
  </si>
  <si>
    <t>Screening criterion is the MRV.</t>
  </si>
  <si>
    <t>Risk characterisation ratio</t>
  </si>
  <si>
    <t>Risk characterisation ratio (RCR)</t>
  </si>
  <si>
    <t xml:space="preserve">The risk characterisation ratio (RCR) is the assumed source concentration divided by the relevant screening criterion.  </t>
  </si>
  <si>
    <t>Screening assessment criterion</t>
  </si>
  <si>
    <t>Selection of screening assessment criterion:</t>
  </si>
  <si>
    <r>
      <t xml:space="preserve">Risk characterisation ratio </t>
    </r>
    <r>
      <rPr>
        <sz val="10"/>
        <rFont val="Arial"/>
        <family val="2"/>
      </rPr>
      <t>(ignoring background groundwater quality)</t>
    </r>
  </si>
  <si>
    <t>Substance that it is proposed is modelled.</t>
  </si>
  <si>
    <r>
      <rPr>
        <b/>
        <vertAlign val="superscript"/>
        <sz val="10"/>
        <rFont val="Arial"/>
        <family val="2"/>
      </rPr>
      <t>L</t>
    </r>
    <r>
      <rPr>
        <sz val="10"/>
        <rFont val="Arial"/>
        <family val="2"/>
      </rPr>
      <t xml:space="preserve"> EQS is for the bioavailable concentration. It is assumed that all is of the dissolved concentrations will be bioavailable.</t>
    </r>
  </si>
  <si>
    <r>
      <t xml:space="preserve">UK Drinking Water Standard </t>
    </r>
    <r>
      <rPr>
        <b/>
        <vertAlign val="superscript"/>
        <sz val="11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 </t>
    </r>
  </si>
  <si>
    <t>Alrewas Quarry</t>
  </si>
  <si>
    <t>Mean background</t>
  </si>
  <si>
    <t>Toluene</t>
  </si>
  <si>
    <t>MRV</t>
  </si>
  <si>
    <r>
      <rPr>
        <b/>
        <vertAlign val="superscript"/>
        <sz val="10"/>
        <rFont val="Arial"/>
        <family val="2"/>
      </rPr>
      <t xml:space="preserve">O </t>
    </r>
    <r>
      <rPr>
        <sz val="10"/>
        <rFont val="Arial"/>
        <family val="2"/>
      </rPr>
      <t>The source term for toluene is based on the solid composition WAC for BTEX converted into mg/l.  It is conservatively assumed that the total BTEX concentration comprises toluene.</t>
    </r>
  </si>
  <si>
    <r>
      <rPr>
        <b/>
        <vertAlign val="superscript"/>
        <sz val="10"/>
        <rFont val="Arial"/>
        <family val="2"/>
      </rPr>
      <t>D</t>
    </r>
    <r>
      <rPr>
        <sz val="10"/>
        <rFont val="Arial"/>
        <family val="2"/>
      </rPr>
      <t xml:space="preserve"> It is assumed that all of the chromium is chromium III which is a non hazardous substance.</t>
    </r>
  </si>
  <si>
    <r>
      <t xml:space="preserve">Non hazardous </t>
    </r>
    <r>
      <rPr>
        <b/>
        <vertAlign val="superscript"/>
        <sz val="10"/>
        <rFont val="Arial"/>
        <family val="2"/>
      </rPr>
      <t>D</t>
    </r>
  </si>
  <si>
    <r>
      <t xml:space="preserve">Pb  </t>
    </r>
    <r>
      <rPr>
        <b/>
        <vertAlign val="superscript"/>
        <sz val="10"/>
        <color rgb="FFFF0000"/>
        <rFont val="Arial"/>
        <family val="2"/>
      </rPr>
      <t>L</t>
    </r>
  </si>
  <si>
    <r>
      <t xml:space="preserve">Hazardous </t>
    </r>
    <r>
      <rPr>
        <b/>
        <vertAlign val="superscript"/>
        <sz val="10"/>
        <color rgb="FFFF0000"/>
        <rFont val="Arial"/>
        <family val="2"/>
      </rPr>
      <t>E</t>
    </r>
  </si>
  <si>
    <r>
      <t>C</t>
    </r>
    <r>
      <rPr>
        <vertAlign val="subscript"/>
        <sz val="10"/>
        <color rgb="FFFF0000"/>
        <rFont val="Arial"/>
        <family val="2"/>
      </rPr>
      <t>7</t>
    </r>
    <r>
      <rPr>
        <sz val="10"/>
        <color rgb="FFFF0000"/>
        <rFont val="Arial"/>
        <family val="2"/>
      </rPr>
      <t>H</t>
    </r>
    <r>
      <rPr>
        <vertAlign val="subscript"/>
        <sz val="10"/>
        <color rgb="FFFF0000"/>
        <rFont val="Arial"/>
        <family val="2"/>
      </rPr>
      <t>8</t>
    </r>
    <r>
      <rPr>
        <b/>
        <vertAlign val="superscript"/>
        <sz val="10"/>
        <color rgb="FFFF0000"/>
        <rFont val="Arial"/>
        <family val="2"/>
      </rPr>
      <t>O</t>
    </r>
  </si>
  <si>
    <r>
      <t>Organic carbon partition coefficient K</t>
    </r>
    <r>
      <rPr>
        <vertAlign val="subscript"/>
        <sz val="11"/>
        <color theme="1"/>
        <rFont val="Calibri"/>
        <family val="2"/>
        <scheme val="minor"/>
      </rPr>
      <t>oc</t>
    </r>
    <r>
      <rPr>
        <sz val="10"/>
        <rFont val="Arial"/>
        <family val="2"/>
      </rPr>
      <t xml:space="preserve"> (l/kg)</t>
    </r>
  </si>
  <si>
    <r>
      <t>Mean of the maximum and minimum values of K</t>
    </r>
    <r>
      <rPr>
        <vertAlign val="subscript"/>
        <sz val="11"/>
        <color theme="1"/>
        <rFont val="Calibri"/>
        <family val="2"/>
        <scheme val="minor"/>
      </rPr>
      <t>oc</t>
    </r>
    <r>
      <rPr>
        <sz val="10"/>
        <rFont val="Arial"/>
        <family val="2"/>
      </rPr>
      <t xml:space="preserve"> for toluene taken from the ConSim helpfile.  </t>
    </r>
  </si>
  <si>
    <r>
      <t>Fraction of organic carbon (f</t>
    </r>
    <r>
      <rPr>
        <vertAlign val="subscript"/>
        <sz val="11"/>
        <color theme="1"/>
        <rFont val="Calibri"/>
        <family val="2"/>
        <scheme val="minor"/>
      </rPr>
      <t>oc</t>
    </r>
    <r>
      <rPr>
        <sz val="10"/>
        <rFont val="Arial"/>
        <family val="2"/>
      </rPr>
      <t>)</t>
    </r>
  </si>
  <si>
    <r>
      <t>Mean of the f</t>
    </r>
    <r>
      <rPr>
        <vertAlign val="subscript"/>
        <sz val="11"/>
        <color theme="1"/>
        <rFont val="Calibri"/>
        <family val="2"/>
        <scheme val="minor"/>
      </rPr>
      <t>oc</t>
    </r>
    <r>
      <rPr>
        <sz val="10"/>
        <rFont val="Arial"/>
        <family val="2"/>
      </rPr>
      <t xml:space="preserve"> values specified for clay, silt and sand taken from the ConSim helpfile</t>
    </r>
  </si>
  <si>
    <r>
      <t>K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0"/>
        <rFont val="Arial"/>
        <family val="2"/>
      </rPr>
      <t xml:space="preserve"> (l/kg)</t>
    </r>
  </si>
  <si>
    <r>
      <t>Calculated (K</t>
    </r>
    <r>
      <rPr>
        <vertAlign val="subscript"/>
        <sz val="11"/>
        <color theme="1"/>
        <rFont val="Calibri"/>
        <family val="2"/>
        <scheme val="minor"/>
      </rPr>
      <t>oc</t>
    </r>
    <r>
      <rPr>
        <sz val="10"/>
        <rFont val="Arial"/>
        <family val="2"/>
      </rPr>
      <t xml:space="preserve"> x f</t>
    </r>
    <r>
      <rPr>
        <vertAlign val="subscript"/>
        <sz val="11"/>
        <color theme="1"/>
        <rFont val="Calibri"/>
        <family val="2"/>
        <scheme val="minor"/>
      </rPr>
      <t>oc</t>
    </r>
    <r>
      <rPr>
        <sz val="10"/>
        <rFont val="Arial"/>
        <family val="2"/>
      </rPr>
      <t>)</t>
    </r>
  </si>
  <si>
    <t xml:space="preserve">BTEX WAC (mg/kg) </t>
  </si>
  <si>
    <t>Solid waste inert WAC for BTEX.  Conservatively assume all is toluene.</t>
  </si>
  <si>
    <t>Calculated leachate concentration (mg/l)</t>
  </si>
  <si>
    <t>Assumed LS 10/1 equivalent</t>
  </si>
  <si>
    <r>
      <rPr>
        <b/>
        <vertAlign val="superscript"/>
        <sz val="10"/>
        <rFont val="Arial"/>
        <family val="2"/>
      </rPr>
      <t>G</t>
    </r>
    <r>
      <rPr>
        <sz val="10"/>
        <rFont val="Arial"/>
        <family val="2"/>
      </rPr>
      <t xml:space="preserve"> MRV for arsenic and lead based on http://wfduk.org/sites/default/files/Media/UKTAG_Technical%20report_GW_Haz-Subs_ForWebfinal.pdf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</si>
</sst>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0.00000"/>
    <numFmt numFmtId="167" formatCode="0.0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FF0000"/>
      <name val="Arial"/>
      <family val="2"/>
    </font>
    <font>
      <vertAlign val="subscript"/>
      <sz val="10"/>
      <color rgb="FFFF0000"/>
      <name val="Arial"/>
      <family val="2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55">
    <xf numFmtId="0" fontId="0" fillId="0" borderId="0" xfId="0"/>
    <xf numFmtId="0" fontId="5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8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2" xfId="0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0" fillId="0" borderId="2" xfId="0" applyNumberFormat="1" applyFill="1" applyBorder="1"/>
    <xf numFmtId="0" fontId="6" fillId="0" borderId="2" xfId="0" applyFont="1" applyFill="1" applyBorder="1"/>
    <xf numFmtId="2" fontId="9" fillId="0" borderId="0" xfId="0" applyNumberFormat="1" applyFont="1"/>
    <xf numFmtId="166" fontId="0" fillId="0" borderId="2" xfId="0" applyNumberFormat="1" applyFill="1" applyBorder="1"/>
    <xf numFmtId="167" fontId="0" fillId="0" borderId="2" xfId="0" applyNumberFormat="1" applyFill="1" applyBorder="1"/>
    <xf numFmtId="0" fontId="0" fillId="3" borderId="0" xfId="0" applyFill="1"/>
    <xf numFmtId="0" fontId="0" fillId="0" borderId="0" xfId="0" applyFill="1" applyBorder="1" applyAlignment="1">
      <alignment horizontal="left" vertical="center"/>
    </xf>
    <xf numFmtId="165" fontId="0" fillId="3" borderId="2" xfId="0" applyNumberFormat="1" applyFill="1" applyBorder="1"/>
    <xf numFmtId="1" fontId="0" fillId="0" borderId="2" xfId="0" applyNumberFormat="1" applyFill="1" applyBorder="1"/>
    <xf numFmtId="1" fontId="0" fillId="3" borderId="2" xfId="0" applyNumberFormat="1" applyFill="1" applyBorder="1"/>
    <xf numFmtId="164" fontId="0" fillId="0" borderId="2" xfId="0" applyNumberFormat="1" applyFill="1" applyBorder="1"/>
    <xf numFmtId="0" fontId="12" fillId="0" borderId="0" xfId="0" applyFont="1"/>
    <xf numFmtId="0" fontId="12" fillId="0" borderId="0" xfId="0" applyFont="1" applyFill="1" applyBorder="1" applyAlignment="1">
      <alignment horizontal="left" vertical="center"/>
    </xf>
    <xf numFmtId="0" fontId="12" fillId="0" borderId="2" xfId="0" applyFont="1" applyFill="1" applyBorder="1"/>
    <xf numFmtId="0" fontId="12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165" fontId="12" fillId="0" borderId="2" xfId="0" applyNumberFormat="1" applyFont="1" applyFill="1" applyBorder="1"/>
    <xf numFmtId="164" fontId="12" fillId="0" borderId="2" xfId="0" applyNumberFormat="1" applyFont="1" applyFill="1" applyBorder="1"/>
    <xf numFmtId="165" fontId="12" fillId="3" borderId="2" xfId="0" applyNumberFormat="1" applyFont="1" applyFill="1" applyBorder="1"/>
    <xf numFmtId="0" fontId="12" fillId="0" borderId="0" xfId="0" applyFont="1" applyFill="1"/>
    <xf numFmtId="0" fontId="12" fillId="0" borderId="3" xfId="0" applyFont="1" applyFill="1" applyBorder="1" applyAlignment="1">
      <alignment horizontal="left" vertical="center"/>
    </xf>
    <xf numFmtId="1" fontId="12" fillId="0" borderId="2" xfId="0" applyNumberFormat="1" applyFont="1" applyFill="1" applyBorder="1"/>
    <xf numFmtId="1" fontId="12" fillId="3" borderId="2" xfId="0" applyNumberFormat="1" applyFont="1" applyFill="1" applyBorder="1"/>
    <xf numFmtId="0" fontId="11" fillId="0" borderId="2" xfId="0" applyFont="1" applyFill="1" applyBorder="1" applyAlignment="1">
      <alignment horizontal="center"/>
    </xf>
    <xf numFmtId="11" fontId="12" fillId="0" borderId="2" xfId="0" applyNumberFormat="1" applyFont="1" applyFill="1" applyBorder="1"/>
    <xf numFmtId="0" fontId="1" fillId="0" borderId="2" xfId="2" applyBorder="1"/>
    <xf numFmtId="0" fontId="1" fillId="0" borderId="0" xfId="2"/>
    <xf numFmtId="164" fontId="1" fillId="0" borderId="2" xfId="2" applyNumberFormat="1" applyBorder="1"/>
    <xf numFmtId="2" fontId="12" fillId="0" borderId="2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5B0EE220-8F23-4E8B-8CB1-3954773188B3}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ca-file\Data\SITE%20FOLDERS\TAR_FA\5599%20Permit%20Application\5%20TECHNICAL%20internal%20only\CJC%20inert%20model\Model_v51_addressJJWcheck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"/>
      <sheetName val="Flow"/>
      <sheetName val="WaterBalance"/>
      <sheetName val="SourceInputs"/>
      <sheetName val="GenericAssessment"/>
      <sheetName val="AttenuationInputs"/>
      <sheetName val="DetailedAssessment"/>
      <sheetName val="P1graph"/>
      <sheetName val="P2graph"/>
      <sheetName val="P3graph"/>
      <sheetName val="P4graph"/>
      <sheetName val="P5graph"/>
      <sheetName val="P6graph"/>
      <sheetName val="P7graph"/>
      <sheetName val="SrcDecline"/>
      <sheetName val="Recharge"/>
      <sheetName val="NumericalSoln--&gt;"/>
      <sheetName val="P1"/>
      <sheetName val="P2"/>
      <sheetName val="P3"/>
      <sheetName val="P4"/>
      <sheetName val="P5"/>
      <sheetName val="P6"/>
      <sheetName val="P7"/>
      <sheetName val="AnalyticalSoln--&gt;"/>
      <sheetName val="P1an"/>
      <sheetName val="P2an"/>
      <sheetName val="P3an"/>
      <sheetName val="P4an"/>
      <sheetName val="P5an"/>
      <sheetName val="P6an"/>
      <sheetName val="P7an"/>
      <sheetName val="Database"/>
    </sheetNames>
    <sheetDataSet>
      <sheetData sheetId="0"/>
      <sheetData sheetId="1"/>
      <sheetData sheetId="2">
        <row r="11">
          <cell r="E11">
            <v>2.4180000000000012E-6</v>
          </cell>
        </row>
        <row r="14">
          <cell r="E14">
            <v>3.6717293491815077E-8</v>
          </cell>
        </row>
        <row r="15">
          <cell r="E15">
            <v>1157.9165675578802</v>
          </cell>
        </row>
      </sheetData>
      <sheetData sheetId="3"/>
      <sheetData sheetId="4"/>
      <sheetData sheetId="5">
        <row r="8">
          <cell r="G8">
            <v>1</v>
          </cell>
        </row>
        <row r="11">
          <cell r="G11">
            <v>0.3</v>
          </cell>
        </row>
        <row r="12">
          <cell r="G12">
            <v>4.5329991965203814E-8</v>
          </cell>
        </row>
        <row r="13">
          <cell r="G13">
            <v>5</v>
          </cell>
        </row>
        <row r="14">
          <cell r="G14">
            <v>0.1</v>
          </cell>
        </row>
        <row r="15">
          <cell r="G15">
            <v>0.01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A2E0F-9778-4A05-A7E2-8E93DE6D2294}">
  <sheetPr codeName="Sheet8">
    <pageSetUpPr fitToPage="1"/>
  </sheetPr>
  <dimension ref="A1:N51"/>
  <sheetViews>
    <sheetView tabSelected="1" zoomScaleNormal="100" workbookViewId="0"/>
  </sheetViews>
  <sheetFormatPr defaultRowHeight="12.75" x14ac:dyDescent="0.35"/>
  <cols>
    <col min="1" max="1" width="24.86328125" customWidth="1"/>
    <col min="2" max="2" width="9" customWidth="1"/>
    <col min="3" max="3" width="12.86328125" bestFit="1" customWidth="1"/>
    <col min="5" max="5" width="14.46484375" customWidth="1"/>
    <col min="6" max="6" width="13.86328125" customWidth="1"/>
    <col min="7" max="7" width="10.1328125" customWidth="1"/>
    <col min="8" max="8" width="9.86328125" customWidth="1"/>
    <col min="10" max="10" width="13" customWidth="1"/>
    <col min="11" max="11" width="16.86328125" customWidth="1"/>
    <col min="12" max="12" width="13.86328125" customWidth="1"/>
    <col min="13" max="13" width="21.53125" bestFit="1" customWidth="1"/>
    <col min="14" max="14" width="15.86328125" customWidth="1"/>
  </cols>
  <sheetData>
    <row r="1" spans="1:14" ht="59" customHeight="1" x14ac:dyDescent="0.35">
      <c r="A1" s="19"/>
      <c r="B1" s="19"/>
      <c r="C1" s="19"/>
      <c r="D1" s="53" t="s">
        <v>0</v>
      </c>
      <c r="E1" s="53"/>
      <c r="F1" s="19"/>
      <c r="G1" s="54" t="s">
        <v>56</v>
      </c>
      <c r="H1" s="54"/>
      <c r="I1" s="19"/>
      <c r="J1" s="19"/>
      <c r="K1" s="19"/>
      <c r="L1" s="53" t="s">
        <v>76</v>
      </c>
      <c r="M1" s="53"/>
      <c r="N1" s="53"/>
    </row>
    <row r="2" spans="1:14" s="1" customFormat="1" ht="77.650000000000006" x14ac:dyDescent="0.4">
      <c r="A2" s="9" t="s">
        <v>1</v>
      </c>
      <c r="B2" s="3" t="s">
        <v>2</v>
      </c>
      <c r="C2" s="9" t="s">
        <v>43</v>
      </c>
      <c r="D2" s="2" t="s">
        <v>3</v>
      </c>
      <c r="E2" s="2" t="s">
        <v>4</v>
      </c>
      <c r="F2" s="2" t="s">
        <v>75</v>
      </c>
      <c r="G2" s="2" t="s">
        <v>5</v>
      </c>
      <c r="H2" s="2" t="s">
        <v>6</v>
      </c>
      <c r="I2" s="21" t="s">
        <v>46</v>
      </c>
      <c r="J2" s="22" t="s">
        <v>48</v>
      </c>
      <c r="K2" s="4" t="s">
        <v>72</v>
      </c>
      <c r="L2" s="22" t="s">
        <v>49</v>
      </c>
      <c r="M2" s="22" t="s">
        <v>70</v>
      </c>
      <c r="N2" s="4" t="s">
        <v>68</v>
      </c>
    </row>
    <row r="3" spans="1:14" s="1" customFormat="1" ht="14.25" x14ac:dyDescent="0.4">
      <c r="A3" s="5" t="s">
        <v>7</v>
      </c>
      <c r="B3" s="5"/>
      <c r="C3" s="5"/>
      <c r="D3" s="6" t="s">
        <v>8</v>
      </c>
      <c r="E3" s="6" t="s">
        <v>9</v>
      </c>
      <c r="F3" s="6" t="s">
        <v>9</v>
      </c>
      <c r="G3" s="6" t="s">
        <v>9</v>
      </c>
      <c r="H3" s="6" t="s">
        <v>9</v>
      </c>
      <c r="I3" s="7" t="s">
        <v>9</v>
      </c>
      <c r="J3" s="7" t="str">
        <f>I3</f>
        <v>mg/l</v>
      </c>
      <c r="K3" s="7"/>
      <c r="L3" s="7" t="s">
        <v>9</v>
      </c>
      <c r="M3" s="7"/>
      <c r="N3" s="9"/>
    </row>
    <row r="4" spans="1:14" ht="14.25" x14ac:dyDescent="0.45">
      <c r="A4" s="13" t="s">
        <v>10</v>
      </c>
      <c r="B4" s="8" t="s">
        <v>11</v>
      </c>
      <c r="C4" s="20" t="s">
        <v>12</v>
      </c>
      <c r="D4" s="13">
        <v>0.06</v>
      </c>
      <c r="E4" s="8">
        <f>D4/10</f>
        <v>6.0000000000000001E-3</v>
      </c>
      <c r="F4" s="15">
        <f>5*0.001</f>
        <v>5.0000000000000001E-3</v>
      </c>
      <c r="G4" s="17"/>
      <c r="H4" s="17"/>
      <c r="I4" s="13"/>
      <c r="J4" s="13">
        <f>IF(MIN(F4:I4)=0,"",MIN(F4:I4))</f>
        <v>5.0000000000000001E-3</v>
      </c>
      <c r="K4" s="24">
        <f>IFERROR(E4/J4,"")</f>
        <v>1.2</v>
      </c>
      <c r="L4" s="13">
        <v>1E-3</v>
      </c>
      <c r="M4" s="13" t="str">
        <f>IF($I4,"MRV",IF(AND(L4&lt;&gt;"",$J4&lt;&gt;""),IF(L4&lt;$J4,"Mean background","Minimum quality standard"),IF($J4&lt;&gt;"","Minimum quality standard","")))</f>
        <v>Mean background</v>
      </c>
      <c r="N4" s="23">
        <f>_xlfn.SWITCH($M4,"Minimum quality standard",$E4/$J4,"MRV",$E4/$I4,"Mean background",$E4/L4,"")</f>
        <v>6</v>
      </c>
    </row>
    <row r="5" spans="1:14" s="43" customFormat="1" ht="14.25" x14ac:dyDescent="0.35">
      <c r="A5" s="37" t="s">
        <v>13</v>
      </c>
      <c r="B5" s="37" t="s">
        <v>14</v>
      </c>
      <c r="C5" s="38" t="s">
        <v>15</v>
      </c>
      <c r="D5" s="37">
        <v>0.5</v>
      </c>
      <c r="E5" s="37">
        <f t="shared" ref="E5:E22" si="0">D5/10</f>
        <v>0.05</v>
      </c>
      <c r="F5" s="39">
        <f>10*0.001</f>
        <v>0.01</v>
      </c>
      <c r="G5" s="39">
        <v>0.05</v>
      </c>
      <c r="H5" s="39"/>
      <c r="I5" s="37">
        <f>5/1000</f>
        <v>5.0000000000000001E-3</v>
      </c>
      <c r="J5" s="37">
        <f t="shared" ref="J5:J22" si="1">IF(MIN(F5:I5)=0,"",MIN(F5:I5))</f>
        <v>5.0000000000000001E-3</v>
      </c>
      <c r="K5" s="40">
        <f t="shared" ref="K5:K20" si="2">IFERROR(E5/J5,"")</f>
        <v>10</v>
      </c>
      <c r="L5" s="41">
        <v>1.6803738317757021E-3</v>
      </c>
      <c r="M5" s="37" t="str">
        <f t="shared" ref="M5:M22" si="3">IF($I5,"MRV",IF(AND(L5&lt;&gt;"",$J5&lt;&gt;""),IF(L5&lt;$J5,"Mean background","Minimum quality standard"),IF($J5&lt;&gt;"","Minimum quality standard","")))</f>
        <v>MRV</v>
      </c>
      <c r="N5" s="42">
        <f t="shared" ref="N5:N20" si="4">_xlfn.SWITCH($M5,"Minimum quality standard",$E5/$J5,"MRV",$E5/$I5,"Mean background",$E5/L5,"")</f>
        <v>10</v>
      </c>
    </row>
    <row r="6" spans="1:14" ht="14.25" x14ac:dyDescent="0.45">
      <c r="A6" s="13" t="s">
        <v>16</v>
      </c>
      <c r="B6" s="8" t="s">
        <v>17</v>
      </c>
      <c r="C6" s="14" t="s">
        <v>12</v>
      </c>
      <c r="D6" s="13">
        <v>20</v>
      </c>
      <c r="E6" s="8">
        <f t="shared" si="0"/>
        <v>2</v>
      </c>
      <c r="F6" s="15"/>
      <c r="G6" s="10"/>
      <c r="H6" s="10"/>
      <c r="I6" s="13"/>
      <c r="J6" s="13" t="str">
        <f t="shared" si="1"/>
        <v/>
      </c>
      <c r="K6" s="24" t="str">
        <f t="shared" si="2"/>
        <v/>
      </c>
      <c r="L6" s="28">
        <f>83.1764705882353/1000</f>
        <v>8.317647058823531E-2</v>
      </c>
      <c r="M6" s="13" t="s">
        <v>77</v>
      </c>
      <c r="N6" s="23">
        <f>_xlfn.SWITCH($M6,"Minimum quality standard",$E6/$J6,"MRV",$E6/$I6,"Mean background",$E6/L6,"")</f>
        <v>24.04526166902404</v>
      </c>
    </row>
    <row r="7" spans="1:14" ht="15" x14ac:dyDescent="0.4">
      <c r="A7" s="13" t="s">
        <v>18</v>
      </c>
      <c r="B7" s="13" t="s">
        <v>53</v>
      </c>
      <c r="C7" s="14" t="s">
        <v>12</v>
      </c>
      <c r="D7" s="13">
        <v>0.04</v>
      </c>
      <c r="E7" s="8">
        <f t="shared" si="0"/>
        <v>4.0000000000000001E-3</v>
      </c>
      <c r="F7" s="15">
        <v>5.0000000000000001E-3</v>
      </c>
      <c r="G7" s="15">
        <v>1.4999999999999999E-4</v>
      </c>
      <c r="H7" s="15">
        <v>8.9999999999999998E-4</v>
      </c>
      <c r="I7" s="13"/>
      <c r="J7" s="13">
        <f t="shared" si="1"/>
        <v>1.4999999999999999E-4</v>
      </c>
      <c r="K7" s="24">
        <f t="shared" si="2"/>
        <v>26.666666666666668</v>
      </c>
      <c r="L7" s="27">
        <v>1.5374678111588021E-3</v>
      </c>
      <c r="M7" s="13" t="str">
        <f t="shared" si="3"/>
        <v>Minimum quality standard</v>
      </c>
      <c r="N7" s="31">
        <f t="shared" si="4"/>
        <v>26.666666666666668</v>
      </c>
    </row>
    <row r="8" spans="1:14" s="18" customFormat="1" ht="15" x14ac:dyDescent="0.45">
      <c r="A8" s="13" t="s">
        <v>19</v>
      </c>
      <c r="B8" s="13" t="s">
        <v>20</v>
      </c>
      <c r="C8" s="14" t="s">
        <v>82</v>
      </c>
      <c r="D8" s="13">
        <v>0.5</v>
      </c>
      <c r="E8" s="13">
        <f t="shared" si="0"/>
        <v>0.05</v>
      </c>
      <c r="F8" s="15">
        <v>0.05</v>
      </c>
      <c r="G8" s="16">
        <v>3.3999999999999998E-3</v>
      </c>
      <c r="H8" s="17">
        <v>3.2000000000000001E-2</v>
      </c>
      <c r="I8" s="13"/>
      <c r="J8" s="13">
        <f t="shared" si="1"/>
        <v>3.3999999999999998E-3</v>
      </c>
      <c r="K8" s="24">
        <f t="shared" si="2"/>
        <v>14.705882352941178</v>
      </c>
      <c r="L8" s="34">
        <v>2.3909090909090915E-3</v>
      </c>
      <c r="M8" s="13" t="str">
        <f t="shared" si="3"/>
        <v>Mean background</v>
      </c>
      <c r="N8" s="23">
        <f>_xlfn.SWITCH($M8,"Minimum quality standard",$E8/$J8,"MRV",$E8/$I8,"Mean background",$E8/L8,"")</f>
        <v>20.912547528517106</v>
      </c>
    </row>
    <row r="9" spans="1:14" s="18" customFormat="1" ht="15" x14ac:dyDescent="0.4">
      <c r="A9" s="13" t="s">
        <v>21</v>
      </c>
      <c r="B9" s="13" t="s">
        <v>54</v>
      </c>
      <c r="C9" s="14" t="s">
        <v>12</v>
      </c>
      <c r="D9" s="13">
        <v>2</v>
      </c>
      <c r="E9" s="13">
        <f t="shared" si="0"/>
        <v>0.2</v>
      </c>
      <c r="F9" s="15">
        <v>2</v>
      </c>
      <c r="G9" s="15">
        <v>1E-3</v>
      </c>
      <c r="H9" s="15"/>
      <c r="I9" s="13"/>
      <c r="J9" s="13">
        <f t="shared" si="1"/>
        <v>1E-3</v>
      </c>
      <c r="K9" s="32">
        <f t="shared" si="2"/>
        <v>200</v>
      </c>
      <c r="L9" s="28">
        <v>7.0458715596329975E-3</v>
      </c>
      <c r="M9" s="13" t="str">
        <f t="shared" si="3"/>
        <v>Minimum quality standard</v>
      </c>
      <c r="N9" s="33">
        <f t="shared" si="4"/>
        <v>200</v>
      </c>
    </row>
    <row r="10" spans="1:14" s="43" customFormat="1" ht="15" x14ac:dyDescent="0.4">
      <c r="A10" s="37" t="s">
        <v>22</v>
      </c>
      <c r="B10" s="37" t="s">
        <v>83</v>
      </c>
      <c r="C10" s="44" t="s">
        <v>15</v>
      </c>
      <c r="D10" s="37">
        <v>0.5</v>
      </c>
      <c r="E10" s="37">
        <f t="shared" si="0"/>
        <v>0.05</v>
      </c>
      <c r="F10" s="39">
        <v>0.01</v>
      </c>
      <c r="G10" s="39">
        <v>1.1999999999999999E-3</v>
      </c>
      <c r="H10" s="39">
        <v>1.4E-2</v>
      </c>
      <c r="I10" s="37">
        <f>0.2/1000</f>
        <v>2.0000000000000001E-4</v>
      </c>
      <c r="J10" s="37">
        <f t="shared" si="1"/>
        <v>2.0000000000000001E-4</v>
      </c>
      <c r="K10" s="45">
        <f t="shared" si="2"/>
        <v>250</v>
      </c>
      <c r="L10" s="41">
        <v>1.1545454545454554E-3</v>
      </c>
      <c r="M10" s="37" t="str">
        <f t="shared" si="3"/>
        <v>MRV</v>
      </c>
      <c r="N10" s="46">
        <f t="shared" si="4"/>
        <v>250</v>
      </c>
    </row>
    <row r="11" spans="1:14" s="43" customFormat="1" ht="15" x14ac:dyDescent="0.45">
      <c r="A11" s="37" t="s">
        <v>23</v>
      </c>
      <c r="B11" s="37" t="s">
        <v>24</v>
      </c>
      <c r="C11" s="44" t="s">
        <v>84</v>
      </c>
      <c r="D11" s="37">
        <v>0.01</v>
      </c>
      <c r="E11" s="37">
        <f t="shared" si="0"/>
        <v>1E-3</v>
      </c>
      <c r="F11" s="39">
        <v>1E-3</v>
      </c>
      <c r="G11" s="47"/>
      <c r="H11" s="39">
        <v>6.9999999999999994E-5</v>
      </c>
      <c r="I11" s="37">
        <f>0.01/1000</f>
        <v>1.0000000000000001E-5</v>
      </c>
      <c r="J11" s="37">
        <f t="shared" si="1"/>
        <v>1.0000000000000001E-5</v>
      </c>
      <c r="K11" s="45">
        <f t="shared" si="2"/>
        <v>100</v>
      </c>
      <c r="L11" s="48">
        <v>3.1801801801801693E-5</v>
      </c>
      <c r="M11" s="37" t="str">
        <f t="shared" si="3"/>
        <v>MRV</v>
      </c>
      <c r="N11" s="46">
        <f t="shared" si="4"/>
        <v>100</v>
      </c>
    </row>
    <row r="12" spans="1:14" ht="14.25" x14ac:dyDescent="0.45">
      <c r="A12" s="13" t="s">
        <v>25</v>
      </c>
      <c r="B12" s="13" t="s">
        <v>26</v>
      </c>
      <c r="C12" s="14" t="s">
        <v>12</v>
      </c>
      <c r="D12" s="13">
        <v>0.5</v>
      </c>
      <c r="E12" s="8">
        <f t="shared" si="0"/>
        <v>0.05</v>
      </c>
      <c r="F12" s="15"/>
      <c r="G12" s="17"/>
      <c r="H12" s="17"/>
      <c r="I12" s="13"/>
      <c r="J12" s="13" t="str">
        <f t="shared" si="1"/>
        <v/>
      </c>
      <c r="K12" s="32" t="str">
        <f t="shared" si="2"/>
        <v/>
      </c>
      <c r="L12" s="34">
        <f>2.23529411764706/1000</f>
        <v>2.2352941176470601E-3</v>
      </c>
      <c r="M12" s="13" t="s">
        <v>77</v>
      </c>
      <c r="N12" s="23">
        <f t="shared" si="4"/>
        <v>22.368421052631568</v>
      </c>
    </row>
    <row r="13" spans="1:14" ht="15.4" x14ac:dyDescent="0.45">
      <c r="A13" s="13" t="s">
        <v>27</v>
      </c>
      <c r="B13" s="13" t="s">
        <v>55</v>
      </c>
      <c r="C13" s="14" t="s">
        <v>12</v>
      </c>
      <c r="D13" s="13">
        <v>0.4</v>
      </c>
      <c r="E13" s="8">
        <f t="shared" si="0"/>
        <v>0.04</v>
      </c>
      <c r="F13" s="11">
        <v>0.02</v>
      </c>
      <c r="G13" s="17">
        <v>4.0000000000000001E-3</v>
      </c>
      <c r="H13" s="17">
        <v>3.4000000000000002E-2</v>
      </c>
      <c r="I13" s="13"/>
      <c r="J13" s="13">
        <f t="shared" si="1"/>
        <v>4.0000000000000001E-3</v>
      </c>
      <c r="K13" s="24">
        <f t="shared" si="2"/>
        <v>10</v>
      </c>
      <c r="L13" s="28">
        <v>1.2178988326848227E-2</v>
      </c>
      <c r="M13" s="13" t="str">
        <f t="shared" si="3"/>
        <v>Minimum quality standard</v>
      </c>
      <c r="N13" s="23">
        <f t="shared" si="4"/>
        <v>10</v>
      </c>
    </row>
    <row r="14" spans="1:14" ht="14.25" x14ac:dyDescent="0.35">
      <c r="A14" s="13" t="s">
        <v>28</v>
      </c>
      <c r="B14" s="13" t="s">
        <v>29</v>
      </c>
      <c r="C14" s="14" t="s">
        <v>12</v>
      </c>
      <c r="D14" s="13">
        <v>0.1</v>
      </c>
      <c r="E14" s="8">
        <f t="shared" si="0"/>
        <v>0.01</v>
      </c>
      <c r="F14" s="15">
        <v>0.01</v>
      </c>
      <c r="G14" s="15"/>
      <c r="H14" s="15"/>
      <c r="I14" s="13"/>
      <c r="J14" s="13">
        <f t="shared" si="1"/>
        <v>0.01</v>
      </c>
      <c r="K14" s="24">
        <f t="shared" si="2"/>
        <v>1</v>
      </c>
      <c r="L14" s="34">
        <f>2.23529411764706/1000</f>
        <v>2.2352941176470601E-3</v>
      </c>
      <c r="M14" s="13" t="str">
        <f t="shared" si="3"/>
        <v>Mean background</v>
      </c>
      <c r="N14" s="23">
        <f t="shared" si="4"/>
        <v>4.4736842105263133</v>
      </c>
    </row>
    <row r="15" spans="1:14" ht="15" x14ac:dyDescent="0.4">
      <c r="A15" s="13" t="s">
        <v>30</v>
      </c>
      <c r="B15" s="13" t="s">
        <v>60</v>
      </c>
      <c r="C15" s="14" t="s">
        <v>12</v>
      </c>
      <c r="D15" s="13">
        <v>4</v>
      </c>
      <c r="E15" s="8">
        <f t="shared" si="0"/>
        <v>0.4</v>
      </c>
      <c r="F15" s="15"/>
      <c r="G15" s="15">
        <v>1.09E-2</v>
      </c>
      <c r="H15" s="15"/>
      <c r="I15" s="13"/>
      <c r="J15" s="13">
        <f t="shared" si="1"/>
        <v>1.09E-2</v>
      </c>
      <c r="K15" s="24">
        <f t="shared" si="2"/>
        <v>36.697247706422019</v>
      </c>
      <c r="L15" s="28">
        <v>3.6402145922746709E-2</v>
      </c>
      <c r="M15" s="13" t="str">
        <f t="shared" si="3"/>
        <v>Minimum quality standard</v>
      </c>
      <c r="N15" s="31">
        <f t="shared" si="4"/>
        <v>36.697247706422019</v>
      </c>
    </row>
    <row r="16" spans="1:14" ht="14.25" x14ac:dyDescent="0.35">
      <c r="A16" s="13" t="s">
        <v>31</v>
      </c>
      <c r="B16" s="13" t="s">
        <v>36</v>
      </c>
      <c r="C16" s="14" t="s">
        <v>12</v>
      </c>
      <c r="D16" s="13">
        <v>800</v>
      </c>
      <c r="E16" s="8">
        <f t="shared" si="0"/>
        <v>80</v>
      </c>
      <c r="F16" s="15">
        <v>250</v>
      </c>
      <c r="G16" s="15">
        <v>250</v>
      </c>
      <c r="H16" s="15"/>
      <c r="I16" s="13"/>
      <c r="J16" s="13">
        <f t="shared" si="1"/>
        <v>250</v>
      </c>
      <c r="K16" s="24">
        <f t="shared" si="2"/>
        <v>0.32</v>
      </c>
      <c r="L16" s="24">
        <v>50.512641509433955</v>
      </c>
      <c r="M16" s="13" t="str">
        <f t="shared" si="3"/>
        <v>Mean background</v>
      </c>
      <c r="N16" s="24">
        <f t="shared" si="4"/>
        <v>1.5837619575895445</v>
      </c>
    </row>
    <row r="17" spans="1:14" ht="15" x14ac:dyDescent="0.4">
      <c r="A17" s="13" t="s">
        <v>32</v>
      </c>
      <c r="B17" s="25" t="s">
        <v>58</v>
      </c>
      <c r="C17" s="14" t="s">
        <v>12</v>
      </c>
      <c r="D17" s="13">
        <v>10</v>
      </c>
      <c r="E17" s="8">
        <f t="shared" si="0"/>
        <v>1</v>
      </c>
      <c r="F17" s="15">
        <v>1.5</v>
      </c>
      <c r="G17" s="15">
        <v>1</v>
      </c>
      <c r="H17" s="15">
        <v>3</v>
      </c>
      <c r="I17" s="13"/>
      <c r="J17" s="13">
        <f t="shared" si="1"/>
        <v>1</v>
      </c>
      <c r="K17" s="24">
        <f t="shared" si="2"/>
        <v>1</v>
      </c>
      <c r="L17" s="24">
        <v>1.1547058823529412</v>
      </c>
      <c r="M17" s="13" t="str">
        <f t="shared" si="3"/>
        <v>Minimum quality standard</v>
      </c>
      <c r="N17" s="23">
        <f t="shared" si="4"/>
        <v>1</v>
      </c>
    </row>
    <row r="18" spans="1:14" ht="15.4" x14ac:dyDescent="0.5">
      <c r="A18" s="13" t="s">
        <v>33</v>
      </c>
      <c r="B18" s="13" t="s">
        <v>37</v>
      </c>
      <c r="C18" s="14" t="s">
        <v>12</v>
      </c>
      <c r="D18" s="13">
        <v>1000</v>
      </c>
      <c r="E18" s="8">
        <f t="shared" si="0"/>
        <v>100</v>
      </c>
      <c r="F18" s="15">
        <v>250</v>
      </c>
      <c r="G18" s="15">
        <v>400</v>
      </c>
      <c r="H18" s="15"/>
      <c r="I18" s="13"/>
      <c r="J18" s="13">
        <f t="shared" si="1"/>
        <v>250</v>
      </c>
      <c r="K18" s="24">
        <f t="shared" si="2"/>
        <v>0.4</v>
      </c>
      <c r="L18" s="24">
        <v>153.25291902071567</v>
      </c>
      <c r="M18" s="13" t="str">
        <f t="shared" si="3"/>
        <v>Mean background</v>
      </c>
      <c r="N18" s="24">
        <f t="shared" si="4"/>
        <v>0.65251611936006715</v>
      </c>
    </row>
    <row r="19" spans="1:14" s="35" customFormat="1" ht="15.75" x14ac:dyDescent="0.5">
      <c r="A19" s="37" t="s">
        <v>78</v>
      </c>
      <c r="B19" s="37" t="s">
        <v>85</v>
      </c>
      <c r="C19" s="44" t="s">
        <v>15</v>
      </c>
      <c r="D19" s="37"/>
      <c r="E19" s="52">
        <f>'Toluene source term'!B5</f>
        <v>0.86950220998478367</v>
      </c>
      <c r="F19" s="39"/>
      <c r="G19" s="39">
        <v>7.3999999999999996E-2</v>
      </c>
      <c r="H19" s="39">
        <v>0.38</v>
      </c>
      <c r="I19" s="37">
        <v>4.0000000000000001E-3</v>
      </c>
      <c r="J19" s="37">
        <f t="shared" si="1"/>
        <v>4.0000000000000001E-3</v>
      </c>
      <c r="K19" s="45">
        <f t="shared" si="2"/>
        <v>217.37555249619592</v>
      </c>
      <c r="L19" s="37">
        <v>0</v>
      </c>
      <c r="M19" s="37" t="s">
        <v>79</v>
      </c>
      <c r="N19" s="46">
        <f t="shared" si="4"/>
        <v>217.37555249619592</v>
      </c>
    </row>
    <row r="20" spans="1:14" ht="14.25" x14ac:dyDescent="0.35">
      <c r="A20" s="13" t="s">
        <v>38</v>
      </c>
      <c r="B20" s="8"/>
      <c r="C20" s="14" t="s">
        <v>12</v>
      </c>
      <c r="D20" s="13">
        <v>1</v>
      </c>
      <c r="E20" s="8">
        <f t="shared" si="0"/>
        <v>0.1</v>
      </c>
      <c r="F20" s="15"/>
      <c r="G20" s="15">
        <v>7.7000000000000002E-3</v>
      </c>
      <c r="H20" s="15">
        <v>4.5999999999999999E-2</v>
      </c>
      <c r="I20" s="13"/>
      <c r="J20" s="13">
        <f>IF(MIN(F20:I20)=0,"",MIN(F20:I20))</f>
        <v>7.7000000000000002E-3</v>
      </c>
      <c r="K20" s="24">
        <f t="shared" si="2"/>
        <v>12.987012987012987</v>
      </c>
      <c r="L20" s="13"/>
      <c r="M20" s="13" t="str">
        <f t="shared" si="3"/>
        <v>Minimum quality standard</v>
      </c>
      <c r="N20" s="32">
        <f t="shared" si="4"/>
        <v>12.987012987012987</v>
      </c>
    </row>
    <row r="21" spans="1:14" ht="14.25" x14ac:dyDescent="0.35">
      <c r="A21" s="13" t="s">
        <v>39</v>
      </c>
      <c r="B21" s="8"/>
      <c r="C21" s="14" t="s">
        <v>12</v>
      </c>
      <c r="D21" s="13">
        <v>500</v>
      </c>
      <c r="E21" s="8">
        <f t="shared" si="0"/>
        <v>50</v>
      </c>
      <c r="F21" s="15"/>
      <c r="G21" s="15"/>
      <c r="H21" s="15"/>
      <c r="I21" s="13"/>
      <c r="J21" s="13" t="str">
        <f t="shared" si="1"/>
        <v/>
      </c>
      <c r="K21" s="24" t="str">
        <f>IFERROR(#REF!/J21,"")</f>
        <v/>
      </c>
      <c r="L21" s="13"/>
      <c r="M21" s="13" t="str">
        <f t="shared" si="3"/>
        <v/>
      </c>
      <c r="N21" s="24" t="str">
        <f>IFERROR($E21/MAX($J21,L21),"")</f>
        <v/>
      </c>
    </row>
    <row r="22" spans="1:14" ht="14.25" x14ac:dyDescent="0.35">
      <c r="A22" s="13" t="s">
        <v>40</v>
      </c>
      <c r="B22" s="8"/>
      <c r="C22" s="14" t="s">
        <v>12</v>
      </c>
      <c r="D22" s="13">
        <v>4000</v>
      </c>
      <c r="E22" s="8">
        <f t="shared" si="0"/>
        <v>400</v>
      </c>
      <c r="F22" s="15"/>
      <c r="G22" s="15"/>
      <c r="H22" s="15"/>
      <c r="I22" s="13"/>
      <c r="J22" s="13" t="str">
        <f t="shared" si="1"/>
        <v/>
      </c>
      <c r="K22" s="24" t="str">
        <f>IFERROR(#REF!/J22,"")</f>
        <v/>
      </c>
      <c r="L22" s="13"/>
      <c r="M22" s="13" t="str">
        <f t="shared" si="3"/>
        <v/>
      </c>
      <c r="N22" s="24" t="str">
        <f>IFERROR($E22/MAX($J22,L22),"")</f>
        <v/>
      </c>
    </row>
    <row r="24" spans="1:14" ht="13.15" x14ac:dyDescent="0.4">
      <c r="A24" s="1" t="s">
        <v>71</v>
      </c>
    </row>
    <row r="25" spans="1:14" x14ac:dyDescent="0.35">
      <c r="A25" s="35" t="s">
        <v>62</v>
      </c>
      <c r="B25" s="36" t="s">
        <v>66</v>
      </c>
      <c r="C25" s="35"/>
      <c r="D25" s="35"/>
    </row>
    <row r="26" spans="1:14" x14ac:dyDescent="0.35">
      <c r="A26" t="s">
        <v>64</v>
      </c>
      <c r="B26" s="30" t="s">
        <v>65</v>
      </c>
    </row>
    <row r="28" spans="1:14" ht="13.15" x14ac:dyDescent="0.4">
      <c r="A28" s="1" t="s">
        <v>67</v>
      </c>
      <c r="B28" t="s">
        <v>69</v>
      </c>
    </row>
    <row r="30" spans="1:14" ht="13.15" x14ac:dyDescent="0.4">
      <c r="A30" s="1" t="s">
        <v>63</v>
      </c>
    </row>
    <row r="31" spans="1:14" x14ac:dyDescent="0.35">
      <c r="A31" s="29"/>
      <c r="B31" t="s">
        <v>73</v>
      </c>
    </row>
    <row r="32" spans="1:14" x14ac:dyDescent="0.35">
      <c r="A32" s="18"/>
    </row>
    <row r="33" spans="1:6" ht="13.15" x14ac:dyDescent="0.4">
      <c r="A33" s="1" t="s">
        <v>34</v>
      </c>
      <c r="B33" s="1"/>
    </row>
    <row r="34" spans="1:6" ht="15" x14ac:dyDescent="0.4">
      <c r="A34" t="s">
        <v>35</v>
      </c>
    </row>
    <row r="35" spans="1:6" ht="15" x14ac:dyDescent="0.4">
      <c r="A35" t="s">
        <v>41</v>
      </c>
      <c r="F35" s="12"/>
    </row>
    <row r="36" spans="1:6" ht="15" x14ac:dyDescent="0.4">
      <c r="A36" t="s">
        <v>42</v>
      </c>
      <c r="F36" s="12"/>
    </row>
    <row r="37" spans="1:6" ht="15" x14ac:dyDescent="0.4">
      <c r="A37" t="s">
        <v>81</v>
      </c>
    </row>
    <row r="38" spans="1:6" ht="15" x14ac:dyDescent="0.4">
      <c r="A38" t="s">
        <v>44</v>
      </c>
    </row>
    <row r="39" spans="1:6" ht="15" x14ac:dyDescent="0.4">
      <c r="A39" t="s">
        <v>45</v>
      </c>
    </row>
    <row r="40" spans="1:6" ht="15" x14ac:dyDescent="0.4">
      <c r="A40" t="s">
        <v>96</v>
      </c>
    </row>
    <row r="41" spans="1:6" ht="15" x14ac:dyDescent="0.4">
      <c r="A41" t="s">
        <v>47</v>
      </c>
    </row>
    <row r="42" spans="1:6" ht="15" x14ac:dyDescent="0.4">
      <c r="A42" t="s">
        <v>50</v>
      </c>
    </row>
    <row r="43" spans="1:6" ht="15" x14ac:dyDescent="0.4">
      <c r="A43" t="s">
        <v>51</v>
      </c>
    </row>
    <row r="44" spans="1:6" ht="15" x14ac:dyDescent="0.4">
      <c r="A44" t="s">
        <v>52</v>
      </c>
    </row>
    <row r="45" spans="1:6" ht="15" x14ac:dyDescent="0.4">
      <c r="A45" t="s">
        <v>74</v>
      </c>
    </row>
    <row r="46" spans="1:6" ht="15" x14ac:dyDescent="0.4">
      <c r="A46" t="s">
        <v>57</v>
      </c>
    </row>
    <row r="47" spans="1:6" ht="15" x14ac:dyDescent="0.4">
      <c r="A47" s="26" t="s">
        <v>59</v>
      </c>
      <c r="F47" s="12"/>
    </row>
    <row r="48" spans="1:6" ht="15" x14ac:dyDescent="0.4">
      <c r="A48" s="26" t="s">
        <v>80</v>
      </c>
      <c r="F48" s="12"/>
    </row>
    <row r="49" spans="1:6" x14ac:dyDescent="0.35">
      <c r="A49" t="s">
        <v>61</v>
      </c>
    </row>
    <row r="51" spans="1:6" x14ac:dyDescent="0.35">
      <c r="F51" s="12"/>
    </row>
  </sheetData>
  <mergeCells count="3">
    <mergeCell ref="D1:E1"/>
    <mergeCell ref="G1:H1"/>
    <mergeCell ref="L1:N1"/>
  </mergeCells>
  <pageMargins left="0.70866141732283472" right="0.70866141732283472" top="0.74803149606299213" bottom="0.74803149606299213" header="0.31496062992125984" footer="0.31496062992125984"/>
  <pageSetup paperSize="8" scale="85" orientation="landscape" horizontalDpi="4294967293" r:id="rId1"/>
  <headerFooter>
    <oddHeader>&amp;L&amp;"Arial,Bold"&amp;11TARMAC&amp;C&amp;"Arial,Bold"&amp;11
&amp;G&amp;R&amp;"Arial,Bold"&amp;11ALREWAS QUARRY</oddHeader>
    <oddFooter xml:space="preserve">&amp;L&amp;11TAR/SAN/AKM/5648/01
November 2022&amp;10
&amp;"Arial,Italic"&amp;8&amp;F&amp;C&amp;G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7B26-9CF9-4DCB-87A5-D25B35496C87}">
  <dimension ref="A1:C5"/>
  <sheetViews>
    <sheetView workbookViewId="0">
      <selection activeCell="B6" sqref="B6"/>
    </sheetView>
  </sheetViews>
  <sheetFormatPr defaultRowHeight="14.25" x14ac:dyDescent="0.45"/>
  <cols>
    <col min="1" max="1" width="36.86328125" style="50" bestFit="1" customWidth="1"/>
    <col min="2" max="2" width="11" style="50" bestFit="1" customWidth="1"/>
    <col min="3" max="3" width="88.796875" style="50" bestFit="1" customWidth="1"/>
    <col min="4" max="16384" width="9.06640625" style="50"/>
  </cols>
  <sheetData>
    <row r="1" spans="1:3" ht="15.75" x14ac:dyDescent="0.55000000000000004">
      <c r="A1" s="49" t="s">
        <v>86</v>
      </c>
      <c r="B1" s="49">
        <v>186.5</v>
      </c>
      <c r="C1" s="49" t="s">
        <v>87</v>
      </c>
    </row>
    <row r="2" spans="1:3" ht="15.75" x14ac:dyDescent="0.55000000000000004">
      <c r="A2" s="49" t="s">
        <v>88</v>
      </c>
      <c r="B2" s="49">
        <v>3.6999999999999998E-2</v>
      </c>
      <c r="C2" s="49" t="s">
        <v>89</v>
      </c>
    </row>
    <row r="3" spans="1:3" ht="15.75" x14ac:dyDescent="0.55000000000000004">
      <c r="A3" s="49" t="s">
        <v>90</v>
      </c>
      <c r="B3" s="49">
        <v>6.9005000000000001</v>
      </c>
      <c r="C3" s="49" t="s">
        <v>91</v>
      </c>
    </row>
    <row r="4" spans="1:3" x14ac:dyDescent="0.45">
      <c r="A4" s="49" t="s">
        <v>92</v>
      </c>
      <c r="B4" s="49">
        <v>6</v>
      </c>
      <c r="C4" s="49" t="s">
        <v>93</v>
      </c>
    </row>
    <row r="5" spans="1:3" x14ac:dyDescent="0.45">
      <c r="A5" s="49" t="s">
        <v>94</v>
      </c>
      <c r="B5" s="51">
        <f>B4/B3</f>
        <v>0.86950220998478367</v>
      </c>
      <c r="C5" s="49" t="s">
        <v>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64CCF2290A9227498CBA22780DE46CFA" ma:contentTypeVersion="44" ma:contentTypeDescription="Create a new document." ma:contentTypeScope="" ma:versionID="94bb4e09b28e1feae55f3438729693e9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9a785deb-a762-4798-bcdc-303564f53cb0" targetNamespace="http://schemas.microsoft.com/office/2006/metadata/properties" ma:root="true" ma:fieldsID="ede022386e9fe758cb89ead7642d8ae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9a785deb-a762-4798-bcdc-303564f53cb0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lcf76f155ced4ddcb4097134ff3c332f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-1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5deb-a762-4798-bcdc-303564f53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5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5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6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2022-12-06T00:00:00+00:00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EAWML 407974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EPR/KB3706CE</OtherReference>
    <EventLink xmlns="5ffd8e36-f429-4edc-ab50-c5be84842779" xsi:nil="true"/>
    <Customer_x002f_OperatorName xmlns="eebef177-55b5-4448-a5fb-28ea454417ee">Tarmac Trading Ltd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2022-12-06T00:00:00+00:00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lcf76f155ced4ddcb4097134ff3c332f xmlns="9a785deb-a762-4798-bcdc-303564f53cb0">
      <Terms xmlns="http://schemas.microsoft.com/office/infopath/2007/PartnerControls"/>
    </lcf76f155ced4ddcb4097134ff3c332f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 xsi:nil="true"/>
    <FacilityAddressPostcode xmlns="eebef177-55b5-4448-a5fb-28ea454417ee">DE13 7LR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41</Value>
      <Value>40</Value>
      <Value>11</Value>
      <Value>32</Value>
      <Value>14</Value>
    </TaxCatchAll>
    <ExternalAuthor xmlns="eebef177-55b5-4448-a5fb-28ea454417ee">Tarmac Trading Ltd</ExternalAuthor>
    <SiteName xmlns="eebef177-55b5-4448-a5fb-28ea454417ee">Alrewas Quarry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Croxhall Road, Alrewas, Staffordshire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25178961-1113-436B-98A1-E2EF6821A39E}"/>
</file>

<file path=customXml/itemProps2.xml><?xml version="1.0" encoding="utf-8"?>
<ds:datastoreItem xmlns:ds="http://schemas.openxmlformats.org/officeDocument/2006/customXml" ds:itemID="{0F0B9C30-4D5C-4050-BB70-00FCD35C0D01}"/>
</file>

<file path=customXml/itemProps3.xml><?xml version="1.0" encoding="utf-8"?>
<ds:datastoreItem xmlns:ds="http://schemas.openxmlformats.org/officeDocument/2006/customXml" ds:itemID="{308BD0B6-B32A-4D00-B0B6-29382F3042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Database</vt:lpstr>
      <vt:lpstr>Toluene source term</vt:lpstr>
      <vt:lpstr>Database!Print_Area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CJC</dc:creator>
  <cp:lastModifiedBy>CJC</cp:lastModifiedBy>
  <cp:lastPrinted>2022-06-08T11:34:11Z</cp:lastPrinted>
  <dcterms:created xsi:type="dcterms:W3CDTF">2021-03-25T10:15:30Z</dcterms:created>
  <dcterms:modified xsi:type="dcterms:W3CDTF">2022-12-06T16:37:16Z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0x0101000E9AD557692E154F9D2697C8C6432F760064CCF2290A9227498CBA22780DE46CFA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RegulatedActivitySub-Class">
    <vt:lpwstr/>
  </property>
  <property fmtid="{D5CDD505-2E9C-101B-9397-08002B2CF9AE}" pid="8" name="EventType1">
    <vt:lpwstr/>
  </property>
  <property fmtid="{D5CDD505-2E9C-101B-9397-08002B2CF9AE}" pid="9" name="ActivityGrouping">
    <vt:lpwstr>14;#Application ＆ Associated Docs|5eadfd3c-6deb-44e1-b7e1-16accd427bec</vt:lpwstr>
  </property>
  <property fmtid="{D5CDD505-2E9C-101B-9397-08002B2CF9AE}" pid="10" name="RegulatedActivityClass">
    <vt:lpwstr>40;#Waste Operations|dc63c9b7-da6e-463c-b2cf-265b08d49156</vt:lpwstr>
  </property>
  <property fmtid="{D5CDD505-2E9C-101B-9397-08002B2CF9AE}" pid="11" name="Catchment">
    <vt:lpwstr/>
  </property>
  <property fmtid="{D5CDD505-2E9C-101B-9397-08002B2CF9AE}" pid="12" name="MajorProjectID">
    <vt:lpwstr/>
  </property>
  <property fmtid="{D5CDD505-2E9C-101B-9397-08002B2CF9AE}" pid="13" name="StandardRulesID">
    <vt:lpwstr/>
  </property>
  <property fmtid="{D5CDD505-2E9C-101B-9397-08002B2CF9AE}" pid="14" name="CessationStatus">
    <vt:lpwstr/>
  </property>
  <property fmtid="{D5CDD505-2E9C-101B-9397-08002B2CF9AE}" pid="15" name="Regime">
    <vt:lpwstr>11;#EPR|0e5af97d-1a8c-4d8f-a20b-528a11cab1f6</vt:lpwstr>
  </property>
  <property fmtid="{D5CDD505-2E9C-101B-9397-08002B2CF9AE}" pid="16" name="SysUpdateNoER">
    <vt:lpwstr>No</vt:lpwstr>
  </property>
</Properties>
</file>