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QA Sheet" sheetId="1" r:id="rId1"/>
    <sheet name="Restored RA" sheetId="2" r:id="rId2"/>
    <sheet name="Operational RA" sheetId="3" r:id="rId3"/>
  </sheets>
  <externalReferences>
    <externalReference r:id="rId6"/>
    <externalReference r:id="rId7"/>
  </externalReferences>
  <definedNames>
    <definedName name="Acap">#REF!</definedName>
    <definedName name="Area_contact">#REF!</definedName>
    <definedName name="Base_Area">#REF!</definedName>
    <definedName name="CM">'[1]Calculations'!$E$5</definedName>
    <definedName name="Eff_Rain">#REF!</definedName>
    <definedName name="h_clcap">#REF!</definedName>
    <definedName name="Head_inLF">#REF!</definedName>
    <definedName name="Head_outLF">#REF!</definedName>
    <definedName name="kcap">#REF!</definedName>
    <definedName name="kdrain">#REF!</definedName>
    <definedName name="Length_LF">#REF!</definedName>
    <definedName name="LFbase_elev">#REF!</definedName>
    <definedName name="perim">#REF!</definedName>
    <definedName name="Phase_2">#REF!</definedName>
    <definedName name="Phase_3">#REF!</definedName>
    <definedName name="Q_clcap">#REF!</definedName>
    <definedName name="Q_drain">#REF!</definedName>
    <definedName name="Q_er">#REF!</definedName>
    <definedName name="RO">#REF!</definedName>
    <definedName name="s_per_year">'[2]Simulation'!$L$5</definedName>
    <definedName name="slope">#REF!</definedName>
    <definedName name="tcap">#REF!</definedName>
    <definedName name="tdrain">#REF!</definedName>
    <definedName name="thick_cl">#REF!</definedName>
    <definedName name="Width_LF">#REF!</definedName>
  </definedNames>
  <calcPr fullCalcOnLoad="1"/>
</workbook>
</file>

<file path=xl/comments1.xml><?xml version="1.0" encoding="utf-8"?>
<comments xmlns="http://schemas.openxmlformats.org/spreadsheetml/2006/main">
  <authors>
    <author>Paul Daily</author>
  </authors>
  <commentList>
    <comment ref="B14" authorId="0">
      <text>
        <r>
          <rPr>
            <b/>
            <sz val="9"/>
            <rFont val="Tahoma"/>
            <family val="2"/>
          </rPr>
          <t>Paul Daily:</t>
        </r>
        <r>
          <rPr>
            <sz val="9"/>
            <rFont val="Tahoma"/>
            <family val="2"/>
          </rPr>
          <t xml:space="preserve">
Lists files which provide input to the process (source data).  These may be spreadsheet, csv or text file format.</t>
        </r>
      </text>
    </comment>
    <comment ref="B32" authorId="0">
      <text>
        <r>
          <rPr>
            <b/>
            <sz val="9"/>
            <rFont val="Tahoma"/>
            <family val="2"/>
          </rPr>
          <t>Paul Daily:</t>
        </r>
        <r>
          <rPr>
            <sz val="9"/>
            <rFont val="Tahoma"/>
            <family val="2"/>
          </rPr>
          <t xml:space="preserve">
The project amanger should insert their name here to confirm the decision</t>
        </r>
      </text>
    </comment>
    <comment ref="B31" authorId="0">
      <text>
        <r>
          <rPr>
            <b/>
            <sz val="9"/>
            <rFont val="Tahoma"/>
            <family val="2"/>
          </rPr>
          <t>Paul Daily:</t>
        </r>
        <r>
          <rPr>
            <sz val="9"/>
            <rFont val="Tahoma"/>
            <family val="2"/>
          </rPr>
          <t xml:space="preserve">
This defines whether an independent chedck is required.  The decision is made by the project manager depednent on the criticality of the calculations in the workbook to the outcome of the project.</t>
        </r>
      </text>
    </comment>
    <comment ref="B20" authorId="0">
      <text>
        <r>
          <rPr>
            <b/>
            <sz val="9"/>
            <rFont val="Tahoma"/>
            <family val="2"/>
          </rPr>
          <t>Paul Daily:</t>
        </r>
        <r>
          <rPr>
            <sz val="9"/>
            <rFont val="Tahoma"/>
            <family val="2"/>
          </rPr>
          <t xml:space="preserve">
Insert the name of the self checker</t>
        </r>
      </text>
    </comment>
  </commentList>
</comments>
</file>

<file path=xl/comments2.xml><?xml version="1.0" encoding="utf-8"?>
<comments xmlns="http://schemas.openxmlformats.org/spreadsheetml/2006/main">
  <authors>
    <author>Sears, Rob</author>
    <author>tc={5AAF5D04-0566-4980-B33B-75D8697935D5}</author>
  </authors>
  <commentList>
    <comment ref="B10" authorId="0">
      <text>
        <r>
          <rPr>
            <b/>
            <sz val="9"/>
            <rFont val="Tahoma"/>
            <family val="2"/>
          </rPr>
          <t>Sears, Rob:</t>
        </r>
        <r>
          <rPr>
            <sz val="9"/>
            <rFont val="Tahoma"/>
            <family val="2"/>
          </rPr>
          <t xml:space="preserve">
 Drains to filter drains south - shallow</t>
        </r>
      </text>
    </comment>
    <comment ref="C10" authorId="0">
      <text>
        <r>
          <rPr>
            <b/>
            <sz val="9"/>
            <rFont val="Tahoma"/>
            <family val="2"/>
          </rPr>
          <t>Sears, Rob:</t>
        </r>
        <r>
          <rPr>
            <sz val="9"/>
            <rFont val="Tahoma"/>
            <family val="2"/>
          </rPr>
          <t xml:space="preserve">
 Drains to filter drains south - steep</t>
        </r>
      </text>
    </comment>
    <comment ref="D10" authorId="0">
      <text>
        <r>
          <rPr>
            <b/>
            <sz val="9"/>
            <rFont val="Tahoma"/>
            <family val="2"/>
          </rPr>
          <t>Sears, Rob:</t>
        </r>
        <r>
          <rPr>
            <sz val="9"/>
            <rFont val="Tahoma"/>
            <family val="2"/>
          </rPr>
          <t xml:space="preserve">
Drains to filter drains north</t>
        </r>
      </text>
    </comment>
    <comment ref="F10" authorId="0">
      <text>
        <r>
          <rPr>
            <b/>
            <sz val="9"/>
            <rFont val="Tahoma"/>
            <family val="2"/>
          </rPr>
          <t>Sears, Rob:</t>
        </r>
        <r>
          <rPr>
            <sz val="9"/>
            <rFont val="Tahoma"/>
            <family val="2"/>
          </rPr>
          <t xml:space="preserve">
 Drains to pond</t>
        </r>
      </text>
    </comment>
    <comment ref="B18" authorId="1">
      <text>
        <r>
          <rPr>
            <sz val="8"/>
            <color theme="1"/>
            <rFont val="Arial"/>
            <family val="2"/>
          </rPr>
          <t>[Threaded comment]
Your version of Excel allows you to read this threaded comment; however, any edits to it will get removed if the file is opened in a newer version of Excel. Learn more: https://go.microsoft.com/fwlink/?linkid=870924
Comment:
    L/S = 10 Divide by 10 to convert to aqueous</t>
        </r>
      </text>
    </comment>
  </commentList>
</comments>
</file>

<file path=xl/sharedStrings.xml><?xml version="1.0" encoding="utf-8"?>
<sst xmlns="http://schemas.openxmlformats.org/spreadsheetml/2006/main" count="276" uniqueCount="174">
  <si>
    <t>Author</t>
  </si>
  <si>
    <t>Created date</t>
  </si>
  <si>
    <t>Amended date</t>
  </si>
  <si>
    <t>Modifier</t>
  </si>
  <si>
    <t>Self checking section</t>
  </si>
  <si>
    <t>Formulas checked</t>
  </si>
  <si>
    <t>Input data checked</t>
  </si>
  <si>
    <t>Version</t>
  </si>
  <si>
    <t>File reference</t>
  </si>
  <si>
    <t>File information and history</t>
  </si>
  <si>
    <t>Self check comments</t>
  </si>
  <si>
    <t>Independent check required</t>
  </si>
  <si>
    <t>Project Manager confirmation</t>
  </si>
  <si>
    <t>Source file 1</t>
  </si>
  <si>
    <t>Source file 2</t>
  </si>
  <si>
    <t>Source file 3</t>
  </si>
  <si>
    <t>Project Manager</t>
  </si>
  <si>
    <t>Checker information</t>
  </si>
  <si>
    <t>Checking complete</t>
  </si>
  <si>
    <t>Check type</t>
  </si>
  <si>
    <t>Source data file information (enter as hyperlinks)</t>
  </si>
  <si>
    <t>Check complete</t>
  </si>
  <si>
    <t>Checker comments</t>
  </si>
  <si>
    <t>Spot check of calculations</t>
  </si>
  <si>
    <t>Outputs/figures checked</t>
  </si>
  <si>
    <t>Comprehensive check of calculations</t>
  </si>
  <si>
    <t>Full check of calculations and outputs/figures</t>
  </si>
  <si>
    <t>Yes</t>
  </si>
  <si>
    <t>No</t>
  </si>
  <si>
    <t>Not required</t>
  </si>
  <si>
    <t>Independent checker</t>
  </si>
  <si>
    <t>Value</t>
  </si>
  <si>
    <t>Unit</t>
  </si>
  <si>
    <t>m3/s</t>
  </si>
  <si>
    <t>Justification</t>
  </si>
  <si>
    <t>Infiltration</t>
  </si>
  <si>
    <t>Effective rainfall</t>
  </si>
  <si>
    <t>mm/a</t>
  </si>
  <si>
    <t>Based on hydrometric data from MORECS Square 137</t>
  </si>
  <si>
    <t>m2</t>
  </si>
  <si>
    <t>m/s</t>
  </si>
  <si>
    <t>m</t>
  </si>
  <si>
    <t>Measured off GIS</t>
  </si>
  <si>
    <t>Area</t>
  </si>
  <si>
    <t>Area1</t>
  </si>
  <si>
    <t>Area2</t>
  </si>
  <si>
    <t>Area3</t>
  </si>
  <si>
    <t>Area4</t>
  </si>
  <si>
    <t>Rainfall</t>
  </si>
  <si>
    <t>Runoff volume</t>
  </si>
  <si>
    <t>Total rainfall</t>
  </si>
  <si>
    <t>Runoff to filter drain</t>
  </si>
  <si>
    <t>Area 5</t>
  </si>
  <si>
    <t>Pond</t>
  </si>
  <si>
    <t>Runoff to Pond</t>
  </si>
  <si>
    <t>Dilution volumes</t>
  </si>
  <si>
    <t>Runoff prop</t>
  </si>
  <si>
    <t>Sulphate</t>
  </si>
  <si>
    <t>Determinand</t>
  </si>
  <si>
    <t>Source conc (mg/l)</t>
  </si>
  <si>
    <t>Arsenic</t>
  </si>
  <si>
    <t>Barium</t>
  </si>
  <si>
    <t>Cadmium</t>
  </si>
  <si>
    <t>Chromium</t>
  </si>
  <si>
    <t>Copper</t>
  </si>
  <si>
    <t>Mercury</t>
  </si>
  <si>
    <t>Molybdenum</t>
  </si>
  <si>
    <t>Nickel</t>
  </si>
  <si>
    <t>Lead</t>
  </si>
  <si>
    <t>Antimony</t>
  </si>
  <si>
    <t>Selenium</t>
  </si>
  <si>
    <t>Zinc</t>
  </si>
  <si>
    <t>Chloride</t>
  </si>
  <si>
    <t>Fluoride</t>
  </si>
  <si>
    <t>Notes</t>
  </si>
  <si>
    <t>Alkalinity &gt; 200 mg/l</t>
  </si>
  <si>
    <t>No EQS, use DWS</t>
  </si>
  <si>
    <t>Pass Pond</t>
  </si>
  <si>
    <t>EAL (mg/l)</t>
  </si>
  <si>
    <t>Pond Assessment</t>
  </si>
  <si>
    <t>10% EQS</t>
  </si>
  <si>
    <t>Pass Test 1</t>
  </si>
  <si>
    <t>Pass Test 2</t>
  </si>
  <si>
    <t>Pass Test 4</t>
  </si>
  <si>
    <t>PC (mg/l)</t>
  </si>
  <si>
    <t>Sum 1,2, 3</t>
  </si>
  <si>
    <t>4% EQS</t>
  </si>
  <si>
    <t>Sow Brook</t>
  </si>
  <si>
    <t>Sow Brook Mean (mg/l)</t>
  </si>
  <si>
    <t>Sow Brook mean not determinable, used 95th percentile</t>
  </si>
  <si>
    <t>Sow Brook total chromium. Mean not determinable, used 95th percentile</t>
  </si>
  <si>
    <t>Sow Brook mean &amp; 95th %ile not determinable, used max</t>
  </si>
  <si>
    <t>Diluted concentration in pond (mg/l)</t>
  </si>
  <si>
    <t>Diluted concentration in sump (mg/l)</t>
  </si>
  <si>
    <t>95%ile flow</t>
  </si>
  <si>
    <t>PEC (mg/l)</t>
  </si>
  <si>
    <t>Pass Test 3</t>
  </si>
  <si>
    <t>PEC-BC (mg/l)</t>
  </si>
  <si>
    <t>RCS</t>
  </si>
  <si>
    <t>Attenuation Pond</t>
  </si>
  <si>
    <t>Hydraulic conductivity of waste</t>
  </si>
  <si>
    <t>Thickness</t>
  </si>
  <si>
    <t>Topographic gradient</t>
  </si>
  <si>
    <t>Discharge to pond</t>
  </si>
  <si>
    <t xml:space="preserve">LowFlows software v2 </t>
  </si>
  <si>
    <t>Depth</t>
  </si>
  <si>
    <t>Assume leachate has same gradient as topography</t>
  </si>
  <si>
    <t>Discharge to filter drain - south</t>
  </si>
  <si>
    <t>Discharge to filter drain - north</t>
  </si>
  <si>
    <t>Total leachate discharge</t>
  </si>
  <si>
    <t>Pumping station</t>
  </si>
  <si>
    <t>Filter drain length - north</t>
  </si>
  <si>
    <t>Filter drain length - south</t>
  </si>
  <si>
    <t>Filter drain 4m below ground level at pumping station, rising to 2m below ground at eastern end.</t>
  </si>
  <si>
    <t>Total sump discharge (runoff + leachate)</t>
  </si>
  <si>
    <t>Leachate water balance</t>
  </si>
  <si>
    <t>ESSD Report</t>
  </si>
  <si>
    <t>Landfill Area</t>
  </si>
  <si>
    <t>Effective rainfall flux</t>
  </si>
  <si>
    <t>Leachate discharge to attenuation pond</t>
  </si>
  <si>
    <t>Leachate discharge to pumping station</t>
  </si>
  <si>
    <t>Leachate discharge to groundwater</t>
  </si>
  <si>
    <t>Mid point perimeter</t>
  </si>
  <si>
    <t>Side area</t>
  </si>
  <si>
    <t>Required gradient</t>
  </si>
  <si>
    <t>Aquifer hydraulic conductivity</t>
  </si>
  <si>
    <t>Sum of Areas 1 - 5</t>
  </si>
  <si>
    <t>Effective rainfall * area</t>
  </si>
  <si>
    <t>See Table 1.3</t>
  </si>
  <si>
    <t>See Table 1.2</t>
  </si>
  <si>
    <t>Balance of infiltration and discharge to attenuation pond and pumping station</t>
  </si>
  <si>
    <t>H1 Assessment for discharge - restored phase</t>
  </si>
  <si>
    <t>Parameter</t>
  </si>
  <si>
    <t>Maximum pumping rate limited by pump capacity</t>
  </si>
  <si>
    <t>Leachate discharge to sump</t>
  </si>
  <si>
    <t>expected</t>
  </si>
  <si>
    <t>min</t>
  </si>
  <si>
    <t>max</t>
  </si>
  <si>
    <t>Height of water table at observation well 1</t>
  </si>
  <si>
    <r>
      <t>h</t>
    </r>
    <r>
      <rPr>
        <vertAlign val="subscript"/>
        <sz val="10"/>
        <rFont val="Arial"/>
        <family val="2"/>
      </rPr>
      <t>1</t>
    </r>
  </si>
  <si>
    <t>Distance to observation well 1</t>
  </si>
  <si>
    <r>
      <t>r</t>
    </r>
    <r>
      <rPr>
        <vertAlign val="subscript"/>
        <sz val="10"/>
        <rFont val="Arial"/>
        <family val="2"/>
      </rPr>
      <t>1</t>
    </r>
  </si>
  <si>
    <t>Height of water table at observation well 2</t>
  </si>
  <si>
    <r>
      <t>h</t>
    </r>
    <r>
      <rPr>
        <vertAlign val="subscript"/>
        <sz val="10"/>
        <rFont val="Arial"/>
        <family val="2"/>
      </rPr>
      <t>2</t>
    </r>
  </si>
  <si>
    <t>Distance to observation well 2</t>
  </si>
  <si>
    <r>
      <t>r</t>
    </r>
    <r>
      <rPr>
        <vertAlign val="subscript"/>
        <sz val="10"/>
        <rFont val="Arial"/>
        <family val="2"/>
      </rPr>
      <t>2</t>
    </r>
  </si>
  <si>
    <t>Hydraulic conductivity of aquifer</t>
  </si>
  <si>
    <t>K</t>
  </si>
  <si>
    <t>m/d</t>
  </si>
  <si>
    <t>Total discharge from well</t>
  </si>
  <si>
    <t>Q</t>
  </si>
  <si>
    <r>
      <t>m</t>
    </r>
    <r>
      <rPr>
        <vertAlign val="superscript"/>
        <sz val="10"/>
        <rFont val="Arial"/>
        <family val="2"/>
      </rPr>
      <t>3</t>
    </r>
    <r>
      <rPr>
        <sz val="10"/>
        <rFont val="Arial"/>
        <family val="2"/>
      </rPr>
      <t>/d</t>
    </r>
  </si>
  <si>
    <t>Width of excavation</t>
  </si>
  <si>
    <t>a</t>
  </si>
  <si>
    <t>Length of excavation</t>
  </si>
  <si>
    <t>b</t>
  </si>
  <si>
    <t>Effective circular radius</t>
  </si>
  <si>
    <r>
      <t>r</t>
    </r>
    <r>
      <rPr>
        <vertAlign val="subscript"/>
        <sz val="10"/>
        <rFont val="Arial"/>
        <family val="2"/>
      </rPr>
      <t>e</t>
    </r>
  </si>
  <si>
    <t>Clean water</t>
  </si>
  <si>
    <t>Estimated from dupuit-Theim</t>
  </si>
  <si>
    <t>Difference</t>
  </si>
  <si>
    <t>H1 Assessment for discharge - operational phase</t>
  </si>
  <si>
    <t>LF</t>
  </si>
  <si>
    <t>RO</t>
  </si>
  <si>
    <t>Current pumping rate</t>
  </si>
  <si>
    <t>No EQS or DWS.  Used 95th %ile of current Site waterbody water quality</t>
  </si>
  <si>
    <t>V02</t>
  </si>
  <si>
    <t>Updated areas and slopes based on updated drainage drawing DESID14</t>
  </si>
  <si>
    <t>Check volume</t>
  </si>
  <si>
    <t>Waste Aear</t>
  </si>
  <si>
    <t>Hydraulic gradient - north</t>
  </si>
  <si>
    <t>Hydraulic gradient - south</t>
  </si>
  <si>
    <t>Drawing DESID14 shows gradient varies between 1 in 7 to 1 in 14</t>
  </si>
  <si>
    <t>Assumption for waste comprising largely London Clay and Lambeth Beds.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</si>
</sst>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0.00000"/>
    <numFmt numFmtId="168" formatCode="0.000000"/>
    <numFmt numFmtId="169" formatCode="0.0000000"/>
    <numFmt numFmtId="170" formatCode="0.00000000"/>
  </numFmts>
  <fonts count="56">
    <font>
      <sz val="8"/>
      <color theme="1"/>
      <name val="Arial"/>
      <family val="2"/>
    </font>
    <font>
      <sz val="12"/>
      <color indexed="8"/>
      <name val="Arial"/>
      <family val="2"/>
    </font>
    <font>
      <sz val="9"/>
      <name val="Tahoma"/>
      <family val="2"/>
    </font>
    <font>
      <b/>
      <sz val="9"/>
      <name val="Tahoma"/>
      <family val="2"/>
    </font>
    <font>
      <i/>
      <sz val="10"/>
      <name val="Arial"/>
      <family val="2"/>
    </font>
    <font>
      <vertAlign val="subscript"/>
      <sz val="10"/>
      <name val="Arial"/>
      <family val="2"/>
    </font>
    <font>
      <sz val="10"/>
      <name val="Arial"/>
      <family val="2"/>
    </font>
    <font>
      <b/>
      <sz val="10"/>
      <name val="Arial"/>
      <family val="2"/>
    </font>
    <font>
      <vertAlign val="superscript"/>
      <sz val="10"/>
      <name val="Arial"/>
      <family val="2"/>
    </font>
    <font>
      <sz val="11"/>
      <name val="Arial"/>
      <family val="2"/>
    </font>
    <font>
      <sz val="8"/>
      <color indexed="8"/>
      <name val="Arial"/>
      <family val="2"/>
    </font>
    <font>
      <u val="single"/>
      <sz val="8"/>
      <color indexed="12"/>
      <name val="Arial"/>
      <family val="2"/>
    </font>
    <font>
      <b/>
      <sz val="8"/>
      <color indexed="8"/>
      <name val="Arial"/>
      <family val="2"/>
    </font>
    <font>
      <sz val="11"/>
      <color indexed="8"/>
      <name val="Arial"/>
      <family val="2"/>
    </font>
    <font>
      <b/>
      <sz val="11"/>
      <color indexed="8"/>
      <name val="Arial"/>
      <family val="2"/>
    </font>
    <font>
      <sz val="11"/>
      <color indexed="8"/>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mbria"/>
      <family val="2"/>
    </font>
    <font>
      <b/>
      <sz val="12"/>
      <color theme="1"/>
      <name val="Arial"/>
      <family val="2"/>
    </font>
    <font>
      <sz val="12"/>
      <color rgb="FFFF0000"/>
      <name val="Arial"/>
      <family val="2"/>
    </font>
    <font>
      <b/>
      <sz val="8"/>
      <color theme="1"/>
      <name val="Arial"/>
      <family val="2"/>
    </font>
    <font>
      <sz val="11"/>
      <color theme="1"/>
      <name val="Arial"/>
      <family val="2"/>
    </font>
    <font>
      <b/>
      <sz val="11"/>
      <color theme="1"/>
      <name val="Arial"/>
      <family val="2"/>
    </font>
    <font>
      <sz val="11"/>
      <color rgb="FF000000"/>
      <name val="Arial"/>
      <family val="2"/>
    </font>
    <font>
      <sz val="11"/>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border>
    <border>
      <left style="medium"/>
      <right style="thin"/>
      <top/>
      <bottom/>
    </border>
    <border>
      <left style="medium"/>
      <right style="thin"/>
      <top/>
      <bottom style="medium"/>
    </border>
    <border>
      <left style="medium"/>
      <right style="thin"/>
      <top style="medium"/>
      <bottom style="medium"/>
    </border>
    <border>
      <left style="medium"/>
      <right style="thin"/>
      <top style="thin"/>
      <bottom/>
    </border>
    <border>
      <left style="medium"/>
      <right/>
      <top/>
      <bottom/>
    </border>
    <border>
      <left style="medium"/>
      <right/>
      <top/>
      <bottom style="medium"/>
    </border>
    <border>
      <left/>
      <right style="medium"/>
      <top/>
      <bottom/>
    </border>
    <border>
      <left/>
      <right style="medium"/>
      <top/>
      <bottom style="medium"/>
    </border>
    <border>
      <left style="thin"/>
      <right style="medium"/>
      <top/>
      <bottom style="medium"/>
    </border>
    <border>
      <left/>
      <right style="medium"/>
      <top style="medium"/>
      <bottom/>
    </border>
    <border>
      <left/>
      <right style="medium"/>
      <top style="medium"/>
      <bottom style="medium"/>
    </border>
    <border>
      <left/>
      <right/>
      <top style="medium"/>
      <bottom/>
    </border>
    <border>
      <left/>
      <right/>
      <top/>
      <bottom style="medium"/>
    </border>
    <border>
      <left style="medium"/>
      <right/>
      <top style="medium"/>
      <bottom/>
    </border>
    <border>
      <left style="medium"/>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style="medium"/>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style="medium"/>
      <top style="thin">
        <color indexed="9"/>
      </top>
      <bottom style="thin">
        <color indexed="9"/>
      </bottom>
    </border>
    <border>
      <left style="thin"/>
      <right style="thin"/>
      <top style="thin"/>
      <bottom style="thin"/>
    </border>
    <border>
      <left/>
      <right/>
      <top style="thin">
        <color indexed="9"/>
      </top>
      <bottom style="thin">
        <color indexed="9"/>
      </bottom>
    </border>
    <border>
      <left style="dotted"/>
      <right style="dotted"/>
      <top style="dotted"/>
      <bottom style="dotted"/>
    </border>
    <border>
      <left/>
      <right style="dotted"/>
      <top style="dotted"/>
      <bottom style="dotted"/>
    </border>
    <border>
      <left/>
      <right style="medium"/>
      <top style="thin">
        <color indexed="9"/>
      </top>
      <bottom style="thin">
        <color indexed="9"/>
      </bottom>
    </border>
    <border>
      <left style="medium"/>
      <right style="thin">
        <color indexed="9"/>
      </right>
      <top style="thin">
        <color indexed="9"/>
      </top>
      <bottom/>
    </border>
    <border>
      <left/>
      <right style="thin">
        <color indexed="9"/>
      </right>
      <top style="thin">
        <color indexed="9"/>
      </top>
      <bottom style="thin">
        <color indexed="9"/>
      </bottom>
    </border>
    <border>
      <left style="thin">
        <color indexed="9"/>
      </left>
      <right style="thin">
        <color indexed="9"/>
      </right>
      <top/>
      <bottom style="thin">
        <color indexed="9"/>
      </bottom>
    </border>
    <border>
      <left style="thin">
        <color indexed="9"/>
      </left>
      <right style="thin">
        <color indexed="9"/>
      </right>
      <top/>
      <bottom/>
    </border>
    <border>
      <left style="thin">
        <color indexed="9"/>
      </left>
      <right/>
      <top style="thin">
        <color indexed="9"/>
      </top>
      <bottom style="thin">
        <color indexed="9"/>
      </bottom>
    </border>
    <border>
      <left style="thin">
        <color indexed="9"/>
      </left>
      <right style="thin">
        <color indexed="9"/>
      </right>
      <top style="thin"/>
      <bottom style="thin"/>
    </border>
    <border>
      <left style="dotted">
        <color indexed="9"/>
      </left>
      <right style="dotted">
        <color indexed="9"/>
      </right>
      <top style="dotted">
        <color indexed="9"/>
      </top>
      <bottom style="dotted"/>
    </border>
    <border>
      <left style="thin">
        <color indexed="9"/>
      </left>
      <right/>
      <top style="thin">
        <color indexed="9"/>
      </top>
      <bottom/>
    </border>
    <border>
      <left/>
      <right/>
      <top style="thin">
        <color indexed="9"/>
      </top>
      <bottom/>
    </border>
    <border>
      <left/>
      <right style="medium"/>
      <top style="thin">
        <color indexed="9"/>
      </top>
      <bottom/>
    </border>
    <border>
      <left style="medium"/>
      <right style="medium">
        <color indexed="9"/>
      </right>
      <top style="medium">
        <color indexed="9"/>
      </top>
      <bottom style="medium"/>
    </border>
    <border>
      <left style="medium">
        <color indexed="9"/>
      </left>
      <right style="medium">
        <color indexed="9"/>
      </right>
      <top style="medium">
        <color indexed="9"/>
      </top>
      <bottom style="medium"/>
    </border>
    <border>
      <left style="medium">
        <color indexed="9"/>
      </left>
      <right style="medium">
        <color indexed="9"/>
      </right>
      <top/>
      <bottom style="medium"/>
    </border>
    <border>
      <left style="medium">
        <color indexed="9"/>
      </left>
      <right style="medium"/>
      <top style="medium">
        <color indexed="9"/>
      </top>
      <bottom style="medium"/>
    </border>
    <border>
      <left style="medium">
        <color indexed="8"/>
      </left>
      <right style="thin">
        <color indexed="9"/>
      </right>
      <top style="medium">
        <color indexed="8"/>
      </top>
      <bottom style="thin">
        <color indexed="9"/>
      </bottom>
    </border>
    <border>
      <left style="thin">
        <color indexed="9"/>
      </left>
      <right style="thin">
        <color indexed="9"/>
      </right>
      <top style="medium">
        <color indexed="8"/>
      </top>
      <bottom style="thin">
        <color indexed="9"/>
      </bottom>
    </border>
    <border>
      <left style="thin">
        <color indexed="9"/>
      </left>
      <right style="medium">
        <color indexed="8"/>
      </right>
      <top style="medium">
        <color indexed="8"/>
      </top>
      <bottom style="thin">
        <color indexed="9"/>
      </bottom>
    </border>
    <border>
      <left style="medium">
        <color indexed="8"/>
      </left>
      <right style="thin">
        <color indexed="9"/>
      </right>
      <top style="thin">
        <color indexed="9"/>
      </top>
      <bottom style="thin">
        <color indexed="9"/>
      </bottom>
    </border>
    <border>
      <left style="thin">
        <color indexed="9"/>
      </left>
      <right style="medium">
        <color indexed="8"/>
      </right>
      <top style="thin">
        <color indexed="9"/>
      </top>
      <bottom style="thin">
        <color indexed="9"/>
      </bottom>
    </border>
    <border>
      <left style="medium">
        <color indexed="8"/>
      </left>
      <right style="thin">
        <color indexed="9"/>
      </right>
      <top/>
      <bottom style="thin">
        <color indexed="9"/>
      </bottom>
    </border>
    <border>
      <left style="thin">
        <color indexed="9"/>
      </left>
      <right style="medium">
        <color indexed="8"/>
      </right>
      <top/>
      <bottom style="thin">
        <color indexed="9"/>
      </bottom>
    </border>
    <border>
      <left style="thin">
        <color indexed="8"/>
      </left>
      <right style="thin">
        <color indexed="8"/>
      </right>
      <top style="thin">
        <color indexed="8"/>
      </top>
      <bottom style="thin">
        <color indexed="8"/>
      </bottom>
    </border>
    <border>
      <left style="dotted">
        <color indexed="8"/>
      </left>
      <right style="dotted">
        <color indexed="8"/>
      </right>
      <top style="dotted">
        <color indexed="8"/>
      </top>
      <bottom style="dotted">
        <color indexed="8"/>
      </bottom>
    </border>
    <border>
      <left/>
      <right style="medium">
        <color indexed="8"/>
      </right>
      <top style="thin">
        <color indexed="9"/>
      </top>
      <bottom style="thin">
        <color indexed="9"/>
      </bottom>
    </border>
    <border>
      <left style="medium">
        <color indexed="8"/>
      </left>
      <right style="thin">
        <color indexed="9"/>
      </right>
      <top style="thin">
        <color indexed="9"/>
      </top>
      <bottom/>
    </border>
    <border>
      <left style="thin">
        <color indexed="9"/>
      </left>
      <right style="medium">
        <color indexed="8"/>
      </right>
      <top style="thin">
        <color indexed="9"/>
      </top>
      <bottom/>
    </border>
    <border>
      <left style="medium">
        <color indexed="8"/>
      </left>
      <right style="thin">
        <color indexed="9"/>
      </right>
      <top style="medium">
        <color indexed="9"/>
      </top>
      <bottom style="medium">
        <color indexed="8"/>
      </bottom>
    </border>
    <border>
      <left style="thin">
        <color indexed="9"/>
      </left>
      <right style="thin">
        <color indexed="9"/>
      </right>
      <top style="medium">
        <color indexed="9"/>
      </top>
      <bottom style="medium">
        <color indexed="8"/>
      </bottom>
    </border>
    <border>
      <left style="thin">
        <color indexed="9"/>
      </left>
      <right/>
      <top style="medium">
        <color indexed="9"/>
      </top>
      <bottom style="medium">
        <color indexed="8"/>
      </bottom>
    </border>
    <border>
      <left style="medium"/>
      <right/>
      <top style="medium"/>
      <bottom style="thin"/>
    </border>
    <border>
      <left/>
      <right style="medium"/>
      <top style="medium"/>
      <bottom style="thin"/>
    </border>
    <border>
      <left style="thin"/>
      <right/>
      <top style="medium"/>
      <bottom/>
    </border>
    <border>
      <left style="thin"/>
      <right/>
      <top/>
      <bottom/>
    </border>
    <border>
      <left style="thin"/>
      <right/>
      <top/>
      <bottom style="medium"/>
    </border>
    <border>
      <left style="thin"/>
      <right style="medium"/>
      <top style="thin"/>
      <bottom/>
    </border>
    <border>
      <left style="thin"/>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7">
    <xf numFmtId="0" fontId="0" fillId="0" borderId="0" xfId="0" applyAlignment="1">
      <alignment/>
    </xf>
    <xf numFmtId="0" fontId="50" fillId="6" borderId="10" xfId="0" applyFont="1" applyFill="1" applyBorder="1" applyAlignment="1">
      <alignment vertical="center"/>
    </xf>
    <xf numFmtId="0" fontId="50" fillId="6" borderId="11" xfId="0" applyFont="1" applyFill="1" applyBorder="1" applyAlignment="1">
      <alignment vertical="center"/>
    </xf>
    <xf numFmtId="0" fontId="50" fillId="6" borderId="12" xfId="0" applyFont="1" applyFill="1" applyBorder="1" applyAlignment="1">
      <alignment vertical="center"/>
    </xf>
    <xf numFmtId="0" fontId="0" fillId="0" borderId="0" xfId="0" applyAlignment="1">
      <alignment vertical="center"/>
    </xf>
    <xf numFmtId="0" fontId="50" fillId="6" borderId="13" xfId="0" applyFont="1" applyFill="1" applyBorder="1" applyAlignment="1">
      <alignment vertical="center"/>
    </xf>
    <xf numFmtId="0" fontId="50" fillId="0" borderId="0" xfId="0" applyFont="1" applyFill="1" applyBorder="1" applyAlignment="1">
      <alignment vertical="center"/>
    </xf>
    <xf numFmtId="0" fontId="0" fillId="0" borderId="0" xfId="0" applyBorder="1" applyAlignment="1">
      <alignment vertical="center"/>
    </xf>
    <xf numFmtId="0" fontId="50" fillId="6" borderId="14" xfId="0" applyFont="1" applyFill="1" applyBorder="1" applyAlignment="1">
      <alignment vertical="center"/>
    </xf>
    <xf numFmtId="0" fontId="50" fillId="6" borderId="14" xfId="0" applyFont="1" applyFill="1" applyBorder="1" applyAlignment="1">
      <alignment horizontal="left" vertical="center"/>
    </xf>
    <xf numFmtId="0" fontId="50" fillId="6" borderId="15" xfId="0" applyFont="1" applyFill="1" applyBorder="1" applyAlignment="1">
      <alignment vertical="center"/>
    </xf>
    <xf numFmtId="0" fontId="50" fillId="6" borderId="16" xfId="0" applyFont="1" applyFill="1" applyBorder="1" applyAlignment="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14" fontId="0" fillId="0" borderId="17" xfId="0" applyNumberFormat="1" applyBorder="1" applyAlignment="1">
      <alignment horizontal="left" vertical="center"/>
    </xf>
    <xf numFmtId="0" fontId="42" fillId="0" borderId="17" xfId="52" applyBorder="1" applyAlignment="1">
      <alignment horizontal="left" vertical="center"/>
    </xf>
    <xf numFmtId="0" fontId="51" fillId="0" borderId="0" xfId="0" applyFont="1" applyAlignment="1">
      <alignment/>
    </xf>
    <xf numFmtId="11" fontId="51" fillId="0" borderId="0" xfId="0" applyNumberFormat="1" applyFont="1" applyAlignment="1">
      <alignment/>
    </xf>
    <xf numFmtId="0" fontId="51" fillId="0" borderId="22" xfId="0" applyFont="1" applyBorder="1" applyAlignment="1">
      <alignment/>
    </xf>
    <xf numFmtId="0" fontId="51" fillId="0" borderId="20" xfId="0" applyFont="1" applyBorder="1" applyAlignment="1">
      <alignment/>
    </xf>
    <xf numFmtId="0" fontId="51" fillId="0" borderId="15" xfId="0" applyFont="1" applyBorder="1" applyAlignment="1">
      <alignment/>
    </xf>
    <xf numFmtId="11" fontId="51" fillId="0" borderId="0" xfId="0" applyNumberFormat="1" applyFont="1" applyBorder="1" applyAlignment="1">
      <alignment/>
    </xf>
    <xf numFmtId="0" fontId="51" fillId="0" borderId="0" xfId="0" applyFont="1" applyBorder="1" applyAlignment="1">
      <alignment/>
    </xf>
    <xf numFmtId="0" fontId="51" fillId="0" borderId="17" xfId="0" applyFont="1" applyBorder="1" applyAlignment="1">
      <alignment/>
    </xf>
    <xf numFmtId="0" fontId="51" fillId="0" borderId="16" xfId="0" applyFont="1" applyBorder="1" applyAlignment="1">
      <alignment/>
    </xf>
    <xf numFmtId="0" fontId="51" fillId="0" borderId="23" xfId="0" applyFont="1" applyBorder="1" applyAlignment="1">
      <alignment/>
    </xf>
    <xf numFmtId="0" fontId="51" fillId="0" borderId="18" xfId="0" applyFont="1" applyBorder="1" applyAlignment="1">
      <alignment/>
    </xf>
    <xf numFmtId="0" fontId="52" fillId="0" borderId="24" xfId="0" applyFont="1" applyBorder="1" applyAlignment="1">
      <alignment/>
    </xf>
    <xf numFmtId="1" fontId="51" fillId="0" borderId="0" xfId="0" applyNumberFormat="1" applyFont="1" applyBorder="1" applyAlignment="1">
      <alignment/>
    </xf>
    <xf numFmtId="2" fontId="51" fillId="0" borderId="0" xfId="0" applyNumberFormat="1" applyFont="1" applyBorder="1" applyAlignment="1">
      <alignment/>
    </xf>
    <xf numFmtId="11" fontId="51" fillId="0" borderId="23" xfId="0" applyNumberFormat="1" applyFont="1" applyBorder="1" applyAlignment="1">
      <alignment/>
    </xf>
    <xf numFmtId="164" fontId="51" fillId="0" borderId="0" xfId="0" applyNumberFormat="1" applyFont="1" applyBorder="1" applyAlignment="1">
      <alignment/>
    </xf>
    <xf numFmtId="167" fontId="51" fillId="0" borderId="0" xfId="0" applyNumberFormat="1" applyFont="1" applyBorder="1" applyAlignment="1">
      <alignment/>
    </xf>
    <xf numFmtId="166" fontId="51" fillId="0" borderId="0" xfId="0" applyNumberFormat="1" applyFont="1" applyBorder="1" applyAlignment="1">
      <alignment/>
    </xf>
    <xf numFmtId="165" fontId="51" fillId="0" borderId="0" xfId="0" applyNumberFormat="1" applyFont="1" applyBorder="1" applyAlignment="1">
      <alignment/>
    </xf>
    <xf numFmtId="168" fontId="51" fillId="0" borderId="0" xfId="0" applyNumberFormat="1" applyFont="1" applyBorder="1" applyAlignment="1">
      <alignment/>
    </xf>
    <xf numFmtId="1" fontId="51" fillId="0" borderId="23" xfId="0" applyNumberFormat="1" applyFont="1" applyBorder="1" applyAlignment="1">
      <alignment/>
    </xf>
    <xf numFmtId="164" fontId="51" fillId="0" borderId="23" xfId="0" applyNumberFormat="1" applyFont="1" applyBorder="1" applyAlignment="1">
      <alignment/>
    </xf>
    <xf numFmtId="11" fontId="51" fillId="0" borderId="22" xfId="0" applyNumberFormat="1" applyFont="1" applyBorder="1" applyAlignment="1">
      <alignment/>
    </xf>
    <xf numFmtId="0" fontId="51" fillId="0" borderId="17" xfId="0" applyFont="1" applyBorder="1" applyAlignment="1">
      <alignment horizontal="center"/>
    </xf>
    <xf numFmtId="2" fontId="51" fillId="0" borderId="23" xfId="0" applyNumberFormat="1" applyFont="1" applyBorder="1" applyAlignment="1">
      <alignment/>
    </xf>
    <xf numFmtId="165" fontId="51" fillId="0" borderId="23" xfId="0" applyNumberFormat="1" applyFont="1" applyBorder="1" applyAlignment="1">
      <alignment/>
    </xf>
    <xf numFmtId="169" fontId="51" fillId="0" borderId="0" xfId="0" applyNumberFormat="1" applyFont="1" applyBorder="1" applyAlignment="1">
      <alignment/>
    </xf>
    <xf numFmtId="0" fontId="53" fillId="0" borderId="0" xfId="0" applyFont="1" applyAlignment="1">
      <alignment/>
    </xf>
    <xf numFmtId="0" fontId="54" fillId="0" borderId="18" xfId="0" applyFont="1" applyBorder="1" applyAlignment="1">
      <alignment/>
    </xf>
    <xf numFmtId="170" fontId="51" fillId="0" borderId="0" xfId="0" applyNumberFormat="1" applyFont="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28" xfId="0" applyFont="1" applyBorder="1" applyAlignment="1">
      <alignment vertical="center" wrapText="1"/>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33" borderId="28" xfId="0" applyFill="1" applyBorder="1" applyAlignment="1">
      <alignment/>
    </xf>
    <xf numFmtId="0" fontId="0" fillId="33" borderId="29" xfId="0" applyFill="1" applyBorder="1" applyAlignment="1">
      <alignment/>
    </xf>
    <xf numFmtId="0" fontId="6" fillId="34" borderId="32" xfId="0" applyFont="1" applyFill="1" applyBorder="1" applyAlignment="1" applyProtection="1">
      <alignment/>
      <protection locked="0"/>
    </xf>
    <xf numFmtId="0" fontId="0" fillId="0" borderId="33" xfId="0" applyBorder="1" applyAlignment="1">
      <alignment/>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0" borderId="36" xfId="0" applyBorder="1" applyAlignment="1">
      <alignment/>
    </xf>
    <xf numFmtId="0" fontId="0" fillId="33" borderId="37" xfId="0" applyFill="1" applyBorder="1" applyAlignment="1">
      <alignment/>
    </xf>
    <xf numFmtId="0" fontId="0" fillId="33" borderId="30" xfId="0" applyFill="1" applyBorder="1" applyAlignment="1">
      <alignment/>
    </xf>
    <xf numFmtId="2" fontId="6" fillId="34" borderId="32" xfId="0" applyNumberFormat="1" applyFont="1" applyFill="1" applyBorder="1" applyAlignment="1" applyProtection="1">
      <alignment/>
      <protection locked="0"/>
    </xf>
    <xf numFmtId="0" fontId="0" fillId="0" borderId="38" xfId="0" applyBorder="1" applyAlignment="1">
      <alignment/>
    </xf>
    <xf numFmtId="0" fontId="0" fillId="0" borderId="39" xfId="0" applyBorder="1" applyAlignment="1">
      <alignment/>
    </xf>
    <xf numFmtId="0" fontId="0" fillId="0" borderId="28" xfId="0" applyBorder="1" applyAlignment="1">
      <alignment/>
    </xf>
    <xf numFmtId="0" fontId="0" fillId="0" borderId="40" xfId="0" applyBorder="1" applyAlignment="1">
      <alignment/>
    </xf>
    <xf numFmtId="0" fontId="0" fillId="34" borderId="32" xfId="0" applyFill="1" applyBorder="1" applyAlignment="1" applyProtection="1">
      <alignment/>
      <protection locked="0"/>
    </xf>
    <xf numFmtId="2" fontId="0" fillId="34" borderId="32" xfId="0" applyNumberFormat="1" applyFill="1" applyBorder="1" applyAlignment="1" applyProtection="1">
      <alignment/>
      <protection locked="0"/>
    </xf>
    <xf numFmtId="0" fontId="0" fillId="0" borderId="41" xfId="0" applyBorder="1" applyAlignment="1">
      <alignment/>
    </xf>
    <xf numFmtId="0" fontId="0" fillId="0" borderId="42" xfId="0" applyBorder="1" applyAlignment="1" applyProtection="1">
      <alignment/>
      <protection locked="0"/>
    </xf>
    <xf numFmtId="0" fontId="0" fillId="0" borderId="43" xfId="0" applyBorder="1" applyAlignment="1">
      <alignment/>
    </xf>
    <xf numFmtId="0" fontId="7" fillId="0" borderId="37" xfId="0" applyFont="1" applyBorder="1" applyAlignment="1">
      <alignment/>
    </xf>
    <xf numFmtId="0" fontId="0" fillId="0" borderId="44" xfId="0" applyBorder="1" applyAlignment="1">
      <alignment/>
    </xf>
    <xf numFmtId="0" fontId="0" fillId="0" borderId="45" xfId="0" applyBorder="1" applyAlignment="1">
      <alignment/>
    </xf>
    <xf numFmtId="2" fontId="0" fillId="36" borderId="34" xfId="0" applyNumberFormat="1" applyFill="1" applyBorder="1" applyAlignment="1">
      <alignment/>
    </xf>
    <xf numFmtId="0" fontId="0" fillId="0" borderId="46" xfId="0" applyBorder="1" applyAlignment="1">
      <alignment/>
    </xf>
    <xf numFmtId="0" fontId="7" fillId="0" borderId="47" xfId="0" applyFont="1" applyBorder="1" applyAlignment="1">
      <alignment/>
    </xf>
    <xf numFmtId="0" fontId="0" fillId="0" borderId="48" xfId="0" applyBorder="1" applyAlignment="1">
      <alignment/>
    </xf>
    <xf numFmtId="1" fontId="0" fillId="0" borderId="49" xfId="0" applyNumberFormat="1"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vertical="center"/>
    </xf>
    <xf numFmtId="0" fontId="0" fillId="0" borderId="39" xfId="0" applyBorder="1" applyAlignment="1">
      <alignment wrapText="1"/>
    </xf>
    <xf numFmtId="0" fontId="0" fillId="0" borderId="57" xfId="0" applyBorder="1" applyAlignment="1">
      <alignment/>
    </xf>
    <xf numFmtId="164" fontId="0" fillId="34" borderId="58" xfId="0" applyNumberFormat="1" applyFill="1" applyBorder="1" applyAlignment="1" applyProtection="1">
      <alignment/>
      <protection locked="0"/>
    </xf>
    <xf numFmtId="164" fontId="0" fillId="0" borderId="33" xfId="0" applyNumberFormat="1" applyBorder="1" applyAlignment="1">
      <alignment/>
    </xf>
    <xf numFmtId="164" fontId="0" fillId="35" borderId="59" xfId="0" applyNumberFormat="1" applyFill="1" applyBorder="1" applyAlignment="1" applyProtection="1">
      <alignment/>
      <protection locked="0"/>
    </xf>
    <xf numFmtId="0" fontId="0" fillId="0" borderId="60" xfId="0" applyBorder="1" applyAlignment="1">
      <alignment/>
    </xf>
    <xf numFmtId="164" fontId="0" fillId="0" borderId="39" xfId="0" applyNumberFormat="1" applyBorder="1" applyAlignment="1">
      <alignment/>
    </xf>
    <xf numFmtId="164" fontId="0" fillId="0" borderId="29" xfId="0" applyNumberFormat="1" applyBorder="1" applyAlignment="1">
      <alignment/>
    </xf>
    <xf numFmtId="2" fontId="0" fillId="36" borderId="58" xfId="0" applyNumberFormat="1" applyFill="1" applyBorder="1" applyAlignment="1">
      <alignment/>
    </xf>
    <xf numFmtId="2" fontId="0" fillId="36" borderId="59" xfId="0" applyNumberFormat="1" applyFill="1"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51" fillId="0" borderId="24" xfId="0" applyFont="1" applyBorder="1" applyAlignment="1">
      <alignment/>
    </xf>
    <xf numFmtId="166" fontId="0" fillId="36" borderId="32" xfId="0" applyNumberFormat="1" applyFill="1" applyBorder="1" applyAlignment="1">
      <alignment/>
    </xf>
    <xf numFmtId="0" fontId="9" fillId="0" borderId="0" xfId="0" applyFont="1" applyBorder="1" applyAlignment="1">
      <alignment/>
    </xf>
    <xf numFmtId="0" fontId="53" fillId="0" borderId="18" xfId="0" applyFont="1" applyBorder="1" applyAlignment="1">
      <alignment/>
    </xf>
    <xf numFmtId="167" fontId="51" fillId="0" borderId="23" xfId="0" applyNumberFormat="1" applyFont="1" applyBorder="1" applyAlignment="1">
      <alignment/>
    </xf>
    <xf numFmtId="0" fontId="0" fillId="0" borderId="0" xfId="0" applyAlignment="1">
      <alignment horizontal="center" vertical="center"/>
    </xf>
    <xf numFmtId="0" fontId="50" fillId="0" borderId="66" xfId="0" applyFont="1" applyBorder="1" applyAlignment="1">
      <alignment horizontal="center" vertical="center"/>
    </xf>
    <xf numFmtId="0" fontId="50" fillId="0" borderId="67" xfId="0" applyFont="1" applyBorder="1" applyAlignment="1">
      <alignment horizontal="center" vertical="center"/>
    </xf>
    <xf numFmtId="0" fontId="50" fillId="6" borderId="10" xfId="0" applyFont="1" applyFill="1" applyBorder="1" applyAlignment="1">
      <alignment horizontal="center" vertical="center"/>
    </xf>
    <xf numFmtId="0" fontId="50" fillId="6" borderId="11" xfId="0" applyFont="1" applyFill="1" applyBorder="1" applyAlignment="1">
      <alignment horizontal="center" vertical="center"/>
    </xf>
    <xf numFmtId="0" fontId="50" fillId="6" borderId="12" xfId="0" applyFont="1" applyFill="1" applyBorder="1" applyAlignment="1">
      <alignment horizontal="center" vertical="center"/>
    </xf>
    <xf numFmtId="0" fontId="0" fillId="0" borderId="68"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69"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70" xfId="0" applyBorder="1" applyAlignment="1">
      <alignment horizontal="center" vertical="center" wrapText="1"/>
    </xf>
    <xf numFmtId="0" fontId="0" fillId="0" borderId="23" xfId="0" applyBorder="1" applyAlignment="1">
      <alignment horizontal="center" vertical="center" wrapText="1"/>
    </xf>
    <xf numFmtId="0" fontId="0" fillId="0" borderId="18" xfId="0" applyBorder="1" applyAlignment="1">
      <alignment horizontal="center" vertical="center" wrapText="1"/>
    </xf>
    <xf numFmtId="0" fontId="50" fillId="0" borderId="66" xfId="0" applyFont="1" applyFill="1" applyBorder="1" applyAlignment="1">
      <alignment horizontal="center" vertical="center"/>
    </xf>
    <xf numFmtId="0" fontId="50" fillId="0" borderId="67" xfId="0" applyFont="1" applyFill="1" applyBorder="1" applyAlignment="1">
      <alignment horizontal="center" vertical="center"/>
    </xf>
    <xf numFmtId="0" fontId="50" fillId="37" borderId="66" xfId="0" applyFont="1" applyFill="1" applyBorder="1" applyAlignment="1">
      <alignment horizontal="center" vertical="center"/>
    </xf>
    <xf numFmtId="0" fontId="50" fillId="37" borderId="67" xfId="0" applyFont="1" applyFill="1" applyBorder="1" applyAlignment="1">
      <alignment horizontal="center" vertical="center"/>
    </xf>
    <xf numFmtId="0" fontId="0" fillId="0" borderId="71" xfId="0" applyBorder="1" applyAlignment="1">
      <alignment horizontal="left" vertical="center" wrapText="1"/>
    </xf>
    <xf numFmtId="0" fontId="0" fillId="0" borderId="72" xfId="0" applyBorder="1" applyAlignment="1">
      <alignment horizontal="left" vertical="center" wrapText="1"/>
    </xf>
    <xf numFmtId="0" fontId="50" fillId="6" borderId="14" xfId="0" applyFont="1" applyFill="1" applyBorder="1" applyAlignment="1">
      <alignment horizontal="left" vertical="center"/>
    </xf>
    <xf numFmtId="0" fontId="50" fillId="6" borderId="11" xfId="0" applyFont="1" applyFill="1" applyBorder="1" applyAlignment="1">
      <alignment horizontal="left" vertical="center"/>
    </xf>
    <xf numFmtId="0" fontId="0" fillId="0" borderId="68" xfId="0" applyBorder="1" applyAlignment="1">
      <alignment horizontal="left"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69" xfId="0" applyBorder="1" applyAlignment="1">
      <alignment horizontal="left" vertical="center"/>
    </xf>
    <xf numFmtId="0" fontId="0" fillId="0" borderId="0" xfId="0" applyBorder="1" applyAlignment="1">
      <alignment horizontal="left" vertical="center"/>
    </xf>
    <xf numFmtId="0" fontId="0" fillId="0" borderId="17" xfId="0" applyBorder="1" applyAlignment="1">
      <alignment horizontal="left" vertical="center"/>
    </xf>
    <xf numFmtId="0" fontId="0" fillId="0" borderId="70"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52" fillId="0" borderId="24" xfId="0" applyFont="1" applyBorder="1" applyAlignment="1">
      <alignment horizontal="center"/>
    </xf>
    <xf numFmtId="0" fontId="52" fillId="0" borderId="22" xfId="0" applyFont="1" applyBorder="1" applyAlignment="1">
      <alignment horizontal="center"/>
    </xf>
    <xf numFmtId="0" fontId="52" fillId="0" borderId="20" xfId="0" applyFont="1" applyBorder="1" applyAlignment="1">
      <alignment horizontal="center"/>
    </xf>
    <xf numFmtId="0" fontId="51"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1219200</xdr:colOff>
      <xdr:row>2</xdr:row>
      <xdr:rowOff>123825</xdr:rowOff>
    </xdr:to>
    <xdr:pic>
      <xdr:nvPicPr>
        <xdr:cNvPr id="1" name="Picture 1"/>
        <xdr:cNvPicPr preferRelativeResize="1">
          <a:picLocks noChangeAspect="1"/>
        </xdr:cNvPicPr>
      </xdr:nvPicPr>
      <xdr:blipFill>
        <a:blip r:embed="rId1"/>
        <a:stretch>
          <a:fillRect/>
        </a:stretch>
      </xdr:blipFill>
      <xdr:spPr>
        <a:xfrm>
          <a:off x="0" y="0"/>
          <a:ext cx="175260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330201391%20Parkfield%20Road%20Landfill\Models\Hydraulic%20Containment\330201391%20Parkfield%20Road%20HRA%20Hydraulic%20containment%20model%20v%201.0%20C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330201391%20Parkfield%20Road%20Landfill\Models\Hydraulic%20Containment\Test%20cap%20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cenarios"/>
      <sheetName val="Calculations"/>
      <sheetName val="Justifications"/>
      <sheetName val="C and J Calc Summary"/>
      <sheetName val="Single layer solutions"/>
      <sheetName val="Delamination"/>
      <sheetName val="Two Layer Solutions Layer Two"/>
    </sheetNames>
    <sheetDataSet>
      <sheetData sheetId="2">
        <row r="5">
          <cell r="E5">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Name val="Phase 2 Waste"/>
      <sheetName val="Phase 3 waste"/>
      <sheetName val="Contaminants"/>
      <sheetName val="Hydrogeology"/>
      <sheetName val="Attenuation"/>
      <sheetName val="WaterBalance"/>
      <sheetName val="Pathways"/>
      <sheetName val="Simulation"/>
      <sheetName val="Audit"/>
      <sheetName val="User DecSource WB"/>
      <sheetName val="MilstGrt L1"/>
      <sheetName val="Millstone Grit"/>
      <sheetName val="Glacial silty s"/>
    </sheetNames>
    <sheetDataSet>
      <sheetData sheetId="8">
        <row r="5">
          <cell r="L5">
            <v>31557600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F32"/>
  <sheetViews>
    <sheetView zoomScalePageLayoutView="0" workbookViewId="0" topLeftCell="A7">
      <selection activeCell="C31" sqref="C31"/>
    </sheetView>
  </sheetViews>
  <sheetFormatPr defaultColWidth="9.33203125" defaultRowHeight="19.5" customHeight="1"/>
  <cols>
    <col min="1" max="1" width="9.33203125" style="4" customWidth="1"/>
    <col min="2" max="2" width="28.83203125" style="4" customWidth="1"/>
    <col min="3" max="3" width="54.33203125" style="4" customWidth="1"/>
    <col min="4" max="5" width="9.33203125" style="4" customWidth="1"/>
    <col min="6" max="6" width="21.83203125" style="4" customWidth="1"/>
    <col min="7" max="7" width="40.33203125" style="4" customWidth="1"/>
    <col min="8" max="8" width="21.5" style="4" customWidth="1"/>
    <col min="9" max="9" width="32.66015625" style="4" customWidth="1"/>
    <col min="10" max="10" width="13.83203125" style="4" customWidth="1"/>
    <col min="11" max="11" width="14.16015625" style="4" customWidth="1"/>
    <col min="12" max="12" width="15.5" style="4" customWidth="1"/>
    <col min="13" max="16384" width="9.33203125" style="4" customWidth="1"/>
  </cols>
  <sheetData>
    <row r="1" spans="1:3" ht="19.5" customHeight="1">
      <c r="A1" s="111"/>
      <c r="B1" s="111"/>
      <c r="C1" s="111"/>
    </row>
    <row r="2" spans="1:3" ht="19.5" customHeight="1">
      <c r="A2" s="111"/>
      <c r="B2" s="111"/>
      <c r="C2" s="111"/>
    </row>
    <row r="3" spans="1:3" ht="19.5" customHeight="1">
      <c r="A3" s="111"/>
      <c r="B3" s="111"/>
      <c r="C3" s="111"/>
    </row>
    <row r="4" ht="19.5" customHeight="1" thickBot="1"/>
    <row r="5" spans="2:7" ht="19.5" customHeight="1">
      <c r="B5" s="112" t="s">
        <v>9</v>
      </c>
      <c r="C5" s="113"/>
      <c r="F5" s="128" t="s">
        <v>17</v>
      </c>
      <c r="G5" s="129"/>
    </row>
    <row r="6" spans="2:7" ht="18" customHeight="1">
      <c r="B6" s="132" t="s">
        <v>8</v>
      </c>
      <c r="C6" s="130" t="str">
        <f ca="1">CELL("filename")</f>
        <v>C:\rkyv\Open\[Cemex UK Materialls.xls]Restored RA</v>
      </c>
      <c r="F6" s="10" t="s">
        <v>16</v>
      </c>
      <c r="G6" s="12"/>
    </row>
    <row r="7" spans="2:32" ht="18" customHeight="1">
      <c r="B7" s="133"/>
      <c r="C7" s="131"/>
      <c r="F7" s="10" t="s">
        <v>30</v>
      </c>
      <c r="G7" s="12"/>
      <c r="AF7" s="4" t="s">
        <v>23</v>
      </c>
    </row>
    <row r="8" spans="2:32" ht="19.5" customHeight="1" thickBot="1">
      <c r="B8" s="2" t="s">
        <v>0</v>
      </c>
      <c r="C8" s="12" t="s">
        <v>98</v>
      </c>
      <c r="F8" s="11" t="s">
        <v>19</v>
      </c>
      <c r="G8" s="13"/>
      <c r="AF8" s="4" t="s">
        <v>25</v>
      </c>
    </row>
    <row r="9" spans="2:32" ht="19.5" customHeight="1" thickBot="1">
      <c r="B9" s="2" t="s">
        <v>1</v>
      </c>
      <c r="C9" s="18">
        <v>44169</v>
      </c>
      <c r="G9" s="16"/>
      <c r="AF9" s="4" t="s">
        <v>26</v>
      </c>
    </row>
    <row r="10" spans="2:7" ht="19.5" customHeight="1" thickBot="1">
      <c r="B10" s="2" t="s">
        <v>7</v>
      </c>
      <c r="C10" s="12" t="s">
        <v>166</v>
      </c>
      <c r="F10" s="5" t="s">
        <v>21</v>
      </c>
      <c r="G10" s="17"/>
    </row>
    <row r="11" spans="2:32" ht="19.5" customHeight="1" thickBot="1">
      <c r="B11" s="2" t="s">
        <v>3</v>
      </c>
      <c r="C11" s="12"/>
      <c r="AF11" s="4" t="s">
        <v>27</v>
      </c>
    </row>
    <row r="12" spans="2:32" ht="19.5" customHeight="1" thickBot="1">
      <c r="B12" s="3" t="s">
        <v>2</v>
      </c>
      <c r="C12" s="13"/>
      <c r="F12" s="114" t="s">
        <v>22</v>
      </c>
      <c r="G12" s="134"/>
      <c r="H12" s="135"/>
      <c r="I12" s="135"/>
      <c r="J12" s="136"/>
      <c r="AF12" s="4" t="s">
        <v>28</v>
      </c>
    </row>
    <row r="13" spans="2:32" ht="19.5" customHeight="1" thickBot="1">
      <c r="B13" s="6"/>
      <c r="C13" s="7"/>
      <c r="F13" s="115"/>
      <c r="G13" s="137"/>
      <c r="H13" s="138"/>
      <c r="I13" s="138"/>
      <c r="J13" s="139"/>
      <c r="AF13" s="4" t="s">
        <v>29</v>
      </c>
    </row>
    <row r="14" spans="2:10" ht="19.5" customHeight="1">
      <c r="B14" s="126" t="s">
        <v>20</v>
      </c>
      <c r="C14" s="127"/>
      <c r="F14" s="115"/>
      <c r="G14" s="137"/>
      <c r="H14" s="138"/>
      <c r="I14" s="138"/>
      <c r="J14" s="139"/>
    </row>
    <row r="15" spans="2:10" ht="19.5" customHeight="1">
      <c r="B15" s="8" t="s">
        <v>13</v>
      </c>
      <c r="C15" s="19"/>
      <c r="F15" s="115"/>
      <c r="G15" s="137"/>
      <c r="H15" s="138"/>
      <c r="I15" s="138"/>
      <c r="J15" s="139"/>
    </row>
    <row r="16" spans="2:10" ht="19.5" customHeight="1" thickBot="1">
      <c r="B16" s="2" t="s">
        <v>14</v>
      </c>
      <c r="C16" s="19"/>
      <c r="F16" s="116"/>
      <c r="G16" s="140"/>
      <c r="H16" s="141"/>
      <c r="I16" s="141"/>
      <c r="J16" s="142"/>
    </row>
    <row r="17" spans="2:3" ht="19.5" customHeight="1" thickBot="1">
      <c r="B17" s="3" t="s">
        <v>15</v>
      </c>
      <c r="C17" s="13"/>
    </row>
    <row r="18" ht="19.5" customHeight="1" thickBot="1"/>
    <row r="19" spans="2:3" ht="19.5" customHeight="1">
      <c r="B19" s="112" t="s">
        <v>4</v>
      </c>
      <c r="C19" s="113"/>
    </row>
    <row r="20" spans="2:3" ht="19.5" customHeight="1">
      <c r="B20" s="9" t="s">
        <v>18</v>
      </c>
      <c r="C20" s="12"/>
    </row>
    <row r="21" spans="2:3" ht="19.5" customHeight="1">
      <c r="B21" s="2" t="s">
        <v>6</v>
      </c>
      <c r="C21" s="12"/>
    </row>
    <row r="22" spans="2:3" ht="19.5" customHeight="1">
      <c r="B22" s="2" t="s">
        <v>5</v>
      </c>
      <c r="C22" s="12"/>
    </row>
    <row r="23" spans="2:3" ht="19.5" customHeight="1" thickBot="1">
      <c r="B23" s="3" t="s">
        <v>24</v>
      </c>
      <c r="C23" s="14"/>
    </row>
    <row r="24" spans="2:3" ht="19.5" customHeight="1" thickBot="1">
      <c r="B24" s="6"/>
      <c r="C24" s="7"/>
    </row>
    <row r="25" spans="2:11" ht="19.5" customHeight="1">
      <c r="B25" s="114" t="s">
        <v>10</v>
      </c>
      <c r="C25" s="117" t="s">
        <v>167</v>
      </c>
      <c r="D25" s="118"/>
      <c r="E25" s="118"/>
      <c r="F25" s="119"/>
      <c r="G25" s="7"/>
      <c r="H25" s="7"/>
      <c r="I25" s="7"/>
      <c r="J25" s="7"/>
      <c r="K25" s="7"/>
    </row>
    <row r="26" spans="2:11" ht="19.5" customHeight="1">
      <c r="B26" s="115"/>
      <c r="C26" s="120"/>
      <c r="D26" s="121"/>
      <c r="E26" s="121"/>
      <c r="F26" s="122"/>
      <c r="G26" s="7"/>
      <c r="H26" s="7"/>
      <c r="I26" s="7"/>
      <c r="J26" s="7"/>
      <c r="K26" s="7"/>
    </row>
    <row r="27" spans="2:11" ht="19.5" customHeight="1">
      <c r="B27" s="115"/>
      <c r="C27" s="120"/>
      <c r="D27" s="121"/>
      <c r="E27" s="121"/>
      <c r="F27" s="122"/>
      <c r="G27" s="7"/>
      <c r="H27" s="7"/>
      <c r="I27" s="7"/>
      <c r="J27" s="7"/>
      <c r="K27" s="7"/>
    </row>
    <row r="28" spans="2:6" ht="19.5" customHeight="1">
      <c r="B28" s="115"/>
      <c r="C28" s="120"/>
      <c r="D28" s="121"/>
      <c r="E28" s="121"/>
      <c r="F28" s="122"/>
    </row>
    <row r="29" spans="2:6" ht="19.5" customHeight="1" thickBot="1">
      <c r="B29" s="116"/>
      <c r="C29" s="123"/>
      <c r="D29" s="124"/>
      <c r="E29" s="124"/>
      <c r="F29" s="125"/>
    </row>
    <row r="30" ht="19.5" customHeight="1" thickBot="1"/>
    <row r="31" spans="2:3" ht="19.5" customHeight="1">
      <c r="B31" s="1" t="s">
        <v>11</v>
      </c>
      <c r="C31" s="15" t="s">
        <v>28</v>
      </c>
    </row>
    <row r="32" spans="2:3" ht="19.5" customHeight="1" thickBot="1">
      <c r="B32" s="3" t="s">
        <v>12</v>
      </c>
      <c r="C32" s="13" t="s">
        <v>98</v>
      </c>
    </row>
  </sheetData>
  <sheetProtection/>
  <mergeCells count="11">
    <mergeCell ref="G12:J16"/>
    <mergeCell ref="A1:C3"/>
    <mergeCell ref="B19:C19"/>
    <mergeCell ref="B5:C5"/>
    <mergeCell ref="B25:B29"/>
    <mergeCell ref="C25:F29"/>
    <mergeCell ref="B14:C14"/>
    <mergeCell ref="F5:G5"/>
    <mergeCell ref="C6:C7"/>
    <mergeCell ref="B6:B7"/>
    <mergeCell ref="F12:F16"/>
  </mergeCells>
  <dataValidations count="3">
    <dataValidation type="list" allowBlank="1" showInputMessage="1" showErrorMessage="1" sqref="G8">
      <formula1>$AF$7:$AF$9</formula1>
    </dataValidation>
    <dataValidation type="list" allowBlank="1" showInputMessage="1" showErrorMessage="1" sqref="C31 G10">
      <formula1>$AF$11:$AF$12</formula1>
    </dataValidation>
    <dataValidation type="list" allowBlank="1" showInputMessage="1" showErrorMessage="1" sqref="C21:C23">
      <formula1>$AF$11:$AF$13</formula1>
    </dataValidation>
  </dataValidation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S47"/>
  <sheetViews>
    <sheetView tabSelected="1" zoomScalePageLayoutView="0" workbookViewId="0" topLeftCell="A10">
      <selection activeCell="A19" sqref="A19"/>
    </sheetView>
  </sheetViews>
  <sheetFormatPr defaultColWidth="9.33203125" defaultRowHeight="11.25"/>
  <cols>
    <col min="1" max="1" width="36.5" style="20" bestFit="1" customWidth="1"/>
    <col min="2" max="2" width="12.33203125" style="20" customWidth="1"/>
    <col min="3" max="3" width="15.16015625" style="20" customWidth="1"/>
    <col min="4" max="4" width="13.5" style="20" customWidth="1"/>
    <col min="5" max="5" width="11.66015625" style="20" bestFit="1" customWidth="1"/>
    <col min="6" max="6" width="14.66015625" style="20" customWidth="1"/>
    <col min="7" max="7" width="14.33203125" style="20" customWidth="1"/>
    <col min="8" max="8" width="18.5" style="20" bestFit="1" customWidth="1"/>
    <col min="9" max="9" width="23.5" style="20" bestFit="1" customWidth="1"/>
    <col min="10" max="10" width="13.5" style="20" bestFit="1" customWidth="1"/>
    <col min="11" max="11" width="12.83203125" style="20" customWidth="1"/>
    <col min="12" max="12" width="16.16015625" style="20" customWidth="1"/>
    <col min="13" max="13" width="14.5" style="20" bestFit="1" customWidth="1"/>
    <col min="14" max="14" width="81.66015625" style="20" bestFit="1" customWidth="1"/>
    <col min="15" max="15" width="4.33203125" style="20" customWidth="1"/>
    <col min="16" max="16" width="45.33203125" style="20" bestFit="1" customWidth="1"/>
    <col min="17" max="17" width="11" style="20" bestFit="1" customWidth="1"/>
    <col min="18" max="18" width="9.33203125" style="20" customWidth="1"/>
    <col min="19" max="19" width="114.16015625" style="20" bestFit="1" customWidth="1"/>
    <col min="20" max="16384" width="9.33203125" style="20" customWidth="1"/>
  </cols>
  <sheetData>
    <row r="1" spans="1:19" ht="15">
      <c r="A1" s="31" t="s">
        <v>48</v>
      </c>
      <c r="B1" s="22"/>
      <c r="C1" s="22"/>
      <c r="D1" s="22"/>
      <c r="E1" s="22"/>
      <c r="F1" s="22"/>
      <c r="G1" s="22"/>
      <c r="H1" s="23"/>
      <c r="I1" s="26"/>
      <c r="P1" s="31" t="s">
        <v>87</v>
      </c>
      <c r="Q1" s="22"/>
      <c r="R1" s="22"/>
      <c r="S1" s="23"/>
    </row>
    <row r="2" spans="1:19" ht="15.75" thickBot="1">
      <c r="A2" s="24" t="s">
        <v>35</v>
      </c>
      <c r="B2" s="26"/>
      <c r="C2" s="26"/>
      <c r="D2" s="26" t="s">
        <v>31</v>
      </c>
      <c r="E2" s="26" t="s">
        <v>32</v>
      </c>
      <c r="F2" s="26" t="s">
        <v>34</v>
      </c>
      <c r="G2" s="26"/>
      <c r="H2" s="27"/>
      <c r="I2" s="26"/>
      <c r="P2" s="28" t="s">
        <v>94</v>
      </c>
      <c r="Q2" s="45">
        <v>0.007</v>
      </c>
      <c r="R2" s="29" t="s">
        <v>33</v>
      </c>
      <c r="S2" s="48" t="s">
        <v>104</v>
      </c>
    </row>
    <row r="3" spans="1:9" ht="15" thickBot="1">
      <c r="A3" s="24" t="s">
        <v>48</v>
      </c>
      <c r="B3" s="26"/>
      <c r="C3" s="26"/>
      <c r="D3" s="26">
        <v>679</v>
      </c>
      <c r="E3" s="26" t="s">
        <v>37</v>
      </c>
      <c r="F3" s="26" t="s">
        <v>116</v>
      </c>
      <c r="G3" s="26"/>
      <c r="H3" s="27"/>
      <c r="I3" s="26"/>
    </row>
    <row r="4" spans="1:19" ht="15.75" thickBot="1">
      <c r="A4" s="28" t="s">
        <v>48</v>
      </c>
      <c r="B4" s="29"/>
      <c r="C4" s="29"/>
      <c r="D4" s="34">
        <f>D3/(1000*365*86400)</f>
        <v>2.1530948756976155E-08</v>
      </c>
      <c r="E4" s="29" t="s">
        <v>40</v>
      </c>
      <c r="F4" s="29"/>
      <c r="G4" s="29"/>
      <c r="H4" s="30"/>
      <c r="I4" s="26"/>
      <c r="P4" s="31" t="s">
        <v>99</v>
      </c>
      <c r="Q4" s="22"/>
      <c r="R4" s="22"/>
      <c r="S4" s="23"/>
    </row>
    <row r="5" spans="1:19" ht="14.25">
      <c r="A5" s="26"/>
      <c r="B5" s="26"/>
      <c r="C5" s="26"/>
      <c r="D5" s="26"/>
      <c r="E5" s="26"/>
      <c r="F5" s="26"/>
      <c r="G5" s="26"/>
      <c r="H5" s="26"/>
      <c r="I5" s="26"/>
      <c r="P5" s="24" t="s">
        <v>43</v>
      </c>
      <c r="Q5" s="26">
        <f>G11</f>
        <v>5071</v>
      </c>
      <c r="R5" s="26" t="s">
        <v>39</v>
      </c>
      <c r="S5" s="27"/>
    </row>
    <row r="6" spans="1:19" ht="14.25">
      <c r="A6" s="26"/>
      <c r="B6" s="26"/>
      <c r="C6" s="26"/>
      <c r="D6" s="26"/>
      <c r="E6" s="26"/>
      <c r="F6" s="26"/>
      <c r="G6" s="26"/>
      <c r="H6" s="26"/>
      <c r="I6" s="26"/>
      <c r="P6" s="24" t="s">
        <v>100</v>
      </c>
      <c r="Q6" s="25">
        <v>1E-08</v>
      </c>
      <c r="R6" s="26" t="s">
        <v>40</v>
      </c>
      <c r="S6" s="27" t="s">
        <v>173</v>
      </c>
    </row>
    <row r="7" spans="11:19" ht="15" thickBot="1">
      <c r="K7" s="21"/>
      <c r="L7" s="21"/>
      <c r="M7" s="21"/>
      <c r="P7" s="24" t="s">
        <v>102</v>
      </c>
      <c r="Q7" s="26">
        <v>0.05</v>
      </c>
      <c r="R7" s="26"/>
      <c r="S7" s="27" t="s">
        <v>172</v>
      </c>
    </row>
    <row r="8" spans="1:19" ht="15.75" thickBot="1">
      <c r="A8" s="143" t="s">
        <v>55</v>
      </c>
      <c r="B8" s="144"/>
      <c r="C8" s="144"/>
      <c r="D8" s="144"/>
      <c r="E8" s="144"/>
      <c r="F8" s="144"/>
      <c r="G8" s="144"/>
      <c r="H8" s="145"/>
      <c r="P8" s="28" t="s">
        <v>103</v>
      </c>
      <c r="Q8" s="34">
        <f>Q6*Q7*Q5</f>
        <v>2.5355E-06</v>
      </c>
      <c r="R8" s="29" t="s">
        <v>33</v>
      </c>
      <c r="S8" s="109"/>
    </row>
    <row r="9" spans="1:8" ht="15" thickBot="1">
      <c r="A9" s="24"/>
      <c r="B9" s="146" t="s">
        <v>51</v>
      </c>
      <c r="C9" s="146"/>
      <c r="D9" s="146"/>
      <c r="E9" s="146"/>
      <c r="F9" s="26" t="s">
        <v>54</v>
      </c>
      <c r="G9" s="26" t="s">
        <v>53</v>
      </c>
      <c r="H9" s="43" t="s">
        <v>32</v>
      </c>
    </row>
    <row r="10" spans="1:19" ht="15">
      <c r="A10" s="24"/>
      <c r="B10" s="26" t="s">
        <v>44</v>
      </c>
      <c r="C10" s="26" t="s">
        <v>45</v>
      </c>
      <c r="D10" s="26" t="s">
        <v>46</v>
      </c>
      <c r="E10" s="26" t="s">
        <v>85</v>
      </c>
      <c r="F10" s="26" t="s">
        <v>47</v>
      </c>
      <c r="G10" s="26" t="s">
        <v>52</v>
      </c>
      <c r="H10" s="27"/>
      <c r="L10" s="20" t="s">
        <v>169</v>
      </c>
      <c r="P10" s="31" t="s">
        <v>110</v>
      </c>
      <c r="Q10" s="22"/>
      <c r="R10" s="22"/>
      <c r="S10" s="23"/>
    </row>
    <row r="11" spans="1:19" ht="14.25">
      <c r="A11" s="24" t="s">
        <v>43</v>
      </c>
      <c r="B11" s="26">
        <v>14429</v>
      </c>
      <c r="C11" s="26">
        <v>8027</v>
      </c>
      <c r="D11" s="26">
        <v>8550</v>
      </c>
      <c r="E11" s="26">
        <f>SUM(B11:D11)</f>
        <v>31006</v>
      </c>
      <c r="F11" s="26">
        <v>40616</v>
      </c>
      <c r="G11" s="26">
        <v>5071</v>
      </c>
      <c r="H11" s="27" t="s">
        <v>39</v>
      </c>
      <c r="J11" s="20" t="s">
        <v>168</v>
      </c>
      <c r="K11" s="20">
        <f>SUM(E11:G11)</f>
        <v>76693</v>
      </c>
      <c r="L11" s="20">
        <v>76764</v>
      </c>
      <c r="M11" s="20">
        <f>L11-K11</f>
        <v>71</v>
      </c>
      <c r="P11" s="24" t="s">
        <v>111</v>
      </c>
      <c r="Q11" s="26">
        <v>240</v>
      </c>
      <c r="R11" s="26" t="s">
        <v>41</v>
      </c>
      <c r="S11" s="27" t="s">
        <v>42</v>
      </c>
    </row>
    <row r="12" spans="1:19" ht="14.25">
      <c r="A12" s="24" t="s">
        <v>56</v>
      </c>
      <c r="B12" s="26">
        <v>0.6</v>
      </c>
      <c r="C12" s="26">
        <v>0.68</v>
      </c>
      <c r="D12" s="26">
        <v>0.68</v>
      </c>
      <c r="E12" s="26"/>
      <c r="F12" s="26">
        <v>0.65</v>
      </c>
      <c r="G12" s="26">
        <v>1</v>
      </c>
      <c r="H12" s="27"/>
      <c r="P12" s="24" t="s">
        <v>112</v>
      </c>
      <c r="Q12" s="26">
        <v>240</v>
      </c>
      <c r="R12" s="26" t="s">
        <v>41</v>
      </c>
      <c r="S12" s="27" t="s">
        <v>42</v>
      </c>
    </row>
    <row r="13" spans="1:19" ht="14.25">
      <c r="A13" s="24" t="s">
        <v>50</v>
      </c>
      <c r="B13" s="25">
        <f>$D$4*B11</f>
        <v>0.00031067005961440893</v>
      </c>
      <c r="C13" s="25">
        <f>$D$4*C11</f>
        <v>0.0001728289256722476</v>
      </c>
      <c r="D13" s="25">
        <f>$D$4*D11</f>
        <v>0.00018408961187214612</v>
      </c>
      <c r="E13" s="25">
        <f>SUM(B13:D13)</f>
        <v>0.0006675885971588027</v>
      </c>
      <c r="F13" s="25">
        <f>$D$4*F11</f>
        <v>0.0008745010147133436</v>
      </c>
      <c r="G13" s="25">
        <f>$D$4*G11</f>
        <v>0.00010918344114662608</v>
      </c>
      <c r="H13" s="27" t="s">
        <v>33</v>
      </c>
      <c r="P13" s="24" t="s">
        <v>105</v>
      </c>
      <c r="Q13" s="26">
        <v>3</v>
      </c>
      <c r="R13" s="26" t="s">
        <v>41</v>
      </c>
      <c r="S13" s="27" t="s">
        <v>113</v>
      </c>
    </row>
    <row r="14" spans="1:19" ht="14.25">
      <c r="A14" s="24" t="s">
        <v>49</v>
      </c>
      <c r="B14" s="25">
        <f>$D$4*B11*B12</f>
        <v>0.00018640203576864535</v>
      </c>
      <c r="C14" s="25">
        <f>$D$4*C11*C12</f>
        <v>0.00011752366945712837</v>
      </c>
      <c r="D14" s="25">
        <f>$D$4*D11*D12</f>
        <v>0.00012518093607305936</v>
      </c>
      <c r="E14" s="25">
        <f>SUM(B14:D14)</f>
        <v>0.0004291066412988331</v>
      </c>
      <c r="F14" s="25">
        <f>$D$4*F11*F12</f>
        <v>0.0005684256595636733</v>
      </c>
      <c r="G14" s="25">
        <f>$D$4*G11*G12</f>
        <v>0.00010918344114662608</v>
      </c>
      <c r="H14" s="27" t="s">
        <v>33</v>
      </c>
      <c r="P14" s="24" t="s">
        <v>170</v>
      </c>
      <c r="Q14" s="26">
        <v>0.1</v>
      </c>
      <c r="R14" s="26"/>
      <c r="S14" s="27" t="s">
        <v>106</v>
      </c>
    </row>
    <row r="15" spans="1:19" ht="15" thickBot="1">
      <c r="A15" s="28" t="s">
        <v>114</v>
      </c>
      <c r="B15" s="34"/>
      <c r="C15" s="34"/>
      <c r="D15" s="34"/>
      <c r="E15" s="34">
        <f>E14+Q19</f>
        <v>0.0004309066412988331</v>
      </c>
      <c r="F15" s="34"/>
      <c r="G15" s="34"/>
      <c r="H15" s="30"/>
      <c r="P15" s="24" t="s">
        <v>171</v>
      </c>
      <c r="Q15" s="26">
        <v>0.15</v>
      </c>
      <c r="R15" s="26"/>
      <c r="S15" s="27" t="s">
        <v>106</v>
      </c>
    </row>
    <row r="16" spans="2:19" ht="15" thickBot="1">
      <c r="B16" s="21"/>
      <c r="P16" s="24" t="s">
        <v>100</v>
      </c>
      <c r="Q16" s="25">
        <f>Q6</f>
        <v>1E-08</v>
      </c>
      <c r="R16" s="26" t="s">
        <v>40</v>
      </c>
      <c r="S16" s="47" t="s">
        <v>173</v>
      </c>
    </row>
    <row r="17" spans="1:19" ht="15">
      <c r="A17" s="31" t="s">
        <v>79</v>
      </c>
      <c r="B17" s="42"/>
      <c r="C17" s="22"/>
      <c r="D17" s="22"/>
      <c r="E17" s="22"/>
      <c r="F17" s="22"/>
      <c r="G17" s="22"/>
      <c r="H17" s="22"/>
      <c r="I17" s="23"/>
      <c r="P17" s="24" t="s">
        <v>108</v>
      </c>
      <c r="Q17" s="25">
        <f>Q16*Q14*Q11*Q13</f>
        <v>7.200000000000001E-07</v>
      </c>
      <c r="R17" s="26" t="s">
        <v>33</v>
      </c>
      <c r="S17" s="27"/>
    </row>
    <row r="18" spans="1:19" ht="14.25">
      <c r="A18" s="24" t="s">
        <v>58</v>
      </c>
      <c r="B18" s="35" t="s">
        <v>59</v>
      </c>
      <c r="C18" s="26" t="s">
        <v>92</v>
      </c>
      <c r="D18" s="26" t="s">
        <v>78</v>
      </c>
      <c r="E18" s="26" t="s">
        <v>77</v>
      </c>
      <c r="F18" s="26" t="s">
        <v>74</v>
      </c>
      <c r="G18" s="26"/>
      <c r="H18" s="26"/>
      <c r="I18" s="27"/>
      <c r="P18" s="24" t="s">
        <v>107</v>
      </c>
      <c r="Q18" s="25">
        <f>Q16*Q15*Q12*Q13</f>
        <v>1.08E-06</v>
      </c>
      <c r="R18" s="26" t="s">
        <v>33</v>
      </c>
      <c r="S18" s="27"/>
    </row>
    <row r="19" spans="1:19" ht="15" thickBot="1">
      <c r="A19" s="24" t="s">
        <v>60</v>
      </c>
      <c r="B19" s="26">
        <v>0.05</v>
      </c>
      <c r="C19" s="36">
        <f>(B19*$Q$8)/($Q$8+$F$14+$G$14)</f>
        <v>0.0001863941871590311</v>
      </c>
      <c r="D19" s="26">
        <v>0.05</v>
      </c>
      <c r="E19" s="26" t="str">
        <f aca="true" t="shared" si="0" ref="E19:E33">IF(C19&lt;$D19,"Y","N")</f>
        <v>Y</v>
      </c>
      <c r="F19" s="26"/>
      <c r="G19" s="26"/>
      <c r="H19" s="26"/>
      <c r="I19" s="27"/>
      <c r="P19" s="28" t="s">
        <v>109</v>
      </c>
      <c r="Q19" s="34">
        <f>SUM(Q17:Q18)</f>
        <v>1.8000000000000001E-06</v>
      </c>
      <c r="R19" s="29" t="s">
        <v>33</v>
      </c>
      <c r="S19" s="30"/>
    </row>
    <row r="20" spans="1:9" ht="15" thickBot="1">
      <c r="A20" s="24" t="s">
        <v>61</v>
      </c>
      <c r="B20" s="26">
        <v>2</v>
      </c>
      <c r="C20" s="36">
        <f aca="true" t="shared" si="1" ref="C20:C33">(B20*$Q$8)/($Q$8+$F$14+$G$14)</f>
        <v>0.007455767486361243</v>
      </c>
      <c r="D20" s="26">
        <v>0.0375</v>
      </c>
      <c r="E20" s="26" t="str">
        <f t="shared" si="0"/>
        <v>Y</v>
      </c>
      <c r="F20" s="26" t="s">
        <v>165</v>
      </c>
      <c r="G20" s="26"/>
      <c r="H20" s="26"/>
      <c r="I20" s="27"/>
    </row>
    <row r="21" spans="1:19" ht="15">
      <c r="A21" s="24" t="s">
        <v>62</v>
      </c>
      <c r="B21" s="38">
        <v>0.004</v>
      </c>
      <c r="C21" s="36">
        <f t="shared" si="1"/>
        <v>1.4911534972722487E-05</v>
      </c>
      <c r="D21" s="36">
        <v>0.00025</v>
      </c>
      <c r="E21" s="26" t="str">
        <f t="shared" si="0"/>
        <v>Y</v>
      </c>
      <c r="F21" s="26" t="s">
        <v>75</v>
      </c>
      <c r="G21" s="26"/>
      <c r="H21" s="26"/>
      <c r="I21" s="27"/>
      <c r="P21" s="31" t="s">
        <v>115</v>
      </c>
      <c r="Q21" s="22"/>
      <c r="R21" s="22"/>
      <c r="S21" s="23"/>
    </row>
    <row r="22" spans="1:19" ht="14.25">
      <c r="A22" s="24" t="s">
        <v>63</v>
      </c>
      <c r="B22" s="26">
        <v>0.05</v>
      </c>
      <c r="C22" s="36">
        <f t="shared" si="1"/>
        <v>0.0001863941871590311</v>
      </c>
      <c r="D22" s="37">
        <v>0.0034</v>
      </c>
      <c r="E22" s="26" t="str">
        <f t="shared" si="0"/>
        <v>Y</v>
      </c>
      <c r="F22" s="26"/>
      <c r="G22" s="26"/>
      <c r="H22" s="26"/>
      <c r="I22" s="27"/>
      <c r="P22" s="24" t="s">
        <v>36</v>
      </c>
      <c r="Q22" s="26">
        <v>158</v>
      </c>
      <c r="R22" s="26" t="s">
        <v>37</v>
      </c>
      <c r="S22" s="27" t="s">
        <v>38</v>
      </c>
    </row>
    <row r="23" spans="1:19" ht="14.25">
      <c r="A23" s="24" t="s">
        <v>64</v>
      </c>
      <c r="B23" s="26">
        <v>0.2</v>
      </c>
      <c r="C23" s="36">
        <f t="shared" si="1"/>
        <v>0.0007455767486361244</v>
      </c>
      <c r="D23" s="26">
        <v>0.001</v>
      </c>
      <c r="E23" s="26" t="str">
        <f t="shared" si="0"/>
        <v>Y</v>
      </c>
      <c r="F23" s="26"/>
      <c r="G23" s="26"/>
      <c r="H23" s="26"/>
      <c r="I23" s="27"/>
      <c r="P23" s="24" t="s">
        <v>36</v>
      </c>
      <c r="Q23" s="25">
        <f>Q22/(1000*365*86400)</f>
        <v>5.0101471334348046E-09</v>
      </c>
      <c r="R23" s="26" t="s">
        <v>40</v>
      </c>
      <c r="S23" s="27"/>
    </row>
    <row r="24" spans="1:19" ht="14.25">
      <c r="A24" s="24" t="s">
        <v>65</v>
      </c>
      <c r="B24" s="26">
        <v>0.001</v>
      </c>
      <c r="C24" s="36">
        <f t="shared" si="1"/>
        <v>3.7278837431806216E-06</v>
      </c>
      <c r="D24" s="36">
        <v>7E-05</v>
      </c>
      <c r="E24" s="26" t="str">
        <f t="shared" si="0"/>
        <v>Y</v>
      </c>
      <c r="F24" s="26"/>
      <c r="G24" s="26"/>
      <c r="H24" s="26"/>
      <c r="I24" s="27"/>
      <c r="P24" s="24" t="s">
        <v>117</v>
      </c>
      <c r="Q24" s="108">
        <f>SUM(B11:D11)+SUM(F11:G11)</f>
        <v>76693</v>
      </c>
      <c r="R24" s="26" t="s">
        <v>39</v>
      </c>
      <c r="S24" s="27" t="s">
        <v>126</v>
      </c>
    </row>
    <row r="25" spans="1:19" ht="14.25">
      <c r="A25" s="24" t="s">
        <v>66</v>
      </c>
      <c r="B25" s="26">
        <v>0.05</v>
      </c>
      <c r="C25" s="36">
        <f t="shared" si="1"/>
        <v>0.0001863941871590311</v>
      </c>
      <c r="D25" s="26">
        <v>0.062</v>
      </c>
      <c r="E25" s="26" t="str">
        <f t="shared" si="0"/>
        <v>Y</v>
      </c>
      <c r="F25" s="26" t="s">
        <v>165</v>
      </c>
      <c r="G25" s="26"/>
      <c r="H25" s="26"/>
      <c r="I25" s="27"/>
      <c r="P25" s="24" t="s">
        <v>118</v>
      </c>
      <c r="Q25" s="25">
        <f>Q23*Q24</f>
        <v>0.00038424321410451546</v>
      </c>
      <c r="R25" s="26" t="s">
        <v>33</v>
      </c>
      <c r="S25" s="27" t="s">
        <v>127</v>
      </c>
    </row>
    <row r="26" spans="1:19" ht="14.25">
      <c r="A26" s="24" t="s">
        <v>67</v>
      </c>
      <c r="B26" s="26">
        <v>0.04</v>
      </c>
      <c r="C26" s="36">
        <f t="shared" si="1"/>
        <v>0.00014911534972722487</v>
      </c>
      <c r="D26" s="26">
        <v>0.004</v>
      </c>
      <c r="E26" s="26" t="str">
        <f t="shared" si="0"/>
        <v>Y</v>
      </c>
      <c r="F26" s="26"/>
      <c r="G26" s="26"/>
      <c r="H26" s="26"/>
      <c r="I26" s="27"/>
      <c r="P26" s="24" t="s">
        <v>119</v>
      </c>
      <c r="Q26" s="25">
        <f>Q8</f>
        <v>2.5355E-06</v>
      </c>
      <c r="R26" s="26" t="s">
        <v>33</v>
      </c>
      <c r="S26" s="27" t="s">
        <v>128</v>
      </c>
    </row>
    <row r="27" spans="1:19" ht="14.25">
      <c r="A27" s="24" t="s">
        <v>68</v>
      </c>
      <c r="B27" s="26">
        <v>0.05</v>
      </c>
      <c r="C27" s="36">
        <f t="shared" si="1"/>
        <v>0.0001863941871590311</v>
      </c>
      <c r="D27" s="26">
        <v>0.012</v>
      </c>
      <c r="E27" s="26" t="str">
        <f t="shared" si="0"/>
        <v>Y</v>
      </c>
      <c r="F27" s="26"/>
      <c r="G27" s="26"/>
      <c r="H27" s="26"/>
      <c r="I27" s="27"/>
      <c r="P27" s="24" t="s">
        <v>120</v>
      </c>
      <c r="Q27" s="25">
        <f>Q19</f>
        <v>1.8000000000000001E-06</v>
      </c>
      <c r="R27" s="26" t="s">
        <v>33</v>
      </c>
      <c r="S27" s="27" t="s">
        <v>129</v>
      </c>
    </row>
    <row r="28" spans="1:19" ht="15" thickBot="1">
      <c r="A28" s="24" t="s">
        <v>69</v>
      </c>
      <c r="B28" s="26">
        <v>0.006</v>
      </c>
      <c r="C28" s="36">
        <f t="shared" si="1"/>
        <v>2.2367302459083733E-05</v>
      </c>
      <c r="D28" s="26">
        <v>0.005</v>
      </c>
      <c r="E28" s="26" t="str">
        <f t="shared" si="0"/>
        <v>Y</v>
      </c>
      <c r="F28" s="26" t="s">
        <v>76</v>
      </c>
      <c r="G28" s="26"/>
      <c r="H28" s="26"/>
      <c r="I28" s="27"/>
      <c r="P28" s="28" t="s">
        <v>121</v>
      </c>
      <c r="Q28" s="34">
        <f>Q25-Q26-Q27</f>
        <v>0.00037990771410451545</v>
      </c>
      <c r="R28" s="29" t="s">
        <v>33</v>
      </c>
      <c r="S28" s="30" t="s">
        <v>130</v>
      </c>
    </row>
    <row r="29" spans="1:9" ht="14.25">
      <c r="A29" s="24" t="s">
        <v>70</v>
      </c>
      <c r="B29" s="26">
        <f>3*0.01</f>
        <v>0.03</v>
      </c>
      <c r="C29" s="36">
        <f t="shared" si="1"/>
        <v>0.00011183651229541864</v>
      </c>
      <c r="D29" s="26">
        <v>0.00256</v>
      </c>
      <c r="E29" s="26" t="str">
        <f t="shared" si="0"/>
        <v>Y</v>
      </c>
      <c r="F29" s="26" t="s">
        <v>165</v>
      </c>
      <c r="G29" s="26"/>
      <c r="H29" s="26"/>
      <c r="I29" s="27"/>
    </row>
    <row r="30" spans="1:18" ht="14.25">
      <c r="A30" s="24" t="s">
        <v>71</v>
      </c>
      <c r="B30" s="26">
        <v>0.4</v>
      </c>
      <c r="C30" s="36">
        <f t="shared" si="1"/>
        <v>0.0014911534972722488</v>
      </c>
      <c r="D30" s="33">
        <v>0.0109</v>
      </c>
      <c r="E30" s="26" t="str">
        <f t="shared" si="0"/>
        <v>Y</v>
      </c>
      <c r="F30" s="26"/>
      <c r="G30" s="26"/>
      <c r="H30" s="26"/>
      <c r="I30" s="27"/>
      <c r="P30" s="20" t="s">
        <v>122</v>
      </c>
      <c r="Q30" s="20">
        <v>950</v>
      </c>
      <c r="R30" s="20" t="s">
        <v>41</v>
      </c>
    </row>
    <row r="31" spans="1:18" ht="14.25">
      <c r="A31" s="24" t="s">
        <v>72</v>
      </c>
      <c r="B31" s="26">
        <v>80</v>
      </c>
      <c r="C31" s="36">
        <f t="shared" si="1"/>
        <v>0.29823069945444974</v>
      </c>
      <c r="D31" s="26">
        <v>250</v>
      </c>
      <c r="E31" s="26" t="str">
        <f t="shared" si="0"/>
        <v>Y</v>
      </c>
      <c r="F31" s="26"/>
      <c r="G31" s="26"/>
      <c r="H31" s="26"/>
      <c r="I31" s="27"/>
      <c r="P31" s="26" t="s">
        <v>101</v>
      </c>
      <c r="Q31" s="26">
        <f>90-52</f>
        <v>38</v>
      </c>
      <c r="R31" s="20" t="s">
        <v>41</v>
      </c>
    </row>
    <row r="32" spans="1:18" ht="14.25">
      <c r="A32" s="24" t="s">
        <v>73</v>
      </c>
      <c r="B32" s="26">
        <v>1</v>
      </c>
      <c r="C32" s="36">
        <f t="shared" si="1"/>
        <v>0.0037278837431806216</v>
      </c>
      <c r="D32" s="26">
        <v>1</v>
      </c>
      <c r="E32" s="26" t="str">
        <f t="shared" si="0"/>
        <v>Y</v>
      </c>
      <c r="F32" s="26"/>
      <c r="G32" s="26"/>
      <c r="H32" s="26"/>
      <c r="I32" s="27"/>
      <c r="P32" s="26" t="s">
        <v>123</v>
      </c>
      <c r="Q32" s="26">
        <f>Q30*Q31</f>
        <v>36100</v>
      </c>
      <c r="R32" s="20" t="s">
        <v>39</v>
      </c>
    </row>
    <row r="33" spans="1:18" ht="15" thickBot="1">
      <c r="A33" s="28" t="s">
        <v>57</v>
      </c>
      <c r="B33" s="29">
        <f>3*100</f>
        <v>300</v>
      </c>
      <c r="C33" s="110">
        <f t="shared" si="1"/>
        <v>1.1183651229541867</v>
      </c>
      <c r="D33" s="29">
        <v>400</v>
      </c>
      <c r="E33" s="29" t="str">
        <f t="shared" si="0"/>
        <v>Y</v>
      </c>
      <c r="F33" s="29"/>
      <c r="G33" s="29"/>
      <c r="H33" s="29"/>
      <c r="I33" s="30"/>
      <c r="P33" s="20" t="s">
        <v>125</v>
      </c>
      <c r="Q33" s="25">
        <v>5.7E-07</v>
      </c>
      <c r="R33" s="20" t="s">
        <v>40</v>
      </c>
    </row>
    <row r="34" spans="16:17" ht="15" thickBot="1">
      <c r="P34" s="26" t="s">
        <v>124</v>
      </c>
      <c r="Q34" s="33">
        <f>Q28/(Q33*Q32)</f>
        <v>0.018462735778029617</v>
      </c>
    </row>
    <row r="35" spans="1:17" ht="15">
      <c r="A35" s="31" t="s">
        <v>131</v>
      </c>
      <c r="B35" s="22"/>
      <c r="C35" s="22"/>
      <c r="D35" s="22"/>
      <c r="E35" s="22"/>
      <c r="F35" s="22"/>
      <c r="G35" s="22"/>
      <c r="H35" s="22"/>
      <c r="I35" s="22"/>
      <c r="J35" s="22"/>
      <c r="K35" s="22"/>
      <c r="L35" s="22"/>
      <c r="M35" s="22"/>
      <c r="N35" s="23"/>
      <c r="O35" s="26"/>
      <c r="P35" s="26"/>
      <c r="Q35" s="26"/>
    </row>
    <row r="36" spans="1:17" ht="14.25">
      <c r="A36" s="24" t="s">
        <v>58</v>
      </c>
      <c r="B36" s="35" t="s">
        <v>59</v>
      </c>
      <c r="C36" s="35" t="s">
        <v>93</v>
      </c>
      <c r="D36" s="26" t="s">
        <v>80</v>
      </c>
      <c r="E36" s="26" t="s">
        <v>81</v>
      </c>
      <c r="F36" s="26" t="s">
        <v>84</v>
      </c>
      <c r="G36" s="26" t="s">
        <v>86</v>
      </c>
      <c r="H36" s="26" t="s">
        <v>82</v>
      </c>
      <c r="I36" s="26" t="s">
        <v>88</v>
      </c>
      <c r="J36" s="26" t="s">
        <v>95</v>
      </c>
      <c r="K36" s="26" t="s">
        <v>97</v>
      </c>
      <c r="L36" s="26" t="s">
        <v>96</v>
      </c>
      <c r="M36" s="26" t="s">
        <v>83</v>
      </c>
      <c r="N36" s="27" t="s">
        <v>74</v>
      </c>
      <c r="O36" s="26"/>
      <c r="P36" s="26"/>
      <c r="Q36" s="26"/>
    </row>
    <row r="37" spans="1:17" ht="14.25">
      <c r="A37" s="24" t="s">
        <v>60</v>
      </c>
      <c r="B37" s="26">
        <v>0.05</v>
      </c>
      <c r="C37" s="36">
        <f aca="true" t="shared" si="2" ref="C37:C47">(B37*$Q$19)/($Q$19+$E$14)</f>
        <v>0.00020886194682152775</v>
      </c>
      <c r="D37" s="26">
        <f>0.1*D19</f>
        <v>0.005000000000000001</v>
      </c>
      <c r="E37" s="26" t="str">
        <f>IF(C37&lt;D37,"Y","N")</f>
        <v>Y</v>
      </c>
      <c r="F37" s="39">
        <f aca="true" t="shared" si="3" ref="F37:F47">(C37*$E$15)/($E$15+$Q$2)</f>
        <v>1.2111577273734809E-05</v>
      </c>
      <c r="G37" s="26">
        <f>0.04*D19</f>
        <v>0.002</v>
      </c>
      <c r="H37" s="26" t="str">
        <f>IF(F37&lt;G37,"Y","N")</f>
        <v>Y</v>
      </c>
      <c r="I37" s="26">
        <v>0.000928</v>
      </c>
      <c r="J37" s="36">
        <f aca="true" t="shared" si="4" ref="J37:J47">((C37*$E$15)+(I37*$Q$2))/($E$15+$Q$2)</f>
        <v>0.0008862983102757493</v>
      </c>
      <c r="K37" s="25"/>
      <c r="L37" s="25"/>
      <c r="M37" s="25"/>
      <c r="N37" s="27"/>
      <c r="O37" s="26"/>
      <c r="P37" s="26"/>
      <c r="Q37" s="26"/>
    </row>
    <row r="38" spans="1:17" ht="14.25">
      <c r="A38" s="24" t="s">
        <v>62</v>
      </c>
      <c r="B38" s="38">
        <v>0.004</v>
      </c>
      <c r="C38" s="39">
        <f t="shared" si="2"/>
        <v>1.670895574572222E-05</v>
      </c>
      <c r="D38" s="26">
        <f>0.1*D21</f>
        <v>2.5E-05</v>
      </c>
      <c r="E38" s="26" t="str">
        <f aca="true" t="shared" si="5" ref="E38:E47">IF(C38&lt;D38,"Y","N")</f>
        <v>Y</v>
      </c>
      <c r="F38" s="46">
        <f t="shared" si="3"/>
        <v>9.689261818987847E-07</v>
      </c>
      <c r="G38" s="26">
        <f>0.04*D21</f>
        <v>1E-05</v>
      </c>
      <c r="H38" s="26" t="str">
        <f aca="true" t="shared" si="6" ref="H38:H47">IF(F38&lt;G38,"Y","N")</f>
        <v>Y</v>
      </c>
      <c r="I38" s="26">
        <v>0.0007</v>
      </c>
      <c r="J38" s="36">
        <f t="shared" si="4"/>
        <v>0.0006603770221963493</v>
      </c>
      <c r="K38" s="25"/>
      <c r="L38" s="25"/>
      <c r="M38" s="25"/>
      <c r="N38" s="27" t="s">
        <v>89</v>
      </c>
      <c r="O38" s="26"/>
      <c r="P38" s="26"/>
      <c r="Q38" s="26"/>
    </row>
    <row r="39" spans="1:17" ht="14.25">
      <c r="A39" s="24" t="s">
        <v>63</v>
      </c>
      <c r="B39" s="26">
        <v>0.05</v>
      </c>
      <c r="C39" s="36">
        <f t="shared" si="2"/>
        <v>0.00020886194682152775</v>
      </c>
      <c r="D39" s="26">
        <f>0.1*D22</f>
        <v>0.00034</v>
      </c>
      <c r="E39" s="26" t="str">
        <f t="shared" si="5"/>
        <v>Y</v>
      </c>
      <c r="F39" s="39">
        <f t="shared" si="3"/>
        <v>1.2111577273734809E-05</v>
      </c>
      <c r="G39" s="26">
        <f>0.04*D22</f>
        <v>0.000136</v>
      </c>
      <c r="H39" s="26" t="str">
        <f t="shared" si="6"/>
        <v>Y</v>
      </c>
      <c r="I39" s="26">
        <v>0.0014</v>
      </c>
      <c r="J39" s="37">
        <f t="shared" si="4"/>
        <v>0.0013309277693026361</v>
      </c>
      <c r="K39" s="25"/>
      <c r="L39" s="25"/>
      <c r="M39" s="25"/>
      <c r="N39" s="27" t="s">
        <v>90</v>
      </c>
      <c r="O39" s="26"/>
      <c r="P39" s="26"/>
      <c r="Q39" s="26"/>
    </row>
    <row r="40" spans="1:17" ht="14.25">
      <c r="A40" s="24" t="s">
        <v>64</v>
      </c>
      <c r="B40" s="26">
        <v>0.2</v>
      </c>
      <c r="C40" s="37">
        <f t="shared" si="2"/>
        <v>0.000835447787286111</v>
      </c>
      <c r="D40" s="26">
        <f>0.1*D23</f>
        <v>0.0001</v>
      </c>
      <c r="E40" s="26" t="str">
        <f t="shared" si="5"/>
        <v>N</v>
      </c>
      <c r="F40" s="36">
        <f t="shared" si="3"/>
        <v>4.8446309094939236E-05</v>
      </c>
      <c r="G40" s="26">
        <f>0.04*D23</f>
        <v>4E-05</v>
      </c>
      <c r="H40" s="26" t="str">
        <f t="shared" si="6"/>
        <v>N</v>
      </c>
      <c r="I40" s="37">
        <v>0.00595</v>
      </c>
      <c r="J40" s="37">
        <f t="shared" si="4"/>
        <v>0.00565341512521777</v>
      </c>
      <c r="K40" s="36">
        <f>J40-I40</f>
        <v>-0.00029658487478223007</v>
      </c>
      <c r="L40" s="25" t="str">
        <f>IF(K40&lt;D40,"Y","N")</f>
        <v>Y</v>
      </c>
      <c r="M40" s="25" t="str">
        <f>IF(J40&lt;D23,"Y","N")</f>
        <v>N</v>
      </c>
      <c r="N40" s="27"/>
      <c r="O40" s="26"/>
      <c r="P40" s="26"/>
      <c r="Q40" s="26"/>
    </row>
    <row r="41" spans="1:17" ht="14.25">
      <c r="A41" s="24" t="s">
        <v>65</v>
      </c>
      <c r="B41" s="26">
        <v>0.001</v>
      </c>
      <c r="C41" s="39">
        <f t="shared" si="2"/>
        <v>4.177238936430555E-06</v>
      </c>
      <c r="D41" s="26">
        <f>0.1*D24</f>
        <v>7E-06</v>
      </c>
      <c r="E41" s="26" t="str">
        <f t="shared" si="5"/>
        <v>Y</v>
      </c>
      <c r="F41" s="49">
        <f t="shared" si="3"/>
        <v>2.422315454746962E-07</v>
      </c>
      <c r="G41" s="26">
        <f>0.04*D24</f>
        <v>2.8E-06</v>
      </c>
      <c r="H41" s="26" t="str">
        <f t="shared" si="6"/>
        <v>Y</v>
      </c>
      <c r="I41" s="26">
        <v>0.0004</v>
      </c>
      <c r="J41" s="36">
        <f t="shared" si="4"/>
        <v>0.0003770468578394465</v>
      </c>
      <c r="K41" s="25"/>
      <c r="L41" s="25"/>
      <c r="M41" s="25"/>
      <c r="N41" s="27" t="s">
        <v>91</v>
      </c>
      <c r="O41" s="26"/>
      <c r="P41" s="26"/>
      <c r="Q41" s="26"/>
    </row>
    <row r="42" spans="1:17" ht="14.25">
      <c r="A42" s="24" t="s">
        <v>67</v>
      </c>
      <c r="B42" s="26">
        <v>0.04</v>
      </c>
      <c r="C42" s="36">
        <f t="shared" si="2"/>
        <v>0.0001670895574572222</v>
      </c>
      <c r="D42" s="26">
        <f>0.1*D26</f>
        <v>0.0004</v>
      </c>
      <c r="E42" s="26" t="str">
        <f t="shared" si="5"/>
        <v>Y</v>
      </c>
      <c r="F42" s="39">
        <f t="shared" si="3"/>
        <v>9.689261818987848E-06</v>
      </c>
      <c r="G42" s="26">
        <f>0.04*D26</f>
        <v>0.00016</v>
      </c>
      <c r="H42" s="26" t="str">
        <f t="shared" si="6"/>
        <v>Y</v>
      </c>
      <c r="I42" s="26">
        <v>0.004</v>
      </c>
      <c r="J42" s="37">
        <f t="shared" si="4"/>
        <v>0.003777735524758705</v>
      </c>
      <c r="K42" s="25"/>
      <c r="L42" s="25"/>
      <c r="M42" s="25"/>
      <c r="N42" s="27"/>
      <c r="O42" s="26"/>
      <c r="P42" s="26"/>
      <c r="Q42" s="26"/>
    </row>
    <row r="43" spans="1:17" ht="14.25">
      <c r="A43" s="24" t="s">
        <v>68</v>
      </c>
      <c r="B43" s="26">
        <v>0.05</v>
      </c>
      <c r="C43" s="36">
        <f t="shared" si="2"/>
        <v>0.00020886194682152775</v>
      </c>
      <c r="D43" s="26">
        <f>0.1*D27</f>
        <v>0.0012000000000000001</v>
      </c>
      <c r="E43" s="26" t="str">
        <f t="shared" si="5"/>
        <v>Y</v>
      </c>
      <c r="F43" s="39">
        <f t="shared" si="3"/>
        <v>1.2111577273734809E-05</v>
      </c>
      <c r="G43" s="26">
        <f>0.04*D27</f>
        <v>0.00048</v>
      </c>
      <c r="H43" s="26" t="str">
        <f t="shared" si="6"/>
        <v>Y</v>
      </c>
      <c r="I43" s="26">
        <v>0.007</v>
      </c>
      <c r="J43" s="37">
        <f t="shared" si="4"/>
        <v>0.006606192537418242</v>
      </c>
      <c r="K43" s="25"/>
      <c r="L43" s="25"/>
      <c r="M43" s="25"/>
      <c r="N43" s="27" t="s">
        <v>89</v>
      </c>
      <c r="O43" s="26"/>
      <c r="P43" s="26"/>
      <c r="Q43" s="26"/>
    </row>
    <row r="44" spans="1:15" ht="14.25">
      <c r="A44" s="24" t="s">
        <v>71</v>
      </c>
      <c r="B44" s="26">
        <v>0.4</v>
      </c>
      <c r="C44" s="37">
        <f t="shared" si="2"/>
        <v>0.001670895574572222</v>
      </c>
      <c r="D44" s="26">
        <f>0.1*D30</f>
        <v>0.00109</v>
      </c>
      <c r="E44" s="26" t="str">
        <f t="shared" si="5"/>
        <v>N</v>
      </c>
      <c r="F44" s="36">
        <f t="shared" si="3"/>
        <v>9.689261818987847E-05</v>
      </c>
      <c r="G44" s="26">
        <f>0.04*D30</f>
        <v>0.000436</v>
      </c>
      <c r="H44" s="26" t="str">
        <f t="shared" si="6"/>
        <v>Y</v>
      </c>
      <c r="I44" s="26">
        <v>0.013</v>
      </c>
      <c r="J44" s="38">
        <f t="shared" si="4"/>
        <v>0.012343042972743962</v>
      </c>
      <c r="K44" s="25"/>
      <c r="L44" s="25"/>
      <c r="M44" s="25"/>
      <c r="N44" s="27"/>
      <c r="O44" s="26"/>
    </row>
    <row r="45" spans="1:15" ht="14.25">
      <c r="A45" s="24" t="s">
        <v>72</v>
      </c>
      <c r="B45" s="26">
        <v>80</v>
      </c>
      <c r="C45" s="33">
        <f t="shared" si="2"/>
        <v>0.33417911491444435</v>
      </c>
      <c r="D45" s="26">
        <f>0.1*D31</f>
        <v>25</v>
      </c>
      <c r="E45" s="26" t="str">
        <f t="shared" si="5"/>
        <v>Y</v>
      </c>
      <c r="F45" s="38">
        <f t="shared" si="3"/>
        <v>0.01937852363797569</v>
      </c>
      <c r="G45" s="26">
        <f>0.04*D31</f>
        <v>10</v>
      </c>
      <c r="H45" s="26" t="str">
        <f t="shared" si="6"/>
        <v>Y</v>
      </c>
      <c r="I45" s="26">
        <v>94.2</v>
      </c>
      <c r="J45" s="32">
        <f t="shared" si="4"/>
        <v>88.75686801586833</v>
      </c>
      <c r="K45" s="25"/>
      <c r="L45" s="25"/>
      <c r="M45" s="25"/>
      <c r="N45" s="27"/>
      <c r="O45" s="26"/>
    </row>
    <row r="46" spans="1:15" ht="14.25">
      <c r="A46" s="24" t="s">
        <v>73</v>
      </c>
      <c r="B46" s="26">
        <v>1</v>
      </c>
      <c r="C46" s="38">
        <f t="shared" si="2"/>
        <v>0.004177238936430554</v>
      </c>
      <c r="D46" s="26">
        <f>0.1*D32</f>
        <v>0.1</v>
      </c>
      <c r="E46" s="26" t="str">
        <f t="shared" si="5"/>
        <v>Y</v>
      </c>
      <c r="F46" s="36">
        <f t="shared" si="3"/>
        <v>0.00024223154547469613</v>
      </c>
      <c r="G46" s="26">
        <f>0.04*D32</f>
        <v>0.04</v>
      </c>
      <c r="H46" s="26" t="str">
        <f t="shared" si="6"/>
        <v>Y</v>
      </c>
      <c r="I46" s="26">
        <v>0.37</v>
      </c>
      <c r="J46" s="33">
        <f t="shared" si="4"/>
        <v>0.3487865108673986</v>
      </c>
      <c r="K46" s="25"/>
      <c r="L46" s="25"/>
      <c r="M46" s="25"/>
      <c r="N46" s="27"/>
      <c r="O46" s="26"/>
    </row>
    <row r="47" spans="1:15" ht="15" thickBot="1">
      <c r="A47" s="28" t="s">
        <v>57</v>
      </c>
      <c r="B47" s="29">
        <f>3*100</f>
        <v>300</v>
      </c>
      <c r="C47" s="41">
        <f t="shared" si="2"/>
        <v>1.2531716809291664</v>
      </c>
      <c r="D47" s="29">
        <f>0.1*D33</f>
        <v>40</v>
      </c>
      <c r="E47" s="29" t="str">
        <f t="shared" si="5"/>
        <v>Y</v>
      </c>
      <c r="F47" s="44">
        <f t="shared" si="3"/>
        <v>0.07266946364240884</v>
      </c>
      <c r="G47" s="29">
        <f>0.04*D33</f>
        <v>16</v>
      </c>
      <c r="H47" s="29" t="str">
        <f t="shared" si="6"/>
        <v>Y</v>
      </c>
      <c r="I47" s="29">
        <v>110</v>
      </c>
      <c r="J47" s="40">
        <f t="shared" si="4"/>
        <v>103.69394169448465</v>
      </c>
      <c r="K47" s="34"/>
      <c r="L47" s="34"/>
      <c r="M47" s="34"/>
      <c r="N47" s="30"/>
      <c r="O47" s="26"/>
    </row>
  </sheetData>
  <sheetProtection/>
  <mergeCells count="2">
    <mergeCell ref="A8:H8"/>
    <mergeCell ref="B9:E9"/>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AJ24"/>
  <sheetViews>
    <sheetView zoomScalePageLayoutView="0" workbookViewId="0" topLeftCell="C1">
      <selection activeCell="C4" sqref="C4"/>
    </sheetView>
  </sheetViews>
  <sheetFormatPr defaultColWidth="9.33203125" defaultRowHeight="11.25"/>
  <cols>
    <col min="1" max="1" width="27.16015625" style="20" bestFit="1" customWidth="1"/>
    <col min="2" max="2" width="22.83203125" style="20" customWidth="1"/>
    <col min="3" max="3" width="25.33203125" style="20" customWidth="1"/>
    <col min="4" max="4" width="12" style="20" bestFit="1" customWidth="1"/>
    <col min="5" max="5" width="14.5" style="20" bestFit="1" customWidth="1"/>
    <col min="6" max="6" width="14" style="20" bestFit="1" customWidth="1"/>
    <col min="7" max="7" width="13.33203125" style="20" bestFit="1" customWidth="1"/>
    <col min="8" max="8" width="14.5" style="20" bestFit="1" customWidth="1"/>
    <col min="9" max="9" width="27.16015625" style="20" bestFit="1" customWidth="1"/>
    <col min="10" max="10" width="13.5" style="20" bestFit="1" customWidth="1"/>
    <col min="11" max="11" width="18" style="20" bestFit="1" customWidth="1"/>
    <col min="12" max="13" width="14.5" style="20" bestFit="1" customWidth="1"/>
    <col min="14" max="14" width="81.66015625" style="20" bestFit="1" customWidth="1"/>
    <col min="15" max="15" width="9.33203125" style="20" customWidth="1"/>
    <col min="16" max="16" width="32.83203125" style="20" bestFit="1" customWidth="1"/>
    <col min="17" max="17" width="9.83203125" style="20" customWidth="1"/>
    <col min="18" max="18" width="11" style="20" bestFit="1" customWidth="1"/>
    <col min="19" max="19" width="6.66015625" style="20" bestFit="1" customWidth="1"/>
    <col min="20" max="20" width="55.66015625" style="20" bestFit="1" customWidth="1"/>
    <col min="21" max="22" width="9.33203125" style="20" customWidth="1"/>
    <col min="23" max="23" width="11" style="20" bestFit="1" customWidth="1"/>
    <col min="24" max="16384" width="9.33203125" style="20" customWidth="1"/>
  </cols>
  <sheetData>
    <row r="1" spans="1:36" ht="15">
      <c r="A1" s="31" t="s">
        <v>161</v>
      </c>
      <c r="B1" s="22"/>
      <c r="C1" s="22"/>
      <c r="D1" s="22"/>
      <c r="E1" s="22"/>
      <c r="F1" s="22"/>
      <c r="G1" s="22"/>
      <c r="H1" s="22"/>
      <c r="I1" s="22"/>
      <c r="J1" s="22"/>
      <c r="K1" s="22"/>
      <c r="L1" s="22"/>
      <c r="M1" s="22"/>
      <c r="N1" s="23"/>
      <c r="P1" s="106" t="s">
        <v>132</v>
      </c>
      <c r="Q1" s="22"/>
      <c r="R1" s="22" t="s">
        <v>31</v>
      </c>
      <c r="S1" s="22" t="s">
        <v>32</v>
      </c>
      <c r="T1" s="23" t="s">
        <v>34</v>
      </c>
      <c r="V1" s="50"/>
      <c r="W1" s="51"/>
      <c r="X1" s="51"/>
      <c r="Y1" s="51"/>
      <c r="Z1" s="51"/>
      <c r="AA1" s="51"/>
      <c r="AB1" s="52"/>
      <c r="AD1" s="85"/>
      <c r="AE1" s="86"/>
      <c r="AF1" s="86"/>
      <c r="AG1" s="86"/>
      <c r="AH1" s="86"/>
      <c r="AI1" s="86"/>
      <c r="AJ1" s="87"/>
    </row>
    <row r="2" spans="1:36" ht="14.25">
      <c r="A2" s="24" t="s">
        <v>58</v>
      </c>
      <c r="B2" s="35" t="s">
        <v>59</v>
      </c>
      <c r="C2" s="35" t="s">
        <v>93</v>
      </c>
      <c r="D2" s="26" t="s">
        <v>80</v>
      </c>
      <c r="E2" s="26" t="s">
        <v>81</v>
      </c>
      <c r="F2" s="26" t="s">
        <v>84</v>
      </c>
      <c r="G2" s="26" t="s">
        <v>86</v>
      </c>
      <c r="H2" s="26" t="s">
        <v>82</v>
      </c>
      <c r="I2" s="26" t="s">
        <v>88</v>
      </c>
      <c r="J2" s="26" t="s">
        <v>95</v>
      </c>
      <c r="K2" s="26" t="s">
        <v>97</v>
      </c>
      <c r="L2" s="26" t="s">
        <v>96</v>
      </c>
      <c r="M2" s="26" t="s">
        <v>83</v>
      </c>
      <c r="N2" s="27" t="s">
        <v>74</v>
      </c>
      <c r="P2" s="24" t="s">
        <v>164</v>
      </c>
      <c r="Q2" s="26"/>
      <c r="R2" s="25">
        <v>0.005694</v>
      </c>
      <c r="S2" s="26" t="s">
        <v>33</v>
      </c>
      <c r="T2" s="27" t="s">
        <v>133</v>
      </c>
      <c r="V2" s="53"/>
      <c r="W2" s="54"/>
      <c r="X2" s="55" t="s">
        <v>135</v>
      </c>
      <c r="Y2" s="54"/>
      <c r="Z2" s="55" t="s">
        <v>136</v>
      </c>
      <c r="AA2" s="55" t="s">
        <v>137</v>
      </c>
      <c r="AB2" s="56"/>
      <c r="AD2" s="88"/>
      <c r="AE2" s="54"/>
      <c r="AF2" s="54"/>
      <c r="AG2" s="54"/>
      <c r="AH2" s="54"/>
      <c r="AI2" s="54"/>
      <c r="AJ2" s="89"/>
    </row>
    <row r="3" spans="1:36" ht="15.75">
      <c r="A3" s="24" t="s">
        <v>60</v>
      </c>
      <c r="B3" s="26">
        <v>0.05</v>
      </c>
      <c r="C3" s="25">
        <f>(B3*$R$3)/($R$3+$R$4)</f>
        <v>1.8552225292376632E-07</v>
      </c>
      <c r="D3" s="26">
        <f>0.1*'Restored RA'!D19</f>
        <v>0.005000000000000001</v>
      </c>
      <c r="E3" s="26" t="str">
        <f aca="true" t="shared" si="0" ref="E3:E13">IF(C3&lt;D3,"Y","N")</f>
        <v>Y</v>
      </c>
      <c r="F3" s="37">
        <f>(C3*$R$2)/($R$2+'Restored RA'!$Q$2)</f>
        <v>8.32175601187904E-08</v>
      </c>
      <c r="G3" s="26">
        <f>0.04*'Restored RA'!D19</f>
        <v>0.002</v>
      </c>
      <c r="H3" s="26" t="str">
        <f aca="true" t="shared" si="1" ref="H3:H13">IF(F3&lt;G3,"Y","N")</f>
        <v>Y</v>
      </c>
      <c r="I3" s="26">
        <v>0.000928</v>
      </c>
      <c r="J3" s="36">
        <f>((C3*'Restored RA'!$E$15)+(I3*'Restored RA'!$Q$2))/('Restored RA'!$E$15+'Restored RA'!$Q$2)</f>
        <v>0.000874197491146983</v>
      </c>
      <c r="K3" s="25"/>
      <c r="L3" s="25"/>
      <c r="M3" s="25"/>
      <c r="N3" s="27"/>
      <c r="P3" s="24" t="s">
        <v>134</v>
      </c>
      <c r="Q3" s="26" t="s">
        <v>162</v>
      </c>
      <c r="R3" s="25">
        <f>X11/86400</f>
        <v>2.1127274162958507E-08</v>
      </c>
      <c r="S3" s="26" t="s">
        <v>33</v>
      </c>
      <c r="T3" s="27" t="s">
        <v>159</v>
      </c>
      <c r="V3" s="57" t="s">
        <v>138</v>
      </c>
      <c r="W3" s="58" t="s">
        <v>139</v>
      </c>
      <c r="X3" s="59">
        <v>0</v>
      </c>
      <c r="Y3" s="60" t="s">
        <v>41</v>
      </c>
      <c r="Z3" s="61"/>
      <c r="AA3" s="62"/>
      <c r="AB3" s="63" t="s">
        <v>41</v>
      </c>
      <c r="AD3" s="88"/>
      <c r="AE3" s="54"/>
      <c r="AF3" s="54"/>
      <c r="AG3" s="54"/>
      <c r="AH3" s="54"/>
      <c r="AI3" s="54"/>
      <c r="AJ3" s="89"/>
    </row>
    <row r="4" spans="1:36" ht="16.5" thickBot="1">
      <c r="A4" s="24" t="s">
        <v>62</v>
      </c>
      <c r="B4" s="38">
        <v>0.004</v>
      </c>
      <c r="C4" s="25">
        <f aca="true" t="shared" si="2" ref="C4:C13">(B4*$R$3)/($R$3+$R$2)</f>
        <v>1.484172516449551E-08</v>
      </c>
      <c r="D4" s="26">
        <f>0.1*'Restored RA'!D21</f>
        <v>2.5E-05</v>
      </c>
      <c r="E4" s="26" t="str">
        <f t="shared" si="0"/>
        <v>Y</v>
      </c>
      <c r="F4" s="36">
        <f>(C4*$R$2)/($R$2+'Restored RA'!$Q$2)</f>
        <v>6.65738010766011E-09</v>
      </c>
      <c r="G4" s="26">
        <f>0.04*'Restored RA'!D21</f>
        <v>1E-05</v>
      </c>
      <c r="H4" s="26" t="str">
        <f t="shared" si="1"/>
        <v>Y</v>
      </c>
      <c r="I4" s="26">
        <v>0.0007</v>
      </c>
      <c r="J4" s="36">
        <f>((C4*'Restored RA'!$E$15)+(I4*'Restored RA'!$Q$2))/('Restored RA'!$E$15+'Restored RA'!$Q$2)</f>
        <v>0.0006594089566628546</v>
      </c>
      <c r="K4" s="25"/>
      <c r="L4" s="25"/>
      <c r="M4" s="25"/>
      <c r="N4" s="27" t="s">
        <v>89</v>
      </c>
      <c r="P4" s="28" t="s">
        <v>158</v>
      </c>
      <c r="Q4" s="29" t="s">
        <v>163</v>
      </c>
      <c r="R4" s="45">
        <f>R2-R3</f>
        <v>0.0056939788727258375</v>
      </c>
      <c r="S4" s="29" t="s">
        <v>33</v>
      </c>
      <c r="T4" s="30" t="s">
        <v>160</v>
      </c>
      <c r="V4" s="64" t="s">
        <v>140</v>
      </c>
      <c r="W4" s="65" t="s">
        <v>141</v>
      </c>
      <c r="X4" s="66">
        <f>AF11</f>
        <v>1.1283791670955126</v>
      </c>
      <c r="Y4" s="67" t="s">
        <v>41</v>
      </c>
      <c r="Z4" s="68"/>
      <c r="AA4" s="68"/>
      <c r="AB4" s="56"/>
      <c r="AD4" s="88"/>
      <c r="AE4" s="54"/>
      <c r="AF4" s="54"/>
      <c r="AG4" s="54"/>
      <c r="AH4" s="54"/>
      <c r="AI4" s="54"/>
      <c r="AJ4" s="89"/>
    </row>
    <row r="5" spans="1:36" ht="14.25">
      <c r="A5" s="24" t="s">
        <v>63</v>
      </c>
      <c r="B5" s="26">
        <v>0.05</v>
      </c>
      <c r="C5" s="25">
        <f t="shared" si="2"/>
        <v>1.8552156455619388E-07</v>
      </c>
      <c r="D5" s="26">
        <f>0.1*'Restored RA'!D22</f>
        <v>0.00034</v>
      </c>
      <c r="E5" s="26" t="str">
        <f t="shared" si="0"/>
        <v>Y</v>
      </c>
      <c r="F5" s="37">
        <f>(C5*$R$2)/($R$2+'Restored RA'!$Q$2)</f>
        <v>8.321725134575138E-08</v>
      </c>
      <c r="G5" s="26">
        <f>0.04*'Restored RA'!D22</f>
        <v>0.000136</v>
      </c>
      <c r="H5" s="26" t="str">
        <f t="shared" si="1"/>
        <v>Y</v>
      </c>
      <c r="I5" s="26">
        <v>0.0014</v>
      </c>
      <c r="J5" s="37">
        <f>((C5*'Restored RA'!$E$15)+(I5*'Restored RA'!$Q$2))/('Restored RA'!$E$15+'Restored RA'!$Q$2)</f>
        <v>0.0013188269501339521</v>
      </c>
      <c r="K5" s="25"/>
      <c r="L5" s="25"/>
      <c r="M5" s="25"/>
      <c r="N5" s="27" t="s">
        <v>90</v>
      </c>
      <c r="V5" s="69"/>
      <c r="W5" s="54"/>
      <c r="X5" s="70"/>
      <c r="Y5" s="54"/>
      <c r="Z5" s="55"/>
      <c r="AA5" s="55"/>
      <c r="AB5" s="56"/>
      <c r="AD5" s="88"/>
      <c r="AE5" s="54"/>
      <c r="AF5" s="54"/>
      <c r="AG5" s="54"/>
      <c r="AH5" s="54"/>
      <c r="AI5" s="54"/>
      <c r="AJ5" s="89"/>
    </row>
    <row r="6" spans="1:36" ht="15.75">
      <c r="A6" s="24" t="s">
        <v>64</v>
      </c>
      <c r="B6" s="26">
        <v>0.2</v>
      </c>
      <c r="C6" s="25">
        <f t="shared" si="2"/>
        <v>7.420862582247755E-07</v>
      </c>
      <c r="D6" s="26">
        <f>0.1*'Restored RA'!D23</f>
        <v>0.0001</v>
      </c>
      <c r="E6" s="26" t="str">
        <f t="shared" si="0"/>
        <v>Y</v>
      </c>
      <c r="F6" s="37">
        <f>(C6*$R$2)/($R$2+'Restored RA'!$Q$2)</f>
        <v>3.328690053830055E-07</v>
      </c>
      <c r="G6" s="26">
        <f>0.04*'Restored RA'!D23</f>
        <v>4E-05</v>
      </c>
      <c r="H6" s="26" t="str">
        <f t="shared" si="1"/>
        <v>Y</v>
      </c>
      <c r="I6" s="37">
        <v>0.00595</v>
      </c>
      <c r="J6" s="37">
        <f>((C6*'Restored RA'!$E$15)+(I6*'Restored RA'!$Q$2))/('Restored RA'!$E$15+'Restored RA'!$Q$2)</f>
        <v>0.0056050118485430345</v>
      </c>
      <c r="K6" s="36"/>
      <c r="L6" s="25"/>
      <c r="M6" s="25"/>
      <c r="N6" s="27"/>
      <c r="V6" s="69" t="s">
        <v>142</v>
      </c>
      <c r="W6" s="58" t="s">
        <v>143</v>
      </c>
      <c r="X6" s="71">
        <v>1</v>
      </c>
      <c r="Y6" s="60" t="s">
        <v>41</v>
      </c>
      <c r="Z6" s="61"/>
      <c r="AA6" s="62"/>
      <c r="AB6" s="63" t="s">
        <v>41</v>
      </c>
      <c r="AD6" s="90"/>
      <c r="AE6" s="91"/>
      <c r="AF6" s="70" t="s">
        <v>135</v>
      </c>
      <c r="AG6" s="68"/>
      <c r="AH6" s="70" t="s">
        <v>136</v>
      </c>
      <c r="AI6" s="70" t="s">
        <v>137</v>
      </c>
      <c r="AJ6" s="92"/>
    </row>
    <row r="7" spans="1:36" ht="15.75">
      <c r="A7" s="24" t="s">
        <v>65</v>
      </c>
      <c r="B7" s="26">
        <v>0.001</v>
      </c>
      <c r="C7" s="25">
        <f t="shared" si="2"/>
        <v>3.7104312911238776E-09</v>
      </c>
      <c r="D7" s="26">
        <f>0.1*'Restored RA'!D24</f>
        <v>7E-06</v>
      </c>
      <c r="E7" s="26" t="str">
        <f t="shared" si="0"/>
        <v>Y</v>
      </c>
      <c r="F7" s="39">
        <f>(C7*$R$2)/($R$2+'Restored RA'!$Q$2)</f>
        <v>1.6643450269150276E-09</v>
      </c>
      <c r="G7" s="26">
        <f>0.04*'Restored RA'!D24</f>
        <v>2.8E-06</v>
      </c>
      <c r="H7" s="26" t="str">
        <f t="shared" si="1"/>
        <v>Y</v>
      </c>
      <c r="I7" s="26">
        <v>0.0004</v>
      </c>
      <c r="J7" s="36">
        <f>((C7*'Restored RA'!$E$15)+(I7*'Restored RA'!$Q$2))/('Restored RA'!$E$15+'Restored RA'!$Q$2)</f>
        <v>0.00037680484145607285</v>
      </c>
      <c r="K7" s="25"/>
      <c r="L7" s="25"/>
      <c r="M7" s="25"/>
      <c r="N7" s="27" t="s">
        <v>91</v>
      </c>
      <c r="V7" s="69" t="s">
        <v>144</v>
      </c>
      <c r="W7" s="65" t="s">
        <v>145</v>
      </c>
      <c r="X7" s="72">
        <v>5</v>
      </c>
      <c r="Y7" s="67" t="s">
        <v>41</v>
      </c>
      <c r="Z7" s="70"/>
      <c r="AA7" s="70"/>
      <c r="AB7" s="56"/>
      <c r="AD7" s="88" t="s">
        <v>152</v>
      </c>
      <c r="AE7" s="73" t="s">
        <v>153</v>
      </c>
      <c r="AF7" s="93">
        <v>2</v>
      </c>
      <c r="AG7" s="94" t="s">
        <v>41</v>
      </c>
      <c r="AH7" s="95">
        <v>90</v>
      </c>
      <c r="AI7" s="95">
        <v>120</v>
      </c>
      <c r="AJ7" s="96" t="s">
        <v>41</v>
      </c>
    </row>
    <row r="8" spans="1:36" ht="14.25">
      <c r="A8" s="24" t="s">
        <v>67</v>
      </c>
      <c r="B8" s="26">
        <v>0.04</v>
      </c>
      <c r="C8" s="25">
        <f t="shared" si="2"/>
        <v>1.484172516449551E-07</v>
      </c>
      <c r="D8" s="26">
        <f>0.1*'Restored RA'!D26</f>
        <v>0.0004</v>
      </c>
      <c r="E8" s="26" t="str">
        <f t="shared" si="0"/>
        <v>Y</v>
      </c>
      <c r="F8" s="37">
        <f>(C8*$R$2)/($R$2+'Restored RA'!$Q$2)</f>
        <v>6.657380107660108E-08</v>
      </c>
      <c r="G8" s="26">
        <f>0.04*'Restored RA'!D26</f>
        <v>0.00016</v>
      </c>
      <c r="H8" s="26" t="str">
        <f t="shared" si="1"/>
        <v>Y</v>
      </c>
      <c r="I8" s="26">
        <v>0.004</v>
      </c>
      <c r="J8" s="37">
        <f>((C8*'Restored RA'!$E$15)+(I8*'Restored RA'!$Q$2))/('Restored RA'!$E$15+'Restored RA'!$Q$2)</f>
        <v>0.0037680548694237585</v>
      </c>
      <c r="K8" s="25"/>
      <c r="L8" s="25"/>
      <c r="M8" s="25"/>
      <c r="N8" s="27"/>
      <c r="V8" s="69"/>
      <c r="W8" s="73"/>
      <c r="X8" s="74"/>
      <c r="Y8" s="60"/>
      <c r="Z8" s="75"/>
      <c r="AA8" s="75"/>
      <c r="AB8" s="63"/>
      <c r="AD8" s="88" t="s">
        <v>154</v>
      </c>
      <c r="AE8" s="73" t="s">
        <v>155</v>
      </c>
      <c r="AF8" s="93">
        <v>2</v>
      </c>
      <c r="AG8" s="94" t="s">
        <v>41</v>
      </c>
      <c r="AH8" s="95">
        <v>70</v>
      </c>
      <c r="AI8" s="95">
        <v>100</v>
      </c>
      <c r="AJ8" s="96" t="s">
        <v>41</v>
      </c>
    </row>
    <row r="9" spans="1:36" ht="14.25">
      <c r="A9" s="24" t="s">
        <v>68</v>
      </c>
      <c r="B9" s="26">
        <v>0.05</v>
      </c>
      <c r="C9" s="25">
        <f t="shared" si="2"/>
        <v>1.8552156455619388E-07</v>
      </c>
      <c r="D9" s="26">
        <f>0.1*'Restored RA'!D27</f>
        <v>0.0012000000000000001</v>
      </c>
      <c r="E9" s="26" t="str">
        <f t="shared" si="0"/>
        <v>Y</v>
      </c>
      <c r="F9" s="37">
        <f>(C9*$R$2)/($R$2+'Restored RA'!$Q$2)</f>
        <v>8.321725134575138E-08</v>
      </c>
      <c r="G9" s="26">
        <f>0.04*'Restored RA'!D27</f>
        <v>0.00048</v>
      </c>
      <c r="H9" s="26" t="str">
        <f t="shared" si="1"/>
        <v>Y</v>
      </c>
      <c r="I9" s="26">
        <v>0.007</v>
      </c>
      <c r="J9" s="37">
        <f>((C9*'Restored RA'!$E$15)+(I9*'Restored RA'!$Q$2))/('Restored RA'!$E$15+'Restored RA'!$Q$2)</f>
        <v>0.006594091718249558</v>
      </c>
      <c r="K9" s="25"/>
      <c r="L9" s="25"/>
      <c r="M9" s="25"/>
      <c r="N9" s="27" t="s">
        <v>89</v>
      </c>
      <c r="V9" s="69" t="s">
        <v>146</v>
      </c>
      <c r="W9" s="73" t="s">
        <v>147</v>
      </c>
      <c r="X9" s="71">
        <f>0.00000001*86400</f>
        <v>0.000864</v>
      </c>
      <c r="Y9" s="60" t="s">
        <v>148</v>
      </c>
      <c r="Z9" s="61"/>
      <c r="AA9" s="62"/>
      <c r="AB9" s="63" t="s">
        <v>148</v>
      </c>
      <c r="AD9" s="88"/>
      <c r="AE9" s="54"/>
      <c r="AF9" s="97"/>
      <c r="AG9" s="98"/>
      <c r="AH9" s="97"/>
      <c r="AI9" s="97"/>
      <c r="AJ9" s="89"/>
    </row>
    <row r="10" spans="1:36" ht="14.25">
      <c r="A10" s="24" t="s">
        <v>71</v>
      </c>
      <c r="B10" s="26">
        <v>0.4</v>
      </c>
      <c r="C10" s="25">
        <f t="shared" si="2"/>
        <v>1.484172516449551E-06</v>
      </c>
      <c r="D10" s="26">
        <f>0.1*'Restored RA'!D30</f>
        <v>0.00109</v>
      </c>
      <c r="E10" s="26" t="str">
        <f t="shared" si="0"/>
        <v>Y</v>
      </c>
      <c r="F10" s="38">
        <f>(C10*$R$2)/($R$2+'Restored RA'!$Q$2)</f>
        <v>6.65738010766011E-07</v>
      </c>
      <c r="G10" s="26">
        <f>0.04*'Restored RA'!D30</f>
        <v>0.000436</v>
      </c>
      <c r="H10" s="26" t="str">
        <f t="shared" si="1"/>
        <v>Y</v>
      </c>
      <c r="I10" s="26">
        <v>0.013</v>
      </c>
      <c r="J10" s="38">
        <f>((C10*'Restored RA'!$E$15)+(I10*'Restored RA'!$Q$2))/('Restored RA'!$E$15+'Restored RA'!$Q$2)</f>
        <v>0.012246236419394492</v>
      </c>
      <c r="K10" s="25"/>
      <c r="L10" s="25"/>
      <c r="M10" s="25"/>
      <c r="N10" s="27"/>
      <c r="V10" s="69"/>
      <c r="W10" s="54"/>
      <c r="X10" s="70"/>
      <c r="Y10" s="54"/>
      <c r="Z10" s="70"/>
      <c r="AA10" s="70"/>
      <c r="AB10" s="56"/>
      <c r="AD10" s="88"/>
      <c r="AE10" s="54"/>
      <c r="AF10" s="55"/>
      <c r="AG10" s="54"/>
      <c r="AH10" s="55"/>
      <c r="AI10" s="55"/>
      <c r="AJ10" s="89"/>
    </row>
    <row r="11" spans="1:36" ht="16.5" thickBot="1">
      <c r="A11" s="24" t="s">
        <v>72</v>
      </c>
      <c r="B11" s="26">
        <v>80</v>
      </c>
      <c r="C11" s="25">
        <f t="shared" si="2"/>
        <v>0.0002968345032899102</v>
      </c>
      <c r="D11" s="26">
        <f>0.1*'Restored RA'!D31</f>
        <v>25</v>
      </c>
      <c r="E11" s="26" t="str">
        <f t="shared" si="0"/>
        <v>Y</v>
      </c>
      <c r="F11" s="35">
        <f>(C11*$R$2)/($R$2+'Restored RA'!$Q$2)</f>
        <v>0.00013314760215320218</v>
      </c>
      <c r="G11" s="26">
        <f>0.04*'Restored RA'!D31</f>
        <v>10</v>
      </c>
      <c r="H11" s="26" t="str">
        <f t="shared" si="1"/>
        <v>Y</v>
      </c>
      <c r="I11" s="26">
        <v>94.2</v>
      </c>
      <c r="J11" s="32">
        <f>((C11*'Restored RA'!$E$15)+(I11*'Restored RA'!$Q$2))/('Restored RA'!$E$15+'Restored RA'!$Q$2)</f>
        <v>88.73750670519843</v>
      </c>
      <c r="K11" s="25"/>
      <c r="L11" s="25"/>
      <c r="M11" s="25"/>
      <c r="N11" s="27"/>
      <c r="V11" s="76" t="s">
        <v>149</v>
      </c>
      <c r="W11" s="77" t="s">
        <v>150</v>
      </c>
      <c r="X11" s="107">
        <f>PI()*X9*((X6^2-X3^2)/(2.3*LOG(X7/X4)))</f>
        <v>0.001825396487679615</v>
      </c>
      <c r="Y11" s="78" t="s">
        <v>151</v>
      </c>
      <c r="Z11" s="79">
        <f>PI()*MIN(X9:AA9)*((MIN(X6:AA6)^2-MAX(X3:AA3)^2)/(2.3*LOG(X7/X4)))</f>
        <v>0.001825396487679615</v>
      </c>
      <c r="AA11" s="79">
        <f>PI()*MAX(X9:AA9)*((MAX(X6:AA6)^2-MIN(X3:AA3)^2)/(2.3*LOG(X7/X4)))</f>
        <v>0.001825396487679615</v>
      </c>
      <c r="AB11" s="80" t="s">
        <v>151</v>
      </c>
      <c r="AD11" s="88" t="s">
        <v>156</v>
      </c>
      <c r="AE11" s="73" t="s">
        <v>157</v>
      </c>
      <c r="AF11" s="99">
        <f>SQRT(AF7*AF8/PI())</f>
        <v>1.1283791670955126</v>
      </c>
      <c r="AG11" s="94" t="s">
        <v>41</v>
      </c>
      <c r="AH11" s="100">
        <f>SQRT((MIN(AF7:AI7)*MIN(AF8:AI8))/PI())</f>
        <v>1.1283791670955126</v>
      </c>
      <c r="AI11" s="100">
        <f>SQRT((MAX(AF7:AI7)*MAX(AF8:AI8))/PI())</f>
        <v>61.80387232371034</v>
      </c>
      <c r="AJ11" s="96" t="s">
        <v>41</v>
      </c>
    </row>
    <row r="12" spans="1:36" ht="15" thickBot="1">
      <c r="A12" s="24" t="s">
        <v>73</v>
      </c>
      <c r="B12" s="26">
        <v>1</v>
      </c>
      <c r="C12" s="25">
        <f t="shared" si="2"/>
        <v>3.710431291123877E-06</v>
      </c>
      <c r="D12" s="26">
        <f>0.1*'Restored RA'!D32</f>
        <v>0.1</v>
      </c>
      <c r="E12" s="26" t="str">
        <f t="shared" si="0"/>
        <v>Y</v>
      </c>
      <c r="F12" s="38">
        <f>(C12*$R$2)/($R$2+'Restored RA'!$Q$2)</f>
        <v>1.6643450269150272E-06</v>
      </c>
      <c r="G12" s="26">
        <f>0.04*'Restored RA'!D32</f>
        <v>0.04</v>
      </c>
      <c r="H12" s="26" t="str">
        <f t="shared" si="1"/>
        <v>Y</v>
      </c>
      <c r="I12" s="26">
        <v>0.37</v>
      </c>
      <c r="J12" s="33">
        <f>((C12*'Restored RA'!$E$15)+(I12*'Restored RA'!$Q$2))/('Restored RA'!$E$15+'Restored RA'!$Q$2)</f>
        <v>0.3485444944840249</v>
      </c>
      <c r="K12" s="25"/>
      <c r="L12" s="25"/>
      <c r="M12" s="25"/>
      <c r="N12" s="27"/>
      <c r="V12" s="81"/>
      <c r="W12" s="82"/>
      <c r="X12" s="83"/>
      <c r="Y12" s="82"/>
      <c r="Z12" s="83"/>
      <c r="AA12" s="83"/>
      <c r="AB12" s="84"/>
      <c r="AD12" s="88"/>
      <c r="AE12" s="54"/>
      <c r="AF12" s="54"/>
      <c r="AG12" s="54"/>
      <c r="AH12" s="68"/>
      <c r="AI12" s="68"/>
      <c r="AJ12" s="89"/>
    </row>
    <row r="13" spans="1:36" ht="15" thickBot="1">
      <c r="A13" s="28" t="s">
        <v>57</v>
      </c>
      <c r="B13" s="29">
        <f>3*100</f>
        <v>300</v>
      </c>
      <c r="C13" s="34">
        <f t="shared" si="2"/>
        <v>0.0011131293873371632</v>
      </c>
      <c r="D13" s="29">
        <f>0.1*'Restored RA'!D33</f>
        <v>40</v>
      </c>
      <c r="E13" s="29" t="str">
        <f t="shared" si="0"/>
        <v>Y</v>
      </c>
      <c r="F13" s="40">
        <f>(C13*$R$2)/($R$2+'Restored RA'!$Q$2)</f>
        <v>0.0004993035080745082</v>
      </c>
      <c r="G13" s="29">
        <f>0.04*'Restored RA'!D33</f>
        <v>16</v>
      </c>
      <c r="H13" s="29" t="str">
        <f t="shared" si="1"/>
        <v>Y</v>
      </c>
      <c r="I13" s="29">
        <v>110</v>
      </c>
      <c r="J13" s="40">
        <f>((C13*'Restored RA'!$E$15)+(I13*'Restored RA'!$Q$2))/('Restored RA'!$E$15+'Restored RA'!$Q$2)</f>
        <v>103.62133677947254</v>
      </c>
      <c r="K13" s="34"/>
      <c r="L13" s="34"/>
      <c r="M13" s="34"/>
      <c r="N13" s="30"/>
      <c r="AD13" s="88"/>
      <c r="AE13" s="54"/>
      <c r="AF13" s="54"/>
      <c r="AG13" s="54"/>
      <c r="AH13" s="54"/>
      <c r="AI13" s="54"/>
      <c r="AJ13" s="89"/>
    </row>
    <row r="14" spans="30:36" ht="14.25">
      <c r="AD14" s="88"/>
      <c r="AE14" s="54"/>
      <c r="AF14" s="54"/>
      <c r="AG14" s="54"/>
      <c r="AH14" s="54"/>
      <c r="AI14" s="54"/>
      <c r="AJ14" s="89"/>
    </row>
    <row r="15" spans="30:36" ht="15" thickBot="1">
      <c r="AD15" s="101"/>
      <c r="AE15" s="55"/>
      <c r="AF15" s="55"/>
      <c r="AG15" s="55"/>
      <c r="AH15" s="55"/>
      <c r="AI15" s="55"/>
      <c r="AJ15" s="102"/>
    </row>
    <row r="16" spans="30:36" ht="15" thickBot="1">
      <c r="AD16" s="103"/>
      <c r="AE16" s="104"/>
      <c r="AF16" s="104"/>
      <c r="AG16" s="104"/>
      <c r="AH16" s="104"/>
      <c r="AI16" s="104"/>
      <c r="AJ16" s="105"/>
    </row>
    <row r="21" ht="14.25">
      <c r="W21" s="21"/>
    </row>
    <row r="24" ht="14.25">
      <c r="W24" s="2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Daily</dc:creator>
  <cp:keywords/>
  <dc:description/>
  <cp:lastModifiedBy>Registered User</cp:lastModifiedBy>
  <cp:lastPrinted>2014-07-17T09:59:00Z</cp:lastPrinted>
  <dcterms:created xsi:type="dcterms:W3CDTF">2014-07-16T12:40:53Z</dcterms:created>
  <dcterms:modified xsi:type="dcterms:W3CDTF">2021-06-09T09:40:56Z</dcterms:modified>
  <cp:category/>
  <cp:version/>
  <cp:contentType/>
  <cp:contentStatus/>
</cp:coreProperties>
</file>