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16" yWindow="63160" windowWidth="29040" windowHeight="15840" activeTab="0"/>
  </bookViews>
  <sheets>
    <sheet name="example a" sheetId="1" r:id="rId1"/>
    <sheet name="example b" sheetId="2" r:id="rId2"/>
    <sheet name="example c" sheetId="3" r:id="rId3"/>
    <sheet name="example d" sheetId="4" r:id="rId4"/>
  </sheets>
  <definedNames>
    <definedName name="_Toc532985276" localSheetId="0">'example a'!#REF!</definedName>
  </definedNames>
  <calcPr fullCalcOnLoad="1"/>
</workbook>
</file>

<file path=xl/sharedStrings.xml><?xml version="1.0" encoding="utf-8"?>
<sst xmlns="http://schemas.openxmlformats.org/spreadsheetml/2006/main" count="751" uniqueCount="194">
  <si>
    <t>Step</t>
  </si>
  <si>
    <t>% Fill</t>
  </si>
  <si>
    <t>Charge Potassium Fluoride</t>
  </si>
  <si>
    <t>Charge Pyridine</t>
  </si>
  <si>
    <t>Charge DMSO</t>
  </si>
  <si>
    <t>-</t>
  </si>
  <si>
    <t>Cool to ambient</t>
  </si>
  <si>
    <t>Charge MTBE</t>
  </si>
  <si>
    <t>Stir for 30 min</t>
  </si>
  <si>
    <t>Charge Water</t>
  </si>
  <si>
    <t>Reaction in FR3</t>
  </si>
  <si>
    <t>Recieve vessel rinse</t>
  </si>
  <si>
    <t>Recieve reaction mixture</t>
  </si>
  <si>
    <t>Charge MTBE rinse to vessel</t>
  </si>
  <si>
    <t>Charge Tetrabutylammonium Chloride</t>
  </si>
  <si>
    <t>Stir for Xmins</t>
  </si>
  <si>
    <t>Quantity
(g)</t>
  </si>
  <si>
    <t>Volume
(mL)</t>
  </si>
  <si>
    <t>Total Mass
(g)</t>
  </si>
  <si>
    <t>Total Volume
(mL)</t>
  </si>
  <si>
    <t>Step Time
(mins)</t>
  </si>
  <si>
    <t>Total Time
(mins)</t>
  </si>
  <si>
    <t>Settle for Xmins</t>
  </si>
  <si>
    <t>Transfer lower aqueous layer back to FR3</t>
  </si>
  <si>
    <t>Extractions in FR3</t>
  </si>
  <si>
    <t>Stir contents of FR3 for Xmins</t>
  </si>
  <si>
    <t>Settle contents of FR3 for Xmins</t>
  </si>
  <si>
    <t>Re-charge aqueous layer</t>
  </si>
  <si>
    <t>Discharge lower aqueous layer to waste drum</t>
  </si>
  <si>
    <t>Receive organic layer from FR3</t>
  </si>
  <si>
    <t>Charge brine</t>
  </si>
  <si>
    <t>Stir contents for Xmins</t>
  </si>
  <si>
    <t>Settle contents for Xmins</t>
  </si>
  <si>
    <t>Charge sodium sulphate</t>
  </si>
  <si>
    <t>Agitate contents for Xmins</t>
  </si>
  <si>
    <t>Rotary evaporator</t>
  </si>
  <si>
    <t>Recieve dried solution from QVF separator</t>
  </si>
  <si>
    <t>Remove solvent under vacuum</t>
  </si>
  <si>
    <t>Scale factor</t>
  </si>
  <si>
    <t>mmols</t>
  </si>
  <si>
    <t>Material</t>
  </si>
  <si>
    <t>MW</t>
  </si>
  <si>
    <t>Density</t>
  </si>
  <si>
    <t>DMSO</t>
  </si>
  <si>
    <t>MTBE</t>
  </si>
  <si>
    <t>Water</t>
  </si>
  <si>
    <t>Brine</t>
  </si>
  <si>
    <t>Na2SO4</t>
  </si>
  <si>
    <t>N/A</t>
  </si>
  <si>
    <t>Cpd 9</t>
  </si>
  <si>
    <t>Assumed density</t>
  </si>
  <si>
    <t>equiv.</t>
  </si>
  <si>
    <t>Product in MTBE</t>
  </si>
  <si>
    <t>Charge Compound 9</t>
  </si>
  <si>
    <t>Maximum theoretical yield:</t>
  </si>
  <si>
    <t>Anticipated yield:</t>
  </si>
  <si>
    <t>g</t>
  </si>
  <si>
    <t>Product is a viscous oil.</t>
  </si>
  <si>
    <t>Charge Ethyl Acetate</t>
  </si>
  <si>
    <t>Transfer wet cake to drying trays.</t>
  </si>
  <si>
    <t>Filtration and drying</t>
  </si>
  <si>
    <r>
      <t>Dry in vacuum oven at 45</t>
    </r>
    <r>
      <rPr>
        <sz val="11"/>
        <color indexed="8"/>
        <rFont val="Calibri"/>
        <family val="2"/>
      </rPr>
      <t>⁰C</t>
    </r>
  </si>
  <si>
    <t>NaOH</t>
  </si>
  <si>
    <t>Citric Acid</t>
  </si>
  <si>
    <t>EtOAc</t>
  </si>
  <si>
    <t>Cpd 10</t>
  </si>
  <si>
    <t>Charge compound 10</t>
  </si>
  <si>
    <t>SEP_1</t>
  </si>
  <si>
    <t>Discharge lower aqueous layer to waste</t>
  </si>
  <si>
    <t>Charge Brine</t>
  </si>
  <si>
    <t>Charge Sodium Sulphate</t>
  </si>
  <si>
    <t>Cpd 11</t>
  </si>
  <si>
    <t>Cpd 15</t>
  </si>
  <si>
    <t>Unknown density</t>
  </si>
  <si>
    <t>Assumed Solution Density</t>
  </si>
  <si>
    <t>KL-100</t>
  </si>
  <si>
    <t>Reaction in KL-100</t>
  </si>
  <si>
    <t>Expected yield:</t>
  </si>
  <si>
    <t>Sat. NH4Cl</t>
  </si>
  <si>
    <t>CDI</t>
  </si>
  <si>
    <r>
      <t>Heat to 45</t>
    </r>
    <r>
      <rPr>
        <sz val="11"/>
        <color indexed="8"/>
        <rFont val="Calibri"/>
        <family val="2"/>
      </rPr>
      <t>⁰C</t>
    </r>
  </si>
  <si>
    <t>Charge CDI over 5 minutes</t>
  </si>
  <si>
    <t>Stir for 45 minutes</t>
  </si>
  <si>
    <t>Charge further CDI</t>
  </si>
  <si>
    <t>Stir for 3 hours</t>
  </si>
  <si>
    <t>Charge solution of compound 15</t>
  </si>
  <si>
    <t>In DMSO over 5 mins</t>
  </si>
  <si>
    <t>Charge saturated ammonium chloride</t>
  </si>
  <si>
    <t>Transfer contents of KL-100 to SEP_1</t>
  </si>
  <si>
    <t>Work-up</t>
  </si>
  <si>
    <t>Accept contents of KL-100</t>
  </si>
  <si>
    <t>Stir contents fo Xmins</t>
  </si>
  <si>
    <t>Transfer to Rotary Evaporator Bulb via filter</t>
  </si>
  <si>
    <t>Recrystallisation</t>
  </si>
  <si>
    <t>Cpd 12</t>
  </si>
  <si>
    <t>MeCN</t>
  </si>
  <si>
    <t>Charge compound 11</t>
  </si>
  <si>
    <t>Charge Acetonitrile</t>
  </si>
  <si>
    <t>Transfer contents to filter</t>
  </si>
  <si>
    <t>Charge Acetonitrile cake wash</t>
  </si>
  <si>
    <t>Filtration</t>
  </si>
  <si>
    <t>Smooth cake</t>
  </si>
  <si>
    <t>Accept wash</t>
  </si>
  <si>
    <t>Allow to soak through cake</t>
  </si>
  <si>
    <t>De-liquor</t>
  </si>
  <si>
    <t>Filter</t>
  </si>
  <si>
    <t>Accept slurry</t>
  </si>
  <si>
    <t>Reaction</t>
  </si>
  <si>
    <t>Discharge upper MTBE layer to waste</t>
  </si>
  <si>
    <t>Transfer lower aqeuous layer to KL-100</t>
  </si>
  <si>
    <t>Stir for NLT 1 hour</t>
  </si>
  <si>
    <t>Transfer to filter</t>
  </si>
  <si>
    <t>Accept slurry from KL-100</t>
  </si>
  <si>
    <t>Accept Purified Water wash from KL-100</t>
  </si>
  <si>
    <t>Accept MTBE wash from KL-100</t>
  </si>
  <si>
    <t>De-liquor filter cake</t>
  </si>
  <si>
    <t>De-liquor and send wash to waste drum</t>
  </si>
  <si>
    <t>De-liquor and send liquors to waste drum</t>
  </si>
  <si>
    <t>Charge Purified Water</t>
  </si>
  <si>
    <t>Charge MTBE.</t>
  </si>
  <si>
    <t xml:space="preserve"> </t>
  </si>
  <si>
    <t>Raw Materials</t>
  </si>
  <si>
    <t>Comments</t>
  </si>
  <si>
    <t>Sodium Chloride</t>
  </si>
  <si>
    <t>Quantity (g)</t>
  </si>
  <si>
    <t>?</t>
  </si>
  <si>
    <t>Ethanol</t>
  </si>
  <si>
    <t>Ethyl Acetate</t>
  </si>
  <si>
    <t>Sodium Hydroxide</t>
  </si>
  <si>
    <t>Solid</t>
  </si>
  <si>
    <t>1,1′-Carbonyldiimidazole</t>
  </si>
  <si>
    <t>3-(aminomethyl)phenol</t>
  </si>
  <si>
    <t>Ammonium Chloride</t>
  </si>
  <si>
    <t>Sodium Sulphate</t>
  </si>
  <si>
    <t>Anhydrous</t>
  </si>
  <si>
    <t>Acetonitrile</t>
  </si>
  <si>
    <t>Based on 2.1Kg of Compound 7 (4 batches)</t>
  </si>
  <si>
    <t>Anticipated yield from stage:</t>
  </si>
  <si>
    <t>Based on 2.1Kg of Compound 7 (2 batches required)</t>
  </si>
  <si>
    <t>Based on 2.1Kg of Compound 7 (1 batch required)</t>
  </si>
  <si>
    <t>SF</t>
  </si>
  <si>
    <t>example A</t>
  </si>
  <si>
    <t>example b</t>
  </si>
  <si>
    <t>KF Reagent</t>
  </si>
  <si>
    <t>TBAC Reagent</t>
  </si>
  <si>
    <t>Pyr Reagent</t>
  </si>
  <si>
    <t>DMSO solvent</t>
  </si>
  <si>
    <t>MTBE solvent</t>
  </si>
  <si>
    <t>Water solvent</t>
  </si>
  <si>
    <t>Brine solvent</t>
  </si>
  <si>
    <t>Na2SO4 reagent</t>
  </si>
  <si>
    <t>Cpd 1</t>
  </si>
  <si>
    <t>Charge Compound 1</t>
  </si>
  <si>
    <t>Cpd 2</t>
  </si>
  <si>
    <t>Charge Compound 2</t>
  </si>
  <si>
    <r>
      <t>Heat to 90</t>
    </r>
    <r>
      <rPr>
        <sz val="11"/>
        <color indexed="8"/>
        <rFont val="Calibri"/>
        <family val="2"/>
      </rPr>
      <t>⁰C and stir for 100h</t>
    </r>
  </si>
  <si>
    <t>100h</t>
  </si>
  <si>
    <t>2h</t>
  </si>
  <si>
    <t>Transfer to seperator</t>
  </si>
  <si>
    <t>1h</t>
  </si>
  <si>
    <t>Transfer to  seperator</t>
  </si>
  <si>
    <t>Work-up  seperator</t>
  </si>
  <si>
    <t xml:space="preserve">Recieve aqueous layer </t>
  </si>
  <si>
    <t>Discharge lower aqueous layer to container</t>
  </si>
  <si>
    <t>Transfer  to seperator</t>
  </si>
  <si>
    <t>Receive organic layer fromvessel</t>
  </si>
  <si>
    <t>Work-up in seperator</t>
  </si>
  <si>
    <t>Transfer agitated slurry via filter to  flask</t>
  </si>
  <si>
    <t>Rinse seperator and filter to flask with MTBE</t>
  </si>
  <si>
    <t>Recieve  from separator</t>
  </si>
  <si>
    <t xml:space="preserve"> MTBE rinse from separator</t>
  </si>
  <si>
    <t>0.5h</t>
  </si>
  <si>
    <t>Charge NaOH solution</t>
  </si>
  <si>
    <t>16h</t>
  </si>
  <si>
    <t>THF</t>
  </si>
  <si>
    <t>Charge THF</t>
  </si>
  <si>
    <t>Stir at ambient. 20C</t>
  </si>
  <si>
    <t>transfer  to seperator</t>
  </si>
  <si>
    <t>transfer</t>
  </si>
  <si>
    <t>water</t>
  </si>
  <si>
    <t xml:space="preserve"> charge solution of Citric Acid</t>
  </si>
  <si>
    <t>Transfer to filter.</t>
  </si>
  <si>
    <t xml:space="preserve"> Transfer to filter.</t>
  </si>
  <si>
    <t>3h</t>
  </si>
  <si>
    <t>Distil until THF has been removed at 40C and vacuum</t>
  </si>
  <si>
    <t>Compound 15</t>
  </si>
  <si>
    <t>0.1h</t>
  </si>
  <si>
    <t>4h</t>
  </si>
  <si>
    <r>
      <t>Heat contents to 82</t>
    </r>
    <r>
      <rPr>
        <sz val="11"/>
        <color indexed="8"/>
        <rFont val="Calibri"/>
        <family val="2"/>
      </rPr>
      <t>⁰C</t>
    </r>
  </si>
  <si>
    <t>Cool</t>
  </si>
  <si>
    <t>9h</t>
  </si>
  <si>
    <t xml:space="preserve">Cool </t>
  </si>
  <si>
    <r>
      <t>Transfer cake to oven trays and dry under reduced pressure at 50</t>
    </r>
    <r>
      <rPr>
        <sz val="11"/>
        <color indexed="8"/>
        <rFont val="Calibri"/>
        <family val="2"/>
      </rPr>
      <t>⁰C</t>
    </r>
  </si>
  <si>
    <t>No more liquors observed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</si>
</sst>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164" fontId="0" fillId="2" borderId="15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2" fontId="40" fillId="0" borderId="0" xfId="0" applyNumberFormat="1" applyFon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41" fillId="34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4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 vertical="center" wrapText="1"/>
    </xf>
    <xf numFmtId="2" fontId="40" fillId="2" borderId="19" xfId="0" applyNumberFormat="1" applyFont="1" applyFill="1" applyBorder="1" applyAlignment="1">
      <alignment horizontal="center" vertical="center" wrapText="1"/>
    </xf>
    <xf numFmtId="164" fontId="40" fillId="2" borderId="10" xfId="0" applyNumberFormat="1" applyFont="1" applyFill="1" applyBorder="1" applyAlignment="1">
      <alignment horizontal="center" vertical="center"/>
    </xf>
    <xf numFmtId="164" fontId="40" fillId="2" borderId="13" xfId="0" applyNumberFormat="1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17" fontId="40" fillId="33" borderId="12" xfId="0" applyNumberFormat="1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2" fontId="0" fillId="2" borderId="15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0" fillId="33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40" fillId="33" borderId="18" xfId="0" applyFont="1" applyFill="1" applyBorder="1" applyAlignment="1">
      <alignment/>
    </xf>
    <xf numFmtId="165" fontId="0" fillId="2" borderId="10" xfId="0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165" fontId="0" fillId="2" borderId="15" xfId="0" applyNumberForma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3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center"/>
    </xf>
    <xf numFmtId="2" fontId="0" fillId="2" borderId="10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165" fontId="0" fillId="2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2" fontId="40" fillId="33" borderId="17" xfId="0" applyNumberFormat="1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 horizontal="center" vertical="center"/>
    </xf>
    <xf numFmtId="164" fontId="40" fillId="33" borderId="17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33" borderId="17" xfId="0" applyNumberFormat="1" applyFont="1" applyFill="1" applyBorder="1" applyAlignment="1">
      <alignment horizontal="center" vertical="center" wrapText="1"/>
    </xf>
    <xf numFmtId="164" fontId="40" fillId="33" borderId="18" xfId="0" applyNumberFormat="1" applyFont="1" applyFill="1" applyBorder="1" applyAlignment="1">
      <alignment horizontal="center" vertical="center" wrapText="1"/>
    </xf>
    <xf numFmtId="164" fontId="40" fillId="33" borderId="13" xfId="0" applyNumberFormat="1" applyFont="1" applyFill="1" applyBorder="1" applyAlignment="1">
      <alignment horizontal="center" vertical="center"/>
    </xf>
    <xf numFmtId="2" fontId="40" fillId="33" borderId="20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164" fontId="40" fillId="33" borderId="20" xfId="0" applyNumberFormat="1" applyFont="1" applyFill="1" applyBorder="1" applyAlignment="1">
      <alignment horizontal="center" vertical="center"/>
    </xf>
    <xf numFmtId="164" fontId="40" fillId="33" borderId="19" xfId="0" applyNumberFormat="1" applyFont="1" applyFill="1" applyBorder="1" applyAlignment="1">
      <alignment horizontal="center" vertical="center"/>
    </xf>
    <xf numFmtId="164" fontId="40" fillId="33" borderId="20" xfId="0" applyNumberFormat="1" applyFont="1" applyFill="1" applyBorder="1" applyAlignment="1">
      <alignment horizontal="center" vertical="center" wrapText="1"/>
    </xf>
    <xf numFmtId="164" fontId="40" fillId="33" borderId="19" xfId="0" applyNumberFormat="1" applyFont="1" applyFill="1" applyBorder="1" applyAlignment="1">
      <alignment horizontal="center" vertical="center" wrapText="1"/>
    </xf>
    <xf numFmtId="164" fontId="40" fillId="33" borderId="21" xfId="0" applyNumberFormat="1" applyFont="1" applyFill="1" applyBorder="1" applyAlignment="1">
      <alignment horizontal="center" vertical="center" wrapText="1"/>
    </xf>
    <xf numFmtId="164" fontId="40" fillId="33" borderId="22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left" vertical="center"/>
    </xf>
    <xf numFmtId="0" fontId="40" fillId="33" borderId="19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2" max="2" width="43.00390625" style="0" customWidth="1"/>
    <col min="3" max="5" width="10.7109375" style="3" customWidth="1"/>
    <col min="6" max="6" width="11.8515625" style="3" bestFit="1" customWidth="1"/>
    <col min="7" max="8" width="10.7109375" style="3" customWidth="1"/>
    <col min="9" max="9" width="9.140625" style="4" customWidth="1"/>
    <col min="10" max="11" width="10.421875" style="4" customWidth="1"/>
    <col min="13" max="13" width="29.28125" style="56" customWidth="1"/>
    <col min="14" max="14" width="12.7109375" style="1" bestFit="1" customWidth="1"/>
    <col min="15" max="15" width="19.28125" style="0" customWidth="1"/>
  </cols>
  <sheetData>
    <row r="1" spans="1:5" ht="23.25">
      <c r="A1" s="42"/>
      <c r="B1" t="s">
        <v>141</v>
      </c>
      <c r="C1" s="24" t="s">
        <v>140</v>
      </c>
      <c r="D1" s="3">
        <v>45.7</v>
      </c>
      <c r="E1" s="41"/>
    </row>
    <row r="2" ht="15" thickBot="1">
      <c r="A2" s="2"/>
    </row>
    <row r="3" spans="1:15" ht="14.25">
      <c r="A3" s="9">
        <v>12000</v>
      </c>
      <c r="B3" s="84" t="s">
        <v>10</v>
      </c>
      <c r="C3" s="86" t="s">
        <v>16</v>
      </c>
      <c r="D3" s="86" t="s">
        <v>17</v>
      </c>
      <c r="E3" s="93" t="s">
        <v>39</v>
      </c>
      <c r="F3" s="93" t="s">
        <v>51</v>
      </c>
      <c r="G3" s="86" t="s">
        <v>18</v>
      </c>
      <c r="H3" s="86" t="s">
        <v>19</v>
      </c>
      <c r="I3" s="88" t="s">
        <v>1</v>
      </c>
      <c r="J3" s="90" t="s">
        <v>20</v>
      </c>
      <c r="K3" s="91" t="s">
        <v>21</v>
      </c>
      <c r="M3" s="57" t="s">
        <v>40</v>
      </c>
      <c r="N3" s="28" t="s">
        <v>41</v>
      </c>
      <c r="O3" s="29" t="s">
        <v>42</v>
      </c>
    </row>
    <row r="4" spans="1:15" ht="14.25">
      <c r="A4" s="10" t="s">
        <v>0</v>
      </c>
      <c r="B4" s="85"/>
      <c r="C4" s="87"/>
      <c r="D4" s="87"/>
      <c r="E4" s="94"/>
      <c r="F4" s="94"/>
      <c r="G4" s="87"/>
      <c r="H4" s="87"/>
      <c r="I4" s="89"/>
      <c r="J4" s="89"/>
      <c r="K4" s="92"/>
      <c r="M4" s="58" t="s">
        <v>151</v>
      </c>
      <c r="N4" s="6">
        <v>265.75</v>
      </c>
      <c r="O4" s="30">
        <v>1</v>
      </c>
    </row>
    <row r="5" spans="1:15" ht="14.25">
      <c r="A5" s="11">
        <v>1</v>
      </c>
      <c r="B5" s="5" t="s">
        <v>152</v>
      </c>
      <c r="C5" s="32">
        <f>10*D1</f>
        <v>457</v>
      </c>
      <c r="D5" s="7">
        <f>C5/O4</f>
        <v>457</v>
      </c>
      <c r="E5" s="7">
        <f>(C5/N4)*1000</f>
        <v>1719.6613358419568</v>
      </c>
      <c r="F5" s="7">
        <f>E5/E5</f>
        <v>1</v>
      </c>
      <c r="G5" s="7">
        <f>C5</f>
        <v>457</v>
      </c>
      <c r="H5" s="7">
        <f>D5</f>
        <v>457</v>
      </c>
      <c r="I5" s="8">
        <f>H5/$A$3</f>
        <v>0.03808333333333333</v>
      </c>
      <c r="J5" s="8"/>
      <c r="K5" s="12"/>
      <c r="M5" s="58" t="s">
        <v>153</v>
      </c>
      <c r="N5" s="6">
        <v>225.63</v>
      </c>
      <c r="O5" s="30">
        <v>1</v>
      </c>
    </row>
    <row r="6" spans="1:15" ht="14.25">
      <c r="A6" s="11">
        <v>2</v>
      </c>
      <c r="B6" s="5" t="s">
        <v>154</v>
      </c>
      <c r="C6" s="7">
        <f>(E6*N5)/1000</f>
        <v>388.0071872060207</v>
      </c>
      <c r="D6" s="7">
        <f>C6/O5</f>
        <v>388.0071872060207</v>
      </c>
      <c r="E6" s="7">
        <f>E5*F6</f>
        <v>1719.6613358419568</v>
      </c>
      <c r="F6" s="7">
        <f>F5*1</f>
        <v>1</v>
      </c>
      <c r="G6" s="7">
        <f>G5+C6</f>
        <v>845.0071872060207</v>
      </c>
      <c r="H6" s="7">
        <f>H5+D6</f>
        <v>845.0071872060207</v>
      </c>
      <c r="I6" s="8">
        <f>H6/$A$3</f>
        <v>0.07041726560050172</v>
      </c>
      <c r="J6" s="8"/>
      <c r="K6" s="12"/>
      <c r="M6" s="58" t="s">
        <v>143</v>
      </c>
      <c r="N6" s="6">
        <v>58.1</v>
      </c>
      <c r="O6" s="30">
        <v>2.48</v>
      </c>
    </row>
    <row r="7" spans="1:15" ht="14.25">
      <c r="A7" s="11">
        <v>3</v>
      </c>
      <c r="B7" s="5" t="s">
        <v>2</v>
      </c>
      <c r="C7" s="7">
        <f>(E7*N6)/1000</f>
        <v>499.5616180620884</v>
      </c>
      <c r="D7" s="7">
        <f>C7/O6</f>
        <v>201.43613631535823</v>
      </c>
      <c r="E7" s="7">
        <f>E5*F7</f>
        <v>8598.306679209783</v>
      </c>
      <c r="F7" s="7">
        <f>F5*5</f>
        <v>5</v>
      </c>
      <c r="G7" s="7">
        <f>G6+C7</f>
        <v>1344.5688052681091</v>
      </c>
      <c r="H7" s="7">
        <f>H6+D7</f>
        <v>1046.443323521379</v>
      </c>
      <c r="I7" s="8">
        <f>H7/$A$3</f>
        <v>0.08720361029344824</v>
      </c>
      <c r="J7" s="8"/>
      <c r="K7" s="12"/>
      <c r="M7" s="58" t="s">
        <v>144</v>
      </c>
      <c r="N7" s="6">
        <v>277.92</v>
      </c>
      <c r="O7" s="30">
        <v>1.17</v>
      </c>
    </row>
    <row r="8" spans="1:15" ht="14.25">
      <c r="A8" s="11">
        <v>4</v>
      </c>
      <c r="B8" s="5" t="s">
        <v>14</v>
      </c>
      <c r="C8" s="7">
        <f>(E8*N7)/1000</f>
        <v>238.96413922859833</v>
      </c>
      <c r="D8" s="7">
        <f>C8/O7</f>
        <v>204.24285404153704</v>
      </c>
      <c r="E8" s="7">
        <f>E5*F8</f>
        <v>859.8306679209784</v>
      </c>
      <c r="F8" s="7">
        <f>F5*0.5</f>
        <v>0.5</v>
      </c>
      <c r="G8" s="7">
        <f aca="true" t="shared" si="0" ref="G8:G17">G7+C8</f>
        <v>1583.5329444967074</v>
      </c>
      <c r="H8" s="7">
        <f aca="true" t="shared" si="1" ref="H8:H17">H7+D8</f>
        <v>1250.6861775629159</v>
      </c>
      <c r="I8" s="8">
        <f>H8/$A$3</f>
        <v>0.10422384813024299</v>
      </c>
      <c r="J8" s="8"/>
      <c r="K8" s="12"/>
      <c r="L8" s="76" t="e">
        <f>C5+#REF!+#REF!</f>
        <v>#REF!</v>
      </c>
      <c r="M8" s="58" t="s">
        <v>145</v>
      </c>
      <c r="N8" s="6">
        <v>79.1</v>
      </c>
      <c r="O8" s="30">
        <v>0.982</v>
      </c>
    </row>
    <row r="9" spans="1:15" ht="14.25">
      <c r="A9" s="11">
        <v>5</v>
      </c>
      <c r="B9" s="5" t="s">
        <v>3</v>
      </c>
      <c r="C9" s="7">
        <f>(E9*N8)/1000</f>
        <v>285.6529444967074</v>
      </c>
      <c r="D9" s="7">
        <f>C9/O8</f>
        <v>290.8889455159953</v>
      </c>
      <c r="E9" s="7">
        <f>F9*E5</f>
        <v>3611.288805268109</v>
      </c>
      <c r="F9" s="7">
        <f>2.1*F5</f>
        <v>2.1</v>
      </c>
      <c r="G9" s="7">
        <f t="shared" si="0"/>
        <v>1869.1858889934147</v>
      </c>
      <c r="H9" s="7">
        <f t="shared" si="1"/>
        <v>1541.5751230789112</v>
      </c>
      <c r="I9" s="8">
        <f aca="true" t="shared" si="2" ref="I9:I17">H9/$A$3</f>
        <v>0.12846459358990928</v>
      </c>
      <c r="J9" s="8"/>
      <c r="K9" s="12"/>
      <c r="M9" s="58" t="s">
        <v>146</v>
      </c>
      <c r="N9" s="6" t="s">
        <v>48</v>
      </c>
      <c r="O9" s="30">
        <v>1.1</v>
      </c>
    </row>
    <row r="10" spans="1:15" ht="14.25">
      <c r="A10" s="11">
        <v>6</v>
      </c>
      <c r="B10" s="77" t="s">
        <v>4</v>
      </c>
      <c r="C10" s="78">
        <f>D10*O9</f>
        <v>5027</v>
      </c>
      <c r="D10" s="78">
        <f>D5*10</f>
        <v>4570</v>
      </c>
      <c r="E10" s="7" t="s">
        <v>5</v>
      </c>
      <c r="F10" s="7" t="s">
        <v>5</v>
      </c>
      <c r="G10" s="7">
        <f t="shared" si="0"/>
        <v>6896.185888993415</v>
      </c>
      <c r="H10" s="7">
        <f t="shared" si="1"/>
        <v>6111.575123078911</v>
      </c>
      <c r="I10" s="8">
        <f t="shared" si="2"/>
        <v>0.5092979269232426</v>
      </c>
      <c r="J10" s="8"/>
      <c r="K10" s="12"/>
      <c r="M10" s="58" t="s">
        <v>147</v>
      </c>
      <c r="N10" s="6" t="s">
        <v>48</v>
      </c>
      <c r="O10" s="30">
        <v>0.74</v>
      </c>
    </row>
    <row r="11" spans="1:15" ht="14.25">
      <c r="A11" s="11">
        <v>7</v>
      </c>
      <c r="B11" s="77" t="s">
        <v>155</v>
      </c>
      <c r="C11" s="78">
        <v>0</v>
      </c>
      <c r="D11" s="78">
        <v>0</v>
      </c>
      <c r="E11" s="7" t="s">
        <v>5</v>
      </c>
      <c r="F11" s="7" t="s">
        <v>5</v>
      </c>
      <c r="G11" s="7">
        <f t="shared" si="0"/>
        <v>6896.185888993415</v>
      </c>
      <c r="H11" s="7">
        <f t="shared" si="1"/>
        <v>6111.575123078911</v>
      </c>
      <c r="I11" s="8">
        <f t="shared" si="2"/>
        <v>0.5092979269232426</v>
      </c>
      <c r="J11" s="79" t="s">
        <v>156</v>
      </c>
      <c r="K11" s="12"/>
      <c r="M11" s="58" t="s">
        <v>148</v>
      </c>
      <c r="N11" s="6" t="s">
        <v>48</v>
      </c>
      <c r="O11" s="30">
        <v>1</v>
      </c>
    </row>
    <row r="12" spans="1:15" ht="14.25">
      <c r="A12" s="11">
        <v>8</v>
      </c>
      <c r="B12" s="5" t="s">
        <v>6</v>
      </c>
      <c r="C12" s="7">
        <v>0</v>
      </c>
      <c r="D12" s="7">
        <v>0</v>
      </c>
      <c r="E12" s="7" t="s">
        <v>5</v>
      </c>
      <c r="F12" s="7" t="s">
        <v>5</v>
      </c>
      <c r="G12" s="7">
        <f t="shared" si="0"/>
        <v>6896.185888993415</v>
      </c>
      <c r="H12" s="7">
        <f t="shared" si="1"/>
        <v>6111.575123078911</v>
      </c>
      <c r="I12" s="8">
        <f t="shared" si="2"/>
        <v>0.5092979269232426</v>
      </c>
      <c r="J12" s="79" t="s">
        <v>157</v>
      </c>
      <c r="K12" s="12"/>
      <c r="M12" s="58" t="s">
        <v>149</v>
      </c>
      <c r="N12" s="6" t="s">
        <v>48</v>
      </c>
      <c r="O12" s="30">
        <v>1.15</v>
      </c>
    </row>
    <row r="13" spans="1:15" ht="14.25">
      <c r="A13" s="11">
        <v>9</v>
      </c>
      <c r="B13" s="77" t="s">
        <v>7</v>
      </c>
      <c r="C13" s="78">
        <f>D13*O10</f>
        <v>3381.8</v>
      </c>
      <c r="D13" s="78">
        <f>10*D5</f>
        <v>4570</v>
      </c>
      <c r="E13" s="7" t="s">
        <v>5</v>
      </c>
      <c r="F13" s="7" t="s">
        <v>5</v>
      </c>
      <c r="G13" s="7">
        <f t="shared" si="0"/>
        <v>10277.985888993415</v>
      </c>
      <c r="H13" s="7">
        <f t="shared" si="1"/>
        <v>10681.57512307891</v>
      </c>
      <c r="I13" s="8">
        <f t="shared" si="2"/>
        <v>0.8901312602565759</v>
      </c>
      <c r="J13" s="8"/>
      <c r="K13" s="12"/>
      <c r="M13" s="58" t="s">
        <v>150</v>
      </c>
      <c r="N13" s="6" t="s">
        <v>48</v>
      </c>
      <c r="O13" s="30">
        <v>2.54</v>
      </c>
    </row>
    <row r="14" spans="1:15" ht="15" thickBot="1">
      <c r="A14" s="11">
        <v>10</v>
      </c>
      <c r="B14" s="77" t="s">
        <v>8</v>
      </c>
      <c r="C14" s="78">
        <v>0</v>
      </c>
      <c r="D14" s="78">
        <v>0</v>
      </c>
      <c r="E14" s="7" t="s">
        <v>5</v>
      </c>
      <c r="F14" s="7" t="s">
        <v>5</v>
      </c>
      <c r="G14" s="7">
        <f t="shared" si="0"/>
        <v>10277.985888993415</v>
      </c>
      <c r="H14" s="7">
        <f t="shared" si="1"/>
        <v>10681.57512307891</v>
      </c>
      <c r="I14" s="8">
        <f t="shared" si="2"/>
        <v>0.8901312602565759</v>
      </c>
      <c r="J14" s="8"/>
      <c r="K14" s="12"/>
      <c r="M14" s="59" t="s">
        <v>49</v>
      </c>
      <c r="N14" s="15">
        <v>418.46</v>
      </c>
      <c r="O14" s="31">
        <v>1</v>
      </c>
    </row>
    <row r="15" spans="1:11" ht="15" thickBot="1">
      <c r="A15" s="11">
        <v>11</v>
      </c>
      <c r="B15" s="5" t="s">
        <v>158</v>
      </c>
      <c r="C15" s="7">
        <f>-G14</f>
        <v>-10277.985888993415</v>
      </c>
      <c r="D15" s="7">
        <f>-H14</f>
        <v>-10681.57512307891</v>
      </c>
      <c r="E15" s="7"/>
      <c r="F15" s="7"/>
      <c r="G15" s="7">
        <f t="shared" si="0"/>
        <v>0</v>
      </c>
      <c r="H15" s="7">
        <f t="shared" si="1"/>
        <v>0</v>
      </c>
      <c r="I15" s="8">
        <f t="shared" si="2"/>
        <v>0</v>
      </c>
      <c r="J15" s="8"/>
      <c r="K15" s="12"/>
    </row>
    <row r="16" spans="1:15" ht="14.25">
      <c r="A16" s="11">
        <v>12</v>
      </c>
      <c r="B16" s="77" t="s">
        <v>13</v>
      </c>
      <c r="C16" s="78">
        <f>D16*O10</f>
        <v>1014.54</v>
      </c>
      <c r="D16" s="78">
        <f>3*D5</f>
        <v>1371</v>
      </c>
      <c r="E16" s="7" t="s">
        <v>5</v>
      </c>
      <c r="F16" s="7" t="s">
        <v>5</v>
      </c>
      <c r="G16" s="7">
        <f t="shared" si="0"/>
        <v>1014.54</v>
      </c>
      <c r="H16" s="7">
        <f t="shared" si="1"/>
        <v>1371</v>
      </c>
      <c r="I16" s="8">
        <f t="shared" si="2"/>
        <v>0.11425</v>
      </c>
      <c r="J16" s="79" t="s">
        <v>159</v>
      </c>
      <c r="K16" s="12"/>
      <c r="M16" s="57" t="s">
        <v>121</v>
      </c>
      <c r="N16" s="28" t="s">
        <v>124</v>
      </c>
      <c r="O16" s="60" t="s">
        <v>122</v>
      </c>
    </row>
    <row r="17" spans="1:15" ht="15" thickBot="1">
      <c r="A17" s="11">
        <v>13</v>
      </c>
      <c r="B17" s="14" t="s">
        <v>160</v>
      </c>
      <c r="C17" s="16">
        <f>-G16</f>
        <v>-1014.54</v>
      </c>
      <c r="D17" s="16">
        <f>-H16</f>
        <v>-1371</v>
      </c>
      <c r="E17" s="16" t="s">
        <v>5</v>
      </c>
      <c r="F17" s="16" t="s">
        <v>5</v>
      </c>
      <c r="G17" s="16">
        <f t="shared" si="0"/>
        <v>0</v>
      </c>
      <c r="H17" s="16">
        <f t="shared" si="1"/>
        <v>0</v>
      </c>
      <c r="I17" s="19">
        <f t="shared" si="2"/>
        <v>0</v>
      </c>
      <c r="J17" s="8"/>
      <c r="K17" s="12"/>
      <c r="M17" s="58" t="s">
        <v>151</v>
      </c>
      <c r="N17" s="61">
        <f>(C5)*4</f>
        <v>1828</v>
      </c>
      <c r="O17" s="62"/>
    </row>
    <row r="18" spans="1:15" ht="15" thickBot="1">
      <c r="A18" s="2"/>
      <c r="M18" s="58" t="s">
        <v>153</v>
      </c>
      <c r="N18" s="61">
        <f>C6*4</f>
        <v>1552.0287488240829</v>
      </c>
      <c r="O18" s="62"/>
    </row>
    <row r="19" spans="1:15" ht="14.25">
      <c r="A19" s="20">
        <v>25000</v>
      </c>
      <c r="B19" s="84" t="s">
        <v>161</v>
      </c>
      <c r="C19" s="86" t="s">
        <v>16</v>
      </c>
      <c r="D19" s="86" t="s">
        <v>17</v>
      </c>
      <c r="E19" s="93" t="s">
        <v>39</v>
      </c>
      <c r="F19" s="93" t="s">
        <v>51</v>
      </c>
      <c r="G19" s="86" t="s">
        <v>18</v>
      </c>
      <c r="H19" s="86" t="s">
        <v>19</v>
      </c>
      <c r="I19" s="88" t="s">
        <v>1</v>
      </c>
      <c r="J19" s="90" t="s">
        <v>20</v>
      </c>
      <c r="K19" s="91" t="s">
        <v>21</v>
      </c>
      <c r="M19" s="58" t="s">
        <v>143</v>
      </c>
      <c r="N19" s="61">
        <f>C7*4</f>
        <v>1998.2464722483537</v>
      </c>
      <c r="O19" s="62"/>
    </row>
    <row r="20" spans="1:15" ht="14.25">
      <c r="A20" s="10" t="s">
        <v>0</v>
      </c>
      <c r="B20" s="85"/>
      <c r="C20" s="87"/>
      <c r="D20" s="87"/>
      <c r="E20" s="94"/>
      <c r="F20" s="94"/>
      <c r="G20" s="87"/>
      <c r="H20" s="87"/>
      <c r="I20" s="89"/>
      <c r="J20" s="89"/>
      <c r="K20" s="92"/>
      <c r="M20" s="58" t="s">
        <v>144</v>
      </c>
      <c r="N20" s="61">
        <f>C8*4</f>
        <v>955.8565569143933</v>
      </c>
      <c r="O20" s="62"/>
    </row>
    <row r="21" spans="1:15" ht="14.25">
      <c r="A21" s="21">
        <v>21</v>
      </c>
      <c r="B21" s="80" t="s">
        <v>12</v>
      </c>
      <c r="C21" s="78">
        <f>-C15</f>
        <v>10277.985888993415</v>
      </c>
      <c r="D21" s="78">
        <f>-D15</f>
        <v>10681.57512307891</v>
      </c>
      <c r="E21" s="7" t="s">
        <v>5</v>
      </c>
      <c r="F21" s="7" t="s">
        <v>5</v>
      </c>
      <c r="G21" s="7">
        <f>C21</f>
        <v>10277.985888993415</v>
      </c>
      <c r="H21" s="7">
        <f>D21</f>
        <v>10681.57512307891</v>
      </c>
      <c r="I21" s="8">
        <f>H21/$A$19</f>
        <v>0.4272630049231564</v>
      </c>
      <c r="J21" s="79"/>
      <c r="K21" s="12"/>
      <c r="M21" s="58" t="s">
        <v>145</v>
      </c>
      <c r="N21" s="61">
        <f>C9*4</f>
        <v>1142.6117779868296</v>
      </c>
      <c r="O21" s="62"/>
    </row>
    <row r="22" spans="1:15" ht="14.25">
      <c r="A22" s="21">
        <v>22</v>
      </c>
      <c r="B22" s="80" t="s">
        <v>11</v>
      </c>
      <c r="C22" s="78">
        <f>-C17</f>
        <v>1014.54</v>
      </c>
      <c r="D22" s="78">
        <f>-D17</f>
        <v>1371</v>
      </c>
      <c r="E22" s="7" t="s">
        <v>5</v>
      </c>
      <c r="F22" s="7" t="s">
        <v>5</v>
      </c>
      <c r="G22" s="7">
        <f>G21+C22</f>
        <v>11292.525888993416</v>
      </c>
      <c r="H22" s="7">
        <f>H21+D22</f>
        <v>12052.57512307891</v>
      </c>
      <c r="I22" s="8">
        <f>H22/$A$19</f>
        <v>0.4821030049231564</v>
      </c>
      <c r="J22" s="79"/>
      <c r="K22" s="12"/>
      <c r="M22" s="58" t="s">
        <v>146</v>
      </c>
      <c r="N22" s="61">
        <f>C10*4</f>
        <v>20108</v>
      </c>
      <c r="O22" s="62"/>
    </row>
    <row r="23" spans="1:15" ht="14.25">
      <c r="A23" s="21">
        <v>23</v>
      </c>
      <c r="B23" s="81" t="s">
        <v>9</v>
      </c>
      <c r="C23" s="78">
        <f>D23*O11</f>
        <v>5484</v>
      </c>
      <c r="D23" s="78">
        <f>12*D5</f>
        <v>5484</v>
      </c>
      <c r="E23" s="7" t="s">
        <v>5</v>
      </c>
      <c r="F23" s="7" t="s">
        <v>5</v>
      </c>
      <c r="G23" s="7">
        <f>G22+C23</f>
        <v>16776.525888993416</v>
      </c>
      <c r="H23" s="7">
        <f>H22+D23</f>
        <v>17536.57512307891</v>
      </c>
      <c r="I23" s="8">
        <f>H23/$A$19</f>
        <v>0.7014630049231564</v>
      </c>
      <c r="J23" s="79"/>
      <c r="K23" s="12"/>
      <c r="M23" s="58" t="s">
        <v>147</v>
      </c>
      <c r="N23" s="61">
        <f>(C13+C16+C32+C38)*4</f>
        <v>25701.68</v>
      </c>
      <c r="O23" s="62"/>
    </row>
    <row r="24" spans="1:15" ht="14.25">
      <c r="A24" s="21">
        <v>24</v>
      </c>
      <c r="B24" s="77" t="s">
        <v>15</v>
      </c>
      <c r="C24" s="78">
        <v>0</v>
      </c>
      <c r="D24" s="78">
        <v>0</v>
      </c>
      <c r="E24" s="7" t="s">
        <v>5</v>
      </c>
      <c r="F24" s="7" t="s">
        <v>5</v>
      </c>
      <c r="G24" s="7">
        <f>G23+C24</f>
        <v>16776.525888993416</v>
      </c>
      <c r="H24" s="7">
        <f>H23+D24</f>
        <v>17536.57512307891</v>
      </c>
      <c r="I24" s="8">
        <f>H24/$A$19</f>
        <v>0.7014630049231564</v>
      </c>
      <c r="J24" s="79" t="s">
        <v>171</v>
      </c>
      <c r="K24" s="12"/>
      <c r="M24" s="58" t="s">
        <v>123</v>
      </c>
      <c r="N24" s="61">
        <f>C49*0.5*4</f>
        <v>9537.391304347826</v>
      </c>
      <c r="O24" s="62"/>
    </row>
    <row r="25" spans="1:15" ht="15" thickBot="1">
      <c r="A25" s="21">
        <v>25</v>
      </c>
      <c r="B25" s="77" t="s">
        <v>22</v>
      </c>
      <c r="C25" s="78">
        <v>0</v>
      </c>
      <c r="D25" s="78">
        <v>0</v>
      </c>
      <c r="E25" s="7" t="s">
        <v>5</v>
      </c>
      <c r="F25" s="7" t="s">
        <v>5</v>
      </c>
      <c r="G25" s="7">
        <f>G24+C25</f>
        <v>16776.525888993416</v>
      </c>
      <c r="H25" s="7">
        <f>H24+D25</f>
        <v>17536.57512307891</v>
      </c>
      <c r="I25" s="8">
        <f>H25/$A$19</f>
        <v>0.7014630049231564</v>
      </c>
      <c r="J25" s="79" t="s">
        <v>171</v>
      </c>
      <c r="K25" s="12"/>
      <c r="M25" s="59" t="s">
        <v>133</v>
      </c>
      <c r="N25" s="63"/>
      <c r="O25" s="64"/>
    </row>
    <row r="26" spans="1:14" ht="15" customHeight="1" thickBot="1">
      <c r="A26" s="22">
        <v>26</v>
      </c>
      <c r="B26" s="14" t="s">
        <v>23</v>
      </c>
      <c r="C26" s="16">
        <f>-C23</f>
        <v>-5484</v>
      </c>
      <c r="D26" s="16">
        <f>-D23</f>
        <v>-5484</v>
      </c>
      <c r="E26" s="16" t="s">
        <v>5</v>
      </c>
      <c r="F26" s="16" t="s">
        <v>5</v>
      </c>
      <c r="G26" s="16">
        <f>G25+C26</f>
        <v>11292.525888993416</v>
      </c>
      <c r="H26" s="16">
        <f>H25+D26</f>
        <v>12052.57512307891</v>
      </c>
      <c r="I26" s="19">
        <f>H26/$A$19</f>
        <v>0.4821030049231564</v>
      </c>
      <c r="J26" s="19"/>
      <c r="K26" s="17"/>
      <c r="N26" s="55"/>
    </row>
    <row r="27" ht="14.25">
      <c r="N27" s="55"/>
    </row>
    <row r="28" ht="15" thickBot="1">
      <c r="N28" s="55"/>
    </row>
    <row r="29" spans="1:14" ht="14.25">
      <c r="A29" s="9">
        <v>12000</v>
      </c>
      <c r="B29" s="84" t="s">
        <v>24</v>
      </c>
      <c r="C29" s="86" t="s">
        <v>16</v>
      </c>
      <c r="D29" s="86" t="s">
        <v>17</v>
      </c>
      <c r="E29" s="93" t="s">
        <v>39</v>
      </c>
      <c r="F29" s="93" t="s">
        <v>51</v>
      </c>
      <c r="G29" s="86" t="s">
        <v>18</v>
      </c>
      <c r="H29" s="86" t="s">
        <v>19</v>
      </c>
      <c r="I29" s="88" t="s">
        <v>1</v>
      </c>
      <c r="J29" s="90" t="s">
        <v>20</v>
      </c>
      <c r="K29" s="91" t="s">
        <v>21</v>
      </c>
      <c r="N29" s="55"/>
    </row>
    <row r="30" spans="1:14" ht="14.25">
      <c r="A30" s="10" t="s">
        <v>0</v>
      </c>
      <c r="B30" s="85"/>
      <c r="C30" s="87"/>
      <c r="D30" s="87"/>
      <c r="E30" s="94"/>
      <c r="F30" s="94"/>
      <c r="G30" s="87"/>
      <c r="H30" s="87"/>
      <c r="I30" s="89"/>
      <c r="J30" s="89"/>
      <c r="K30" s="92"/>
      <c r="N30" s="55"/>
    </row>
    <row r="31" spans="1:11" ht="14.25">
      <c r="A31" s="21">
        <v>27</v>
      </c>
      <c r="B31" s="18" t="s">
        <v>162</v>
      </c>
      <c r="C31" s="33">
        <f>-C26</f>
        <v>5484</v>
      </c>
      <c r="D31" s="33">
        <f>-D26</f>
        <v>5484</v>
      </c>
      <c r="E31" s="40" t="s">
        <v>5</v>
      </c>
      <c r="F31" s="40" t="s">
        <v>5</v>
      </c>
      <c r="G31" s="33">
        <f>C31</f>
        <v>5484</v>
      </c>
      <c r="H31" s="33">
        <f>D31</f>
        <v>5484</v>
      </c>
      <c r="I31" s="34">
        <f>H31/$A$29</f>
        <v>0.457</v>
      </c>
      <c r="J31" s="34"/>
      <c r="K31" s="35"/>
    </row>
    <row r="32" spans="1:11" ht="14.25">
      <c r="A32" s="11">
        <v>28</v>
      </c>
      <c r="B32" s="5" t="s">
        <v>7</v>
      </c>
      <c r="C32" s="36">
        <f>D32*O10</f>
        <v>1014.54</v>
      </c>
      <c r="D32" s="36">
        <f>3*D5</f>
        <v>1371</v>
      </c>
      <c r="E32" s="7" t="s">
        <v>5</v>
      </c>
      <c r="F32" s="7" t="s">
        <v>5</v>
      </c>
      <c r="G32" s="36">
        <f>G31+C32</f>
        <v>6498.54</v>
      </c>
      <c r="H32" s="36">
        <f>H31+D32</f>
        <v>6855</v>
      </c>
      <c r="I32" s="34">
        <f aca="true" t="shared" si="3" ref="I32:I42">H32/$A$29</f>
        <v>0.57125</v>
      </c>
      <c r="J32" s="34"/>
      <c r="K32" s="35"/>
    </row>
    <row r="33" spans="1:11" ht="14.25">
      <c r="A33" s="11">
        <v>29</v>
      </c>
      <c r="B33" s="5" t="s">
        <v>25</v>
      </c>
      <c r="C33" s="36">
        <v>0</v>
      </c>
      <c r="D33" s="36">
        <v>0</v>
      </c>
      <c r="E33" s="7" t="s">
        <v>5</v>
      </c>
      <c r="F33" s="7" t="s">
        <v>5</v>
      </c>
      <c r="G33" s="36">
        <f aca="true" t="shared" si="4" ref="G33:G42">G32+C33</f>
        <v>6498.54</v>
      </c>
      <c r="H33" s="36">
        <f aca="true" t="shared" si="5" ref="H33:H42">H32+D33</f>
        <v>6855</v>
      </c>
      <c r="I33" s="34">
        <f t="shared" si="3"/>
        <v>0.57125</v>
      </c>
      <c r="J33" s="79" t="s">
        <v>171</v>
      </c>
      <c r="K33" s="35"/>
    </row>
    <row r="34" spans="1:11" ht="14.25">
      <c r="A34" s="21">
        <v>30</v>
      </c>
      <c r="B34" s="5" t="s">
        <v>26</v>
      </c>
      <c r="C34" s="36">
        <v>0</v>
      </c>
      <c r="D34" s="36">
        <v>0</v>
      </c>
      <c r="E34" s="7" t="s">
        <v>5</v>
      </c>
      <c r="F34" s="7" t="s">
        <v>5</v>
      </c>
      <c r="G34" s="36">
        <f t="shared" si="4"/>
        <v>6498.54</v>
      </c>
      <c r="H34" s="36">
        <f t="shared" si="5"/>
        <v>6855</v>
      </c>
      <c r="I34" s="34">
        <f t="shared" si="3"/>
        <v>0.57125</v>
      </c>
      <c r="J34" s="79" t="s">
        <v>171</v>
      </c>
      <c r="K34" s="35"/>
    </row>
    <row r="35" spans="1:11" ht="14.25">
      <c r="A35" s="11">
        <v>31</v>
      </c>
      <c r="B35" s="5" t="s">
        <v>163</v>
      </c>
      <c r="C35" s="36">
        <f>-C31</f>
        <v>-5484</v>
      </c>
      <c r="D35" s="36">
        <f>-D31</f>
        <v>-5484</v>
      </c>
      <c r="E35" s="7" t="s">
        <v>5</v>
      </c>
      <c r="F35" s="7" t="s">
        <v>5</v>
      </c>
      <c r="G35" s="36">
        <f t="shared" si="4"/>
        <v>1014.54</v>
      </c>
      <c r="H35" s="36">
        <f t="shared" si="5"/>
        <v>1371</v>
      </c>
      <c r="I35" s="34">
        <f t="shared" si="3"/>
        <v>0.11425</v>
      </c>
      <c r="J35" s="34"/>
      <c r="K35" s="35"/>
    </row>
    <row r="36" spans="1:11" ht="15" customHeight="1">
      <c r="A36" s="11">
        <v>32</v>
      </c>
      <c r="B36" s="5" t="s">
        <v>158</v>
      </c>
      <c r="C36" s="36">
        <f>-C32</f>
        <v>-1014.54</v>
      </c>
      <c r="D36" s="36">
        <f>-D32</f>
        <v>-1371</v>
      </c>
      <c r="E36" s="7" t="s">
        <v>5</v>
      </c>
      <c r="F36" s="7" t="s">
        <v>5</v>
      </c>
      <c r="G36" s="36">
        <f t="shared" si="4"/>
        <v>0</v>
      </c>
      <c r="H36" s="36">
        <f t="shared" si="5"/>
        <v>0</v>
      </c>
      <c r="I36" s="34">
        <f t="shared" si="3"/>
        <v>0</v>
      </c>
      <c r="J36" s="34"/>
      <c r="K36" s="35"/>
    </row>
    <row r="37" spans="1:11" ht="14.25">
      <c r="A37" s="21">
        <v>33</v>
      </c>
      <c r="B37" s="5" t="s">
        <v>27</v>
      </c>
      <c r="C37" s="36">
        <f>-C35</f>
        <v>5484</v>
      </c>
      <c r="D37" s="36">
        <f>-D35</f>
        <v>5484</v>
      </c>
      <c r="E37" s="7" t="s">
        <v>5</v>
      </c>
      <c r="F37" s="7" t="s">
        <v>5</v>
      </c>
      <c r="G37" s="36">
        <f t="shared" si="4"/>
        <v>5484</v>
      </c>
      <c r="H37" s="36">
        <f t="shared" si="5"/>
        <v>5484</v>
      </c>
      <c r="I37" s="34">
        <f t="shared" si="3"/>
        <v>0.457</v>
      </c>
      <c r="J37" s="34"/>
      <c r="K37" s="35"/>
    </row>
    <row r="38" spans="1:11" ht="14.25">
      <c r="A38" s="11">
        <v>34</v>
      </c>
      <c r="B38" s="5" t="s">
        <v>7</v>
      </c>
      <c r="C38" s="36">
        <f>D38*O10</f>
        <v>1014.54</v>
      </c>
      <c r="D38" s="36">
        <f>3*D5</f>
        <v>1371</v>
      </c>
      <c r="E38" s="7" t="s">
        <v>5</v>
      </c>
      <c r="F38" s="7" t="s">
        <v>5</v>
      </c>
      <c r="G38" s="36">
        <f t="shared" si="4"/>
        <v>6498.54</v>
      </c>
      <c r="H38" s="36">
        <f t="shared" si="5"/>
        <v>6855</v>
      </c>
      <c r="I38" s="34">
        <f t="shared" si="3"/>
        <v>0.57125</v>
      </c>
      <c r="J38" s="34"/>
      <c r="K38" s="35"/>
    </row>
    <row r="39" spans="1:11" ht="14.25">
      <c r="A39" s="11">
        <v>35</v>
      </c>
      <c r="B39" s="5" t="s">
        <v>31</v>
      </c>
      <c r="C39" s="36">
        <v>0</v>
      </c>
      <c r="D39" s="36">
        <v>0</v>
      </c>
      <c r="E39" s="7" t="s">
        <v>5</v>
      </c>
      <c r="F39" s="7" t="s">
        <v>5</v>
      </c>
      <c r="G39" s="36">
        <f t="shared" si="4"/>
        <v>6498.54</v>
      </c>
      <c r="H39" s="36">
        <f t="shared" si="5"/>
        <v>6855</v>
      </c>
      <c r="I39" s="34">
        <f t="shared" si="3"/>
        <v>0.57125</v>
      </c>
      <c r="J39" s="79" t="s">
        <v>171</v>
      </c>
      <c r="K39" s="35"/>
    </row>
    <row r="40" spans="1:11" ht="14.25">
      <c r="A40" s="21">
        <v>36</v>
      </c>
      <c r="B40" s="5" t="s">
        <v>32</v>
      </c>
      <c r="C40" s="36">
        <v>0</v>
      </c>
      <c r="D40" s="36">
        <v>0</v>
      </c>
      <c r="E40" s="7" t="s">
        <v>5</v>
      </c>
      <c r="F40" s="7" t="s">
        <v>5</v>
      </c>
      <c r="G40" s="36">
        <f t="shared" si="4"/>
        <v>6498.54</v>
      </c>
      <c r="H40" s="36">
        <f t="shared" si="5"/>
        <v>6855</v>
      </c>
      <c r="I40" s="34">
        <f t="shared" si="3"/>
        <v>0.57125</v>
      </c>
      <c r="J40" s="79" t="s">
        <v>171</v>
      </c>
      <c r="K40" s="35"/>
    </row>
    <row r="41" spans="1:11" ht="14.25">
      <c r="A41" s="11">
        <v>37</v>
      </c>
      <c r="B41" s="5" t="s">
        <v>28</v>
      </c>
      <c r="C41" s="36">
        <f>-C37</f>
        <v>-5484</v>
      </c>
      <c r="D41" s="36">
        <f>-D37</f>
        <v>-5484</v>
      </c>
      <c r="E41" s="7" t="s">
        <v>5</v>
      </c>
      <c r="F41" s="7" t="s">
        <v>5</v>
      </c>
      <c r="G41" s="36">
        <f t="shared" si="4"/>
        <v>1014.54</v>
      </c>
      <c r="H41" s="36">
        <f t="shared" si="5"/>
        <v>1371</v>
      </c>
      <c r="I41" s="34">
        <f t="shared" si="3"/>
        <v>0.11425</v>
      </c>
      <c r="J41" s="34"/>
      <c r="K41" s="35"/>
    </row>
    <row r="42" spans="1:11" ht="15" thickBot="1">
      <c r="A42" s="13">
        <v>38</v>
      </c>
      <c r="B42" s="14" t="s">
        <v>164</v>
      </c>
      <c r="C42" s="37">
        <f>-C38</f>
        <v>-1014.54</v>
      </c>
      <c r="D42" s="37">
        <f>-D38</f>
        <v>-1371</v>
      </c>
      <c r="E42" s="16" t="s">
        <v>5</v>
      </c>
      <c r="F42" s="16" t="s">
        <v>5</v>
      </c>
      <c r="G42" s="37">
        <f t="shared" si="4"/>
        <v>0</v>
      </c>
      <c r="H42" s="37">
        <f t="shared" si="5"/>
        <v>0</v>
      </c>
      <c r="I42" s="38">
        <f t="shared" si="3"/>
        <v>0</v>
      </c>
      <c r="J42" s="38"/>
      <c r="K42" s="39"/>
    </row>
    <row r="43" ht="15" thickBot="1"/>
    <row r="44" spans="1:11" ht="14.25">
      <c r="A44" s="20">
        <v>25000</v>
      </c>
      <c r="B44" s="84" t="s">
        <v>166</v>
      </c>
      <c r="C44" s="86" t="s">
        <v>16</v>
      </c>
      <c r="D44" s="86" t="s">
        <v>17</v>
      </c>
      <c r="E44" s="93" t="s">
        <v>39</v>
      </c>
      <c r="F44" s="93" t="s">
        <v>51</v>
      </c>
      <c r="G44" s="86" t="s">
        <v>18</v>
      </c>
      <c r="H44" s="86" t="s">
        <v>19</v>
      </c>
      <c r="I44" s="88" t="s">
        <v>1</v>
      </c>
      <c r="J44" s="90" t="s">
        <v>20</v>
      </c>
      <c r="K44" s="91" t="s">
        <v>21</v>
      </c>
    </row>
    <row r="45" spans="1:11" ht="14.25">
      <c r="A45" s="10" t="s">
        <v>0</v>
      </c>
      <c r="B45" s="85"/>
      <c r="C45" s="87"/>
      <c r="D45" s="87"/>
      <c r="E45" s="94"/>
      <c r="F45" s="94"/>
      <c r="G45" s="87"/>
      <c r="H45" s="87"/>
      <c r="I45" s="89"/>
      <c r="J45" s="89"/>
      <c r="K45" s="92"/>
    </row>
    <row r="46" spans="1:11" ht="14.25">
      <c r="A46" s="21">
        <v>39</v>
      </c>
      <c r="B46" s="23" t="s">
        <v>52</v>
      </c>
      <c r="C46" s="33">
        <f>G22</f>
        <v>11292.525888993416</v>
      </c>
      <c r="D46" s="33">
        <f>H22</f>
        <v>12052.57512307891</v>
      </c>
      <c r="E46" s="40" t="s">
        <v>5</v>
      </c>
      <c r="F46" s="40" t="s">
        <v>5</v>
      </c>
      <c r="G46" s="33">
        <f>C46</f>
        <v>11292.525888993416</v>
      </c>
      <c r="H46" s="33">
        <f>D46</f>
        <v>12052.57512307891</v>
      </c>
      <c r="I46" s="34">
        <f>H46/$A$44</f>
        <v>0.4821030049231564</v>
      </c>
      <c r="J46" s="34"/>
      <c r="K46" s="35"/>
    </row>
    <row r="47" spans="1:11" ht="14.25">
      <c r="A47" s="21">
        <v>40</v>
      </c>
      <c r="B47" s="23" t="s">
        <v>165</v>
      </c>
      <c r="C47" s="7">
        <f>-C36</f>
        <v>1014.54</v>
      </c>
      <c r="D47" s="7">
        <f>-D36</f>
        <v>1371</v>
      </c>
      <c r="E47" s="7" t="s">
        <v>5</v>
      </c>
      <c r="F47" s="7" t="s">
        <v>5</v>
      </c>
      <c r="G47" s="7">
        <f>G46+C47</f>
        <v>12307.065888993417</v>
      </c>
      <c r="H47" s="7">
        <f>H46+D47</f>
        <v>13423.57512307891</v>
      </c>
      <c r="I47" s="34">
        <f aca="true" t="shared" si="6" ref="I47:I56">H47/$A$44</f>
        <v>0.5369430049231564</v>
      </c>
      <c r="J47" s="8"/>
      <c r="K47" s="12"/>
    </row>
    <row r="48" spans="1:11" ht="14.25">
      <c r="A48" s="21">
        <v>41</v>
      </c>
      <c r="B48" s="23" t="s">
        <v>29</v>
      </c>
      <c r="C48" s="7">
        <f>-C42</f>
        <v>1014.54</v>
      </c>
      <c r="D48" s="7">
        <f>-D42</f>
        <v>1371</v>
      </c>
      <c r="E48" s="7" t="s">
        <v>5</v>
      </c>
      <c r="F48" s="7" t="s">
        <v>5</v>
      </c>
      <c r="G48" s="7">
        <f aca="true" t="shared" si="7" ref="G48:G56">G47+C48</f>
        <v>13321.605888993417</v>
      </c>
      <c r="H48" s="7">
        <f aca="true" t="shared" si="8" ref="H48:H56">H47+D48</f>
        <v>14794.57512307891</v>
      </c>
      <c r="I48" s="34">
        <f t="shared" si="6"/>
        <v>0.5917830049231564</v>
      </c>
      <c r="J48" s="8"/>
      <c r="K48" s="12"/>
    </row>
    <row r="49" spans="1:11" ht="14.25">
      <c r="A49" s="21">
        <v>42</v>
      </c>
      <c r="B49" s="5" t="s">
        <v>30</v>
      </c>
      <c r="C49" s="7">
        <f>D49/O12</f>
        <v>4768.695652173913</v>
      </c>
      <c r="D49" s="7">
        <f>12*D5</f>
        <v>5484</v>
      </c>
      <c r="E49" s="7" t="s">
        <v>5</v>
      </c>
      <c r="F49" s="7" t="s">
        <v>5</v>
      </c>
      <c r="G49" s="7">
        <f t="shared" si="7"/>
        <v>18090.30154116733</v>
      </c>
      <c r="H49" s="7">
        <f t="shared" si="8"/>
        <v>20278.57512307891</v>
      </c>
      <c r="I49" s="34">
        <f t="shared" si="6"/>
        <v>0.8111430049231564</v>
      </c>
      <c r="J49" s="8"/>
      <c r="K49" s="12"/>
    </row>
    <row r="50" spans="1:11" ht="14.25">
      <c r="A50" s="21">
        <v>43</v>
      </c>
      <c r="B50" s="5" t="s">
        <v>31</v>
      </c>
      <c r="C50" s="7">
        <v>0</v>
      </c>
      <c r="D50" s="7">
        <v>0</v>
      </c>
      <c r="E50" s="7" t="s">
        <v>5</v>
      </c>
      <c r="F50" s="7" t="s">
        <v>5</v>
      </c>
      <c r="G50" s="7">
        <f t="shared" si="7"/>
        <v>18090.30154116733</v>
      </c>
      <c r="H50" s="7">
        <f t="shared" si="8"/>
        <v>20278.57512307891</v>
      </c>
      <c r="I50" s="34">
        <f t="shared" si="6"/>
        <v>0.8111430049231564</v>
      </c>
      <c r="J50" s="79" t="s">
        <v>171</v>
      </c>
      <c r="K50" s="12"/>
    </row>
    <row r="51" spans="1:11" ht="15" customHeight="1">
      <c r="A51" s="21">
        <v>44</v>
      </c>
      <c r="B51" s="5" t="s">
        <v>32</v>
      </c>
      <c r="C51" s="7">
        <v>0</v>
      </c>
      <c r="D51" s="7">
        <v>0</v>
      </c>
      <c r="E51" s="7" t="s">
        <v>5</v>
      </c>
      <c r="F51" s="7" t="s">
        <v>5</v>
      </c>
      <c r="G51" s="7">
        <f t="shared" si="7"/>
        <v>18090.30154116733</v>
      </c>
      <c r="H51" s="7">
        <f t="shared" si="8"/>
        <v>20278.57512307891</v>
      </c>
      <c r="I51" s="34">
        <f t="shared" si="6"/>
        <v>0.8111430049231564</v>
      </c>
      <c r="J51" s="79" t="s">
        <v>171</v>
      </c>
      <c r="K51" s="12"/>
    </row>
    <row r="52" spans="1:11" ht="14.25">
      <c r="A52" s="21">
        <v>45</v>
      </c>
      <c r="B52" s="5" t="s">
        <v>28</v>
      </c>
      <c r="C52" s="7">
        <f>-C49</f>
        <v>-4768.695652173913</v>
      </c>
      <c r="D52" s="7">
        <f>-D49</f>
        <v>-5484</v>
      </c>
      <c r="E52" s="7" t="s">
        <v>5</v>
      </c>
      <c r="F52" s="7" t="s">
        <v>5</v>
      </c>
      <c r="G52" s="7">
        <f t="shared" si="7"/>
        <v>13321.605888993417</v>
      </c>
      <c r="H52" s="7">
        <f t="shared" si="8"/>
        <v>14794.57512307891</v>
      </c>
      <c r="I52" s="34">
        <f t="shared" si="6"/>
        <v>0.5917830049231564</v>
      </c>
      <c r="J52" s="8"/>
      <c r="K52" s="12"/>
    </row>
    <row r="53" spans="1:11" ht="14.25">
      <c r="A53" s="21">
        <v>46</v>
      </c>
      <c r="B53" s="5" t="s">
        <v>33</v>
      </c>
      <c r="C53" s="7"/>
      <c r="D53" s="7"/>
      <c r="E53" s="7" t="s">
        <v>5</v>
      </c>
      <c r="F53" s="7" t="s">
        <v>5</v>
      </c>
      <c r="G53" s="7">
        <f t="shared" si="7"/>
        <v>13321.605888993417</v>
      </c>
      <c r="H53" s="7">
        <f t="shared" si="8"/>
        <v>14794.57512307891</v>
      </c>
      <c r="I53" s="34">
        <f t="shared" si="6"/>
        <v>0.5917830049231564</v>
      </c>
      <c r="J53" s="8"/>
      <c r="K53" s="12"/>
    </row>
    <row r="54" spans="1:11" ht="14.25">
      <c r="A54" s="21">
        <v>47</v>
      </c>
      <c r="B54" s="5" t="s">
        <v>34</v>
      </c>
      <c r="C54" s="7"/>
      <c r="D54" s="7"/>
      <c r="E54" s="7" t="s">
        <v>5</v>
      </c>
      <c r="F54" s="7" t="s">
        <v>5</v>
      </c>
      <c r="G54" s="7">
        <f t="shared" si="7"/>
        <v>13321.605888993417</v>
      </c>
      <c r="H54" s="7">
        <f t="shared" si="8"/>
        <v>14794.57512307891</v>
      </c>
      <c r="I54" s="34">
        <f t="shared" si="6"/>
        <v>0.5917830049231564</v>
      </c>
      <c r="J54" s="79" t="s">
        <v>171</v>
      </c>
      <c r="K54" s="12"/>
    </row>
    <row r="55" spans="1:11" ht="14.25">
      <c r="A55" s="21">
        <v>48</v>
      </c>
      <c r="B55" s="5" t="s">
        <v>167</v>
      </c>
      <c r="C55" s="7"/>
      <c r="D55" s="7"/>
      <c r="E55" s="7" t="s">
        <v>5</v>
      </c>
      <c r="F55" s="7" t="s">
        <v>5</v>
      </c>
      <c r="G55" s="7">
        <f t="shared" si="7"/>
        <v>13321.605888993417</v>
      </c>
      <c r="H55" s="7">
        <f t="shared" si="8"/>
        <v>14794.57512307891</v>
      </c>
      <c r="I55" s="34">
        <f t="shared" si="6"/>
        <v>0.5917830049231564</v>
      </c>
      <c r="J55" s="8"/>
      <c r="K55" s="12"/>
    </row>
    <row r="56" spans="1:11" ht="15" thickBot="1">
      <c r="A56" s="22">
        <v>49</v>
      </c>
      <c r="B56" s="14" t="s">
        <v>168</v>
      </c>
      <c r="C56" s="16">
        <v>0</v>
      </c>
      <c r="D56" s="16">
        <v>0</v>
      </c>
      <c r="E56" s="16" t="s">
        <v>5</v>
      </c>
      <c r="F56" s="16" t="s">
        <v>5</v>
      </c>
      <c r="G56" s="16">
        <f t="shared" si="7"/>
        <v>13321.605888993417</v>
      </c>
      <c r="H56" s="16">
        <f t="shared" si="8"/>
        <v>14794.57512307891</v>
      </c>
      <c r="I56" s="38">
        <f t="shared" si="6"/>
        <v>0.5917830049231564</v>
      </c>
      <c r="J56" s="19"/>
      <c r="K56" s="17"/>
    </row>
    <row r="57" ht="15" thickBot="1"/>
    <row r="58" spans="1:11" ht="14.25">
      <c r="A58" s="20">
        <v>20000</v>
      </c>
      <c r="B58" s="84" t="s">
        <v>35</v>
      </c>
      <c r="C58" s="86" t="s">
        <v>16</v>
      </c>
      <c r="D58" s="86" t="s">
        <v>17</v>
      </c>
      <c r="E58" s="93" t="s">
        <v>39</v>
      </c>
      <c r="F58" s="93" t="s">
        <v>51</v>
      </c>
      <c r="G58" s="86" t="s">
        <v>18</v>
      </c>
      <c r="H58" s="86" t="s">
        <v>19</v>
      </c>
      <c r="I58" s="88" t="s">
        <v>1</v>
      </c>
      <c r="J58" s="90" t="s">
        <v>20</v>
      </c>
      <c r="K58" s="91" t="s">
        <v>21</v>
      </c>
    </row>
    <row r="59" spans="1:11" ht="14.25">
      <c r="A59" s="10" t="s">
        <v>0</v>
      </c>
      <c r="B59" s="85"/>
      <c r="C59" s="87"/>
      <c r="D59" s="87"/>
      <c r="E59" s="94"/>
      <c r="F59" s="94"/>
      <c r="G59" s="87"/>
      <c r="H59" s="87"/>
      <c r="I59" s="89"/>
      <c r="J59" s="89"/>
      <c r="K59" s="92"/>
    </row>
    <row r="60" spans="1:11" ht="14.25">
      <c r="A60" s="21">
        <v>50</v>
      </c>
      <c r="B60" s="23" t="s">
        <v>169</v>
      </c>
      <c r="C60" s="7">
        <f>G55-C53</f>
        <v>13321.605888993417</v>
      </c>
      <c r="D60" s="7">
        <f>H55-D53</f>
        <v>14794.57512307891</v>
      </c>
      <c r="E60" s="7" t="s">
        <v>5</v>
      </c>
      <c r="F60" s="7" t="s">
        <v>5</v>
      </c>
      <c r="G60" s="7">
        <f>C60</f>
        <v>13321.605888993417</v>
      </c>
      <c r="H60" s="7">
        <f>D60</f>
        <v>14794.57512307891</v>
      </c>
      <c r="I60" s="8">
        <f>H60/$A$58</f>
        <v>0.7397287561539455</v>
      </c>
      <c r="J60" s="8"/>
      <c r="K60" s="12"/>
    </row>
    <row r="61" spans="1:11" ht="14.25">
      <c r="A61" s="21">
        <v>51</v>
      </c>
      <c r="B61" s="23" t="s">
        <v>170</v>
      </c>
      <c r="C61" s="7">
        <f>C56</f>
        <v>0</v>
      </c>
      <c r="D61" s="7">
        <f>D56</f>
        <v>0</v>
      </c>
      <c r="E61" s="7" t="s">
        <v>5</v>
      </c>
      <c r="F61" s="7" t="s">
        <v>5</v>
      </c>
      <c r="G61" s="7">
        <f>G60+C61</f>
        <v>13321.605888993417</v>
      </c>
      <c r="H61" s="7">
        <f>H60+D61</f>
        <v>14794.57512307891</v>
      </c>
      <c r="I61" s="8">
        <f>H61/$A$58</f>
        <v>0.7397287561539455</v>
      </c>
      <c r="J61" s="8"/>
      <c r="K61" s="12"/>
    </row>
    <row r="62" spans="1:11" ht="15" thickBot="1">
      <c r="A62" s="22">
        <v>52</v>
      </c>
      <c r="B62" s="14" t="s">
        <v>37</v>
      </c>
      <c r="C62" s="16"/>
      <c r="D62" s="16"/>
      <c r="E62" s="16" t="s">
        <v>5</v>
      </c>
      <c r="F62" s="16" t="s">
        <v>5</v>
      </c>
      <c r="G62" s="16"/>
      <c r="H62" s="16"/>
      <c r="I62" s="19">
        <f>H62/$A$58</f>
        <v>0</v>
      </c>
      <c r="J62" s="19"/>
      <c r="K62" s="17"/>
    </row>
    <row r="64" spans="2:5" ht="14.25">
      <c r="B64" s="41" t="s">
        <v>54</v>
      </c>
      <c r="D64" s="3">
        <f>(E5/1000)*N14</f>
        <v>719.6094825964252</v>
      </c>
      <c r="E64" s="41" t="s">
        <v>56</v>
      </c>
    </row>
    <row r="65" spans="2:6" ht="15" customHeight="1">
      <c r="B65" s="41" t="s">
        <v>55</v>
      </c>
      <c r="D65" s="3">
        <f>((E5/1000)*N14)</f>
        <v>719.6094825964252</v>
      </c>
      <c r="E65" s="41" t="s">
        <v>56</v>
      </c>
      <c r="F65" s="41" t="s">
        <v>57</v>
      </c>
    </row>
    <row r="66" spans="2:8" ht="14.25">
      <c r="B66" t="s">
        <v>137</v>
      </c>
      <c r="D66" s="3">
        <f>D65*4</f>
        <v>2878.437930385701</v>
      </c>
      <c r="E66" s="54" t="s">
        <v>56</v>
      </c>
      <c r="F66" t="s">
        <v>136</v>
      </c>
      <c r="H66" s="41"/>
    </row>
  </sheetData>
  <sheetProtection/>
  <mergeCells count="50">
    <mergeCell ref="I58:I59"/>
    <mergeCell ref="J58:J59"/>
    <mergeCell ref="K58:K59"/>
    <mergeCell ref="E3:E4"/>
    <mergeCell ref="F3:F4"/>
    <mergeCell ref="E19:E20"/>
    <mergeCell ref="F19:F20"/>
    <mergeCell ref="E29:E30"/>
    <mergeCell ref="F29:F30"/>
    <mergeCell ref="E44:E45"/>
    <mergeCell ref="F44:F45"/>
    <mergeCell ref="E58:E59"/>
    <mergeCell ref="F58:F59"/>
    <mergeCell ref="I29:I30"/>
    <mergeCell ref="J29:J30"/>
    <mergeCell ref="I44:I45"/>
    <mergeCell ref="B58:B59"/>
    <mergeCell ref="C58:C59"/>
    <mergeCell ref="D58:D59"/>
    <mergeCell ref="G58:G59"/>
    <mergeCell ref="H29:H30"/>
    <mergeCell ref="H58:H59"/>
    <mergeCell ref="J44:J45"/>
    <mergeCell ref="K44:K45"/>
    <mergeCell ref="B29:B30"/>
    <mergeCell ref="C29:C30"/>
    <mergeCell ref="D29:D30"/>
    <mergeCell ref="G29:G30"/>
    <mergeCell ref="B44:B45"/>
    <mergeCell ref="C44:C45"/>
    <mergeCell ref="D44:D45"/>
    <mergeCell ref="G44:G45"/>
    <mergeCell ref="H44:H45"/>
    <mergeCell ref="J3:J4"/>
    <mergeCell ref="K3:K4"/>
    <mergeCell ref="J19:J20"/>
    <mergeCell ref="K19:K20"/>
    <mergeCell ref="K29:K30"/>
    <mergeCell ref="B19:B20"/>
    <mergeCell ref="C19:C20"/>
    <mergeCell ref="D19:D20"/>
    <mergeCell ref="G19:G20"/>
    <mergeCell ref="I3:I4"/>
    <mergeCell ref="B3:B4"/>
    <mergeCell ref="C3:C4"/>
    <mergeCell ref="D3:D4"/>
    <mergeCell ref="G3:G4"/>
    <mergeCell ref="H3:H4"/>
    <mergeCell ref="H19:H20"/>
    <mergeCell ref="I19:I20"/>
  </mergeCells>
  <conditionalFormatting sqref="I21:I26 I31:I42 I46:I56 I60:I62 I5:I17">
    <cfRule type="cellIs" priority="2" dxfId="5" operator="greaterThan">
      <formula>0.9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8:I11 E6 C16:D16 I12:I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M27" sqref="M27"/>
    </sheetView>
  </sheetViews>
  <sheetFormatPr defaultColWidth="9.140625" defaultRowHeight="15"/>
  <cols>
    <col min="2" max="2" width="51.28125" style="0" bestFit="1" customWidth="1"/>
    <col min="3" max="8" width="10.7109375" style="3" customWidth="1"/>
    <col min="9" max="9" width="9.140625" style="4" customWidth="1"/>
    <col min="10" max="11" width="10.421875" style="4" customWidth="1"/>
    <col min="13" max="13" width="24.00390625" style="1" bestFit="1" customWidth="1"/>
    <col min="14" max="14" width="11.57421875" style="1" bestFit="1" customWidth="1"/>
    <col min="15" max="15" width="18.8515625" style="0" bestFit="1" customWidth="1"/>
  </cols>
  <sheetData>
    <row r="1" spans="1:5" ht="23.25">
      <c r="A1" s="42"/>
      <c r="B1" t="s">
        <v>142</v>
      </c>
      <c r="C1" s="24" t="s">
        <v>38</v>
      </c>
      <c r="D1" s="3">
        <v>7.91</v>
      </c>
      <c r="E1" s="41"/>
    </row>
    <row r="2" ht="15" thickBot="1">
      <c r="A2" s="2"/>
    </row>
    <row r="3" spans="1:15" ht="14.25">
      <c r="A3" s="9">
        <v>60000</v>
      </c>
      <c r="B3" s="84" t="s">
        <v>107</v>
      </c>
      <c r="C3" s="86" t="s">
        <v>16</v>
      </c>
      <c r="D3" s="86" t="s">
        <v>17</v>
      </c>
      <c r="E3" s="93" t="s">
        <v>39</v>
      </c>
      <c r="F3" s="93" t="s">
        <v>51</v>
      </c>
      <c r="G3" s="86" t="s">
        <v>18</v>
      </c>
      <c r="H3" s="86" t="s">
        <v>19</v>
      </c>
      <c r="I3" s="88" t="s">
        <v>1</v>
      </c>
      <c r="J3" s="90" t="s">
        <v>20</v>
      </c>
      <c r="K3" s="91" t="s">
        <v>21</v>
      </c>
      <c r="M3" s="27" t="s">
        <v>40</v>
      </c>
      <c r="N3" s="28" t="s">
        <v>41</v>
      </c>
      <c r="O3" s="29" t="s">
        <v>42</v>
      </c>
    </row>
    <row r="4" spans="1:16" ht="14.25">
      <c r="A4" s="10" t="s">
        <v>75</v>
      </c>
      <c r="B4" s="85"/>
      <c r="C4" s="87"/>
      <c r="D4" s="87"/>
      <c r="E4" s="94"/>
      <c r="F4" s="94"/>
      <c r="G4" s="87"/>
      <c r="H4" s="87"/>
      <c r="I4" s="89"/>
      <c r="J4" s="89"/>
      <c r="K4" s="92"/>
      <c r="M4" s="25" t="s">
        <v>49</v>
      </c>
      <c r="N4" s="6">
        <v>418.46</v>
      </c>
      <c r="O4" s="30">
        <v>1</v>
      </c>
      <c r="P4" t="s">
        <v>50</v>
      </c>
    </row>
    <row r="5" spans="1:15" ht="14.25">
      <c r="A5" s="11">
        <v>1</v>
      </c>
      <c r="B5" s="5" t="s">
        <v>53</v>
      </c>
      <c r="C5" s="32">
        <f>D1*363.5</f>
        <v>2875.285</v>
      </c>
      <c r="D5" s="7">
        <f>C5/O4</f>
        <v>2875.285</v>
      </c>
      <c r="E5" s="7">
        <f>(C5/N4)*1000</f>
        <v>6871.110739377718</v>
      </c>
      <c r="F5" s="7">
        <f>E5/E5</f>
        <v>1</v>
      </c>
      <c r="G5" s="7">
        <f>C5</f>
        <v>2875.285</v>
      </c>
      <c r="H5" s="7">
        <f>D5</f>
        <v>2875.285</v>
      </c>
      <c r="I5" s="8">
        <f>H5/$A$3</f>
        <v>0.04792141666666666</v>
      </c>
      <c r="J5" s="8"/>
      <c r="K5" s="12"/>
      <c r="M5" s="25" t="s">
        <v>174</v>
      </c>
      <c r="N5" s="6" t="s">
        <v>5</v>
      </c>
      <c r="O5" s="30">
        <v>0.89</v>
      </c>
    </row>
    <row r="6" spans="1:15" ht="14.25">
      <c r="A6" s="11">
        <v>2</v>
      </c>
      <c r="B6" s="77" t="s">
        <v>175</v>
      </c>
      <c r="C6" s="78">
        <f>D6*O5</f>
        <v>10568.6850745</v>
      </c>
      <c r="D6" s="78">
        <f>D5*4.13</f>
        <v>11874.927049999998</v>
      </c>
      <c r="E6" s="7" t="s">
        <v>5</v>
      </c>
      <c r="F6" s="7" t="s">
        <v>5</v>
      </c>
      <c r="G6" s="7">
        <f>G5+C6</f>
        <v>13443.9700745</v>
      </c>
      <c r="H6" s="7">
        <f>H5+D6</f>
        <v>14750.212049999998</v>
      </c>
      <c r="I6" s="8">
        <f>H6/$A$3</f>
        <v>0.24583686749999997</v>
      </c>
      <c r="J6" s="8"/>
      <c r="K6" s="12"/>
      <c r="M6" s="25" t="s">
        <v>62</v>
      </c>
      <c r="N6" s="6">
        <v>39.997</v>
      </c>
      <c r="O6" s="30">
        <v>2.13</v>
      </c>
    </row>
    <row r="7" spans="1:15" ht="14.25">
      <c r="A7" s="103">
        <v>3</v>
      </c>
      <c r="B7" s="5" t="s">
        <v>172</v>
      </c>
      <c r="C7" s="7">
        <f>(E7/1000)*N6</f>
        <v>1374.119081214453</v>
      </c>
      <c r="D7" s="7">
        <f>C7/O6</f>
        <v>645.1263292086634</v>
      </c>
      <c r="E7" s="7">
        <f>F7*E5</f>
        <v>34355.55369688859</v>
      </c>
      <c r="F7" s="7">
        <f>F5*5</f>
        <v>5</v>
      </c>
      <c r="G7" s="7">
        <f>G6+C7</f>
        <v>14818.089155714451</v>
      </c>
      <c r="H7" s="7">
        <f>H6+D7</f>
        <v>15395.338379208662</v>
      </c>
      <c r="I7" s="8">
        <f>H7/$A$3</f>
        <v>0.25658897298681105</v>
      </c>
      <c r="J7" s="8"/>
      <c r="K7" s="12"/>
      <c r="M7" s="25" t="s">
        <v>45</v>
      </c>
      <c r="N7" s="6" t="s">
        <v>48</v>
      </c>
      <c r="O7" s="30">
        <v>1</v>
      </c>
    </row>
    <row r="8" spans="1:15" ht="14.25">
      <c r="A8" s="103"/>
      <c r="B8" s="5" t="s">
        <v>179</v>
      </c>
      <c r="C8" s="7">
        <f>D8*O7</f>
        <v>7119.20566</v>
      </c>
      <c r="D8" s="7">
        <f>D5*2.476</f>
        <v>7119.20566</v>
      </c>
      <c r="E8" s="7" t="s">
        <v>5</v>
      </c>
      <c r="F8" s="7" t="s">
        <v>5</v>
      </c>
      <c r="G8" s="7">
        <f aca="true" t="shared" si="0" ref="G8:G13">G7+C8</f>
        <v>21937.29481571445</v>
      </c>
      <c r="H8" s="7">
        <f aca="true" t="shared" si="1" ref="H8:H13">H7+D8</f>
        <v>22514.54403920866</v>
      </c>
      <c r="I8" s="8">
        <f aca="true" t="shared" si="2" ref="I8:I14">H8/$A$3</f>
        <v>0.3752424006534777</v>
      </c>
      <c r="J8" s="8"/>
      <c r="K8" s="12"/>
      <c r="M8" s="25" t="s">
        <v>44</v>
      </c>
      <c r="N8" s="6" t="s">
        <v>48</v>
      </c>
      <c r="O8" s="30">
        <v>0.74</v>
      </c>
    </row>
    <row r="9" spans="1:15" ht="14.25">
      <c r="A9" s="11">
        <v>4</v>
      </c>
      <c r="B9" s="77" t="s">
        <v>176</v>
      </c>
      <c r="C9" s="78">
        <v>0</v>
      </c>
      <c r="D9" s="78">
        <v>0</v>
      </c>
      <c r="E9" s="7" t="s">
        <v>5</v>
      </c>
      <c r="F9" s="7" t="s">
        <v>5</v>
      </c>
      <c r="G9" s="7">
        <f t="shared" si="0"/>
        <v>21937.29481571445</v>
      </c>
      <c r="H9" s="7">
        <f t="shared" si="1"/>
        <v>22514.54403920866</v>
      </c>
      <c r="I9" s="8">
        <f t="shared" si="2"/>
        <v>0.3752424006534777</v>
      </c>
      <c r="J9" s="79" t="s">
        <v>173</v>
      </c>
      <c r="K9" s="12"/>
      <c r="M9" s="25" t="s">
        <v>63</v>
      </c>
      <c r="N9" s="6">
        <v>192.124</v>
      </c>
      <c r="O9" s="30">
        <v>1</v>
      </c>
    </row>
    <row r="10" spans="1:16" ht="14.25">
      <c r="A10" s="11">
        <v>5</v>
      </c>
      <c r="B10" s="5" t="s">
        <v>184</v>
      </c>
      <c r="C10" s="7">
        <f>-C6</f>
        <v>-10568.6850745</v>
      </c>
      <c r="D10" s="7">
        <f>-D6</f>
        <v>-11874.927049999998</v>
      </c>
      <c r="E10" s="7" t="s">
        <v>5</v>
      </c>
      <c r="F10" s="7" t="s">
        <v>5</v>
      </c>
      <c r="G10" s="7">
        <f t="shared" si="0"/>
        <v>11368.60974121445</v>
      </c>
      <c r="H10" s="7">
        <f t="shared" si="1"/>
        <v>10639.616989208662</v>
      </c>
      <c r="I10" s="8">
        <f t="shared" si="2"/>
        <v>0.17732694982014435</v>
      </c>
      <c r="J10" s="8"/>
      <c r="K10" s="12"/>
      <c r="M10" s="25" t="s">
        <v>64</v>
      </c>
      <c r="N10" s="6" t="s">
        <v>5</v>
      </c>
      <c r="O10" s="30">
        <v>0.902</v>
      </c>
      <c r="P10" t="s">
        <v>74</v>
      </c>
    </row>
    <row r="11" spans="1:16" ht="15" thickBot="1">
      <c r="A11" s="11">
        <v>6</v>
      </c>
      <c r="B11" s="5" t="s">
        <v>9</v>
      </c>
      <c r="C11" s="7">
        <f>D11*O7</f>
        <v>7907.03375</v>
      </c>
      <c r="D11" s="7">
        <f>D5*2.75</f>
        <v>7907.03375</v>
      </c>
      <c r="E11" s="7" t="s">
        <v>5</v>
      </c>
      <c r="F11" s="7" t="s">
        <v>5</v>
      </c>
      <c r="G11" s="7">
        <f t="shared" si="0"/>
        <v>19275.64349121445</v>
      </c>
      <c r="H11" s="7">
        <f t="shared" si="1"/>
        <v>18546.65073920866</v>
      </c>
      <c r="I11" s="8">
        <f t="shared" si="2"/>
        <v>0.3091108456534777</v>
      </c>
      <c r="J11" s="8"/>
      <c r="K11" s="12"/>
      <c r="M11" s="26" t="s">
        <v>65</v>
      </c>
      <c r="N11" s="15">
        <v>390.41</v>
      </c>
      <c r="O11" s="31">
        <v>1</v>
      </c>
      <c r="P11" t="s">
        <v>50</v>
      </c>
    </row>
    <row r="12" spans="1:11" ht="15" thickBot="1">
      <c r="A12" s="11">
        <v>7</v>
      </c>
      <c r="B12" s="77" t="s">
        <v>7</v>
      </c>
      <c r="C12" s="78">
        <f>D12*O8</f>
        <v>2927.7301983999996</v>
      </c>
      <c r="D12" s="78">
        <f>D5*1.376</f>
        <v>3956.3921599999994</v>
      </c>
      <c r="E12" s="7" t="s">
        <v>5</v>
      </c>
      <c r="F12" s="7" t="s">
        <v>5</v>
      </c>
      <c r="G12" s="7">
        <f t="shared" si="0"/>
        <v>22203.37368961445</v>
      </c>
      <c r="H12" s="7">
        <f t="shared" si="1"/>
        <v>22503.04289920866</v>
      </c>
      <c r="I12" s="8">
        <f t="shared" si="2"/>
        <v>0.375050714986811</v>
      </c>
      <c r="J12" s="79" t="s">
        <v>171</v>
      </c>
      <c r="K12" s="12"/>
    </row>
    <row r="13" spans="1:15" ht="14.25">
      <c r="A13" s="11">
        <v>8</v>
      </c>
      <c r="B13" s="77" t="s">
        <v>15</v>
      </c>
      <c r="C13" s="78">
        <v>0</v>
      </c>
      <c r="D13" s="78">
        <v>0</v>
      </c>
      <c r="E13" s="7" t="s">
        <v>5</v>
      </c>
      <c r="F13" s="7" t="s">
        <v>5</v>
      </c>
      <c r="G13" s="7">
        <f t="shared" si="0"/>
        <v>22203.37368961445</v>
      </c>
      <c r="H13" s="7">
        <f t="shared" si="1"/>
        <v>22503.04289920866</v>
      </c>
      <c r="I13" s="8">
        <f t="shared" si="2"/>
        <v>0.375050714986811</v>
      </c>
      <c r="J13" s="79" t="s">
        <v>171</v>
      </c>
      <c r="K13" s="12"/>
      <c r="M13" s="57" t="s">
        <v>121</v>
      </c>
      <c r="N13" s="28" t="s">
        <v>124</v>
      </c>
      <c r="O13" s="60" t="s">
        <v>122</v>
      </c>
    </row>
    <row r="14" spans="1:15" ht="14.25">
      <c r="A14" s="11">
        <v>10</v>
      </c>
      <c r="B14" s="5" t="s">
        <v>177</v>
      </c>
      <c r="C14" s="7">
        <f>-G13</f>
        <v>-22203.37368961445</v>
      </c>
      <c r="D14" s="7">
        <f>-H13</f>
        <v>-22503.04289920866</v>
      </c>
      <c r="E14" s="7" t="s">
        <v>5</v>
      </c>
      <c r="F14" s="7" t="s">
        <v>5</v>
      </c>
      <c r="G14" s="7">
        <f>H13+C14</f>
        <v>299.66920959420895</v>
      </c>
      <c r="H14" s="7">
        <f>H13+D14</f>
        <v>0</v>
      </c>
      <c r="I14" s="8">
        <f t="shared" si="2"/>
        <v>0</v>
      </c>
      <c r="J14" s="8"/>
      <c r="K14" s="12"/>
      <c r="M14" s="58" t="s">
        <v>126</v>
      </c>
      <c r="N14" s="61">
        <f>C6</f>
        <v>10568.6850745</v>
      </c>
      <c r="O14" s="62"/>
    </row>
    <row r="15" spans="1:15" ht="14.25">
      <c r="A15" s="11">
        <v>15</v>
      </c>
      <c r="B15" s="23" t="s">
        <v>178</v>
      </c>
      <c r="C15" s="7">
        <f>-C30</f>
        <v>19275.64349121445</v>
      </c>
      <c r="D15" s="7">
        <f>-D30</f>
        <v>18546.65073920866</v>
      </c>
      <c r="E15" s="7" t="s">
        <v>5</v>
      </c>
      <c r="F15" s="7"/>
      <c r="G15" s="7">
        <f>H14+C15</f>
        <v>19275.64349121445</v>
      </c>
      <c r="H15" s="7">
        <f>H14+D15</f>
        <v>18546.65073920866</v>
      </c>
      <c r="I15" s="8">
        <f>H15/$A$3</f>
        <v>0.3091108456534777</v>
      </c>
      <c r="J15" s="8"/>
      <c r="K15" s="12"/>
      <c r="M15" s="58" t="s">
        <v>128</v>
      </c>
      <c r="N15" s="61">
        <f>C7</f>
        <v>1374.119081214453</v>
      </c>
      <c r="O15" s="62" t="s">
        <v>129</v>
      </c>
    </row>
    <row r="16" spans="1:15" ht="14.25">
      <c r="A16" s="103">
        <v>16</v>
      </c>
      <c r="B16" s="82" t="s">
        <v>180</v>
      </c>
      <c r="C16" s="78">
        <f>(E16/1000)*N9</f>
        <v>3313.4642520274333</v>
      </c>
      <c r="D16" s="78">
        <f>C16/O9</f>
        <v>3313.4642520274333</v>
      </c>
      <c r="E16" s="7">
        <f>F16*E5</f>
        <v>17246.48795583807</v>
      </c>
      <c r="F16" s="7">
        <f>2.51*F5</f>
        <v>2.51</v>
      </c>
      <c r="G16" s="7">
        <f>H15+C16</f>
        <v>21860.114991236092</v>
      </c>
      <c r="H16" s="7">
        <f>H15+D16</f>
        <v>21860.114991236092</v>
      </c>
      <c r="I16" s="8">
        <f>H16/$A$3</f>
        <v>0.3643352498539349</v>
      </c>
      <c r="J16" s="79" t="s">
        <v>183</v>
      </c>
      <c r="K16" s="12"/>
      <c r="M16" s="58" t="s">
        <v>44</v>
      </c>
      <c r="N16" s="61">
        <f>(C12+C23)</f>
        <v>4097.9711934</v>
      </c>
      <c r="O16" s="62"/>
    </row>
    <row r="17" spans="1:15" ht="14.25">
      <c r="A17" s="103"/>
      <c r="B17" s="23" t="s">
        <v>179</v>
      </c>
      <c r="C17" s="7">
        <f>D17*O7</f>
        <v>3162.8135</v>
      </c>
      <c r="D17" s="7">
        <f>1.1*D5</f>
        <v>3162.8135</v>
      </c>
      <c r="E17" s="7" t="s">
        <v>5</v>
      </c>
      <c r="F17" s="7" t="s">
        <v>5</v>
      </c>
      <c r="G17" s="7">
        <f>H16+C17</f>
        <v>25022.928491236093</v>
      </c>
      <c r="H17" s="7">
        <f>H16+D17</f>
        <v>25022.928491236093</v>
      </c>
      <c r="I17" s="8">
        <f>H17/$A$3</f>
        <v>0.4170488081872682</v>
      </c>
      <c r="J17" s="8"/>
      <c r="K17" s="12"/>
      <c r="M17" s="58" t="s">
        <v>63</v>
      </c>
      <c r="N17" s="61">
        <f>C16</f>
        <v>3313.4642520274333</v>
      </c>
      <c r="O17" s="62"/>
    </row>
    <row r="18" spans="1:15" ht="15" thickBot="1">
      <c r="A18" s="11">
        <v>17</v>
      </c>
      <c r="B18" s="82" t="s">
        <v>58</v>
      </c>
      <c r="C18" s="78">
        <f>D18*O10</f>
        <v>1426.4288885</v>
      </c>
      <c r="D18" s="78">
        <f>0.55*D5</f>
        <v>1581.40675</v>
      </c>
      <c r="E18" s="7" t="s">
        <v>5</v>
      </c>
      <c r="F18" s="7" t="s">
        <v>5</v>
      </c>
      <c r="G18" s="7">
        <f>H17+C18</f>
        <v>26449.35737973609</v>
      </c>
      <c r="H18" s="7">
        <f>H17+D18</f>
        <v>26604.33524123609</v>
      </c>
      <c r="I18" s="8">
        <f>H18/$A$3</f>
        <v>0.44340558735393487</v>
      </c>
      <c r="J18" s="8"/>
      <c r="K18" s="12"/>
      <c r="M18" s="59" t="s">
        <v>127</v>
      </c>
      <c r="N18" s="63">
        <f>C18</f>
        <v>1426.4288885</v>
      </c>
      <c r="O18" s="64"/>
    </row>
    <row r="19" spans="1:15" ht="14.25">
      <c r="A19" s="11">
        <v>18</v>
      </c>
      <c r="B19" s="82" t="s">
        <v>110</v>
      </c>
      <c r="C19" s="78">
        <v>0</v>
      </c>
      <c r="D19" s="78">
        <v>0</v>
      </c>
      <c r="E19" s="7" t="s">
        <v>5</v>
      </c>
      <c r="F19" s="7" t="s">
        <v>5</v>
      </c>
      <c r="G19" s="7">
        <f>H18+C19</f>
        <v>26604.33524123609</v>
      </c>
      <c r="H19" s="7">
        <f>H18+D19</f>
        <v>26604.33524123609</v>
      </c>
      <c r="I19" s="8">
        <f>H19/$A$3</f>
        <v>0.44340558735393487</v>
      </c>
      <c r="J19" s="79" t="s">
        <v>159</v>
      </c>
      <c r="K19" s="12"/>
      <c r="M19" s="65"/>
      <c r="N19" s="66"/>
      <c r="O19" s="67"/>
    </row>
    <row r="20" spans="1:15" ht="14.25">
      <c r="A20" s="11">
        <v>19</v>
      </c>
      <c r="B20" s="23" t="s">
        <v>111</v>
      </c>
      <c r="C20" s="7">
        <f>-G19</f>
        <v>-26604.33524123609</v>
      </c>
      <c r="D20" s="7">
        <f>-H19</f>
        <v>-26604.33524123609</v>
      </c>
      <c r="E20" s="7" t="s">
        <v>5</v>
      </c>
      <c r="F20" s="7" t="s">
        <v>5</v>
      </c>
      <c r="G20" s="7">
        <f>H19+C20</f>
        <v>0</v>
      </c>
      <c r="H20" s="7">
        <f>H19+D20</f>
        <v>0</v>
      </c>
      <c r="I20" s="8">
        <f>H20/$A$3</f>
        <v>0</v>
      </c>
      <c r="J20" s="8"/>
      <c r="K20" s="12"/>
      <c r="M20" s="65"/>
      <c r="N20" s="66"/>
      <c r="O20" s="67"/>
    </row>
    <row r="21" spans="1:15" ht="14.25">
      <c r="A21" s="11">
        <v>23</v>
      </c>
      <c r="B21" s="23" t="s">
        <v>118</v>
      </c>
      <c r="C21" s="7">
        <f>D21*O7</f>
        <v>1581.40675</v>
      </c>
      <c r="D21" s="7">
        <f>0.55*D5</f>
        <v>1581.40675</v>
      </c>
      <c r="E21" s="7" t="s">
        <v>5</v>
      </c>
      <c r="F21" s="7" t="s">
        <v>5</v>
      </c>
      <c r="G21" s="7">
        <f>H20+C21</f>
        <v>1581.40675</v>
      </c>
      <c r="H21" s="7">
        <f>H20+D21</f>
        <v>1581.40675</v>
      </c>
      <c r="I21" s="8">
        <f>H21/$A$3</f>
        <v>0.026356779166666667</v>
      </c>
      <c r="J21" s="8"/>
      <c r="K21" s="12"/>
      <c r="M21" s="65"/>
      <c r="N21" s="66"/>
      <c r="O21" s="67"/>
    </row>
    <row r="22" spans="1:15" ht="14.25">
      <c r="A22" s="11">
        <v>24</v>
      </c>
      <c r="B22" s="23" t="s">
        <v>181</v>
      </c>
      <c r="C22" s="7">
        <f>-G21</f>
        <v>-1581.40675</v>
      </c>
      <c r="D22" s="7">
        <f>-H21</f>
        <v>-1581.40675</v>
      </c>
      <c r="E22" s="7" t="s">
        <v>5</v>
      </c>
      <c r="F22" s="7" t="s">
        <v>5</v>
      </c>
      <c r="G22" s="7">
        <f>H21+C22</f>
        <v>0</v>
      </c>
      <c r="H22" s="7">
        <f>H21+D22</f>
        <v>0</v>
      </c>
      <c r="I22" s="8">
        <f>H22/$A$3</f>
        <v>0</v>
      </c>
      <c r="J22" s="8"/>
      <c r="K22" s="12"/>
      <c r="M22" s="65"/>
      <c r="N22" s="66"/>
      <c r="O22" s="67"/>
    </row>
    <row r="23" spans="1:11" ht="14.25">
      <c r="A23" s="11">
        <v>28</v>
      </c>
      <c r="B23" s="23" t="s">
        <v>119</v>
      </c>
      <c r="C23" s="7">
        <f>D23*O8</f>
        <v>1170.240995</v>
      </c>
      <c r="D23" s="7">
        <f>0.55*D5</f>
        <v>1581.40675</v>
      </c>
      <c r="E23" s="7" t="s">
        <v>5</v>
      </c>
      <c r="F23" s="7" t="s">
        <v>5</v>
      </c>
      <c r="G23" s="7">
        <f>H22+C23</f>
        <v>1170.240995</v>
      </c>
      <c r="H23" s="7">
        <f>H22+D23</f>
        <v>1581.40675</v>
      </c>
      <c r="I23" s="8">
        <f>H23/$A$3</f>
        <v>0.026356779166666667</v>
      </c>
      <c r="J23" s="8"/>
      <c r="K23" s="12"/>
    </row>
    <row r="24" spans="1:11" ht="15" thickBot="1">
      <c r="A24" s="13">
        <v>29</v>
      </c>
      <c r="B24" s="52" t="s">
        <v>182</v>
      </c>
      <c r="C24" s="16">
        <f>-G23</f>
        <v>-1170.240995</v>
      </c>
      <c r="D24" s="16">
        <f>-H23</f>
        <v>-1581.40675</v>
      </c>
      <c r="E24" s="16" t="s">
        <v>5</v>
      </c>
      <c r="F24" s="16" t="s">
        <v>5</v>
      </c>
      <c r="G24" s="16">
        <f>H23+C24</f>
        <v>411.165755</v>
      </c>
      <c r="H24" s="16">
        <f>H23+D24</f>
        <v>0</v>
      </c>
      <c r="I24" s="19">
        <f>H24/$A$3</f>
        <v>0</v>
      </c>
      <c r="J24" s="19"/>
      <c r="K24" s="17"/>
    </row>
    <row r="25" ht="15" thickBot="1">
      <c r="A25" s="2"/>
    </row>
    <row r="26" spans="1:11" ht="15" customHeight="1">
      <c r="A26" s="9">
        <v>25000</v>
      </c>
      <c r="B26" s="101" t="s">
        <v>89</v>
      </c>
      <c r="C26" s="93" t="s">
        <v>16</v>
      </c>
      <c r="D26" s="93" t="s">
        <v>17</v>
      </c>
      <c r="E26" s="93" t="s">
        <v>39</v>
      </c>
      <c r="F26" s="93" t="s">
        <v>51</v>
      </c>
      <c r="G26" s="93" t="s">
        <v>18</v>
      </c>
      <c r="H26" s="93" t="s">
        <v>19</v>
      </c>
      <c r="I26" s="95" t="s">
        <v>1</v>
      </c>
      <c r="J26" s="97" t="s">
        <v>20</v>
      </c>
      <c r="K26" s="99" t="s">
        <v>21</v>
      </c>
    </row>
    <row r="27" spans="1:11" ht="14.25">
      <c r="A27" s="10" t="s">
        <v>67</v>
      </c>
      <c r="B27" s="102"/>
      <c r="C27" s="94"/>
      <c r="D27" s="94"/>
      <c r="E27" s="94"/>
      <c r="F27" s="94"/>
      <c r="G27" s="94"/>
      <c r="H27" s="94"/>
      <c r="I27" s="96"/>
      <c r="J27" s="98"/>
      <c r="K27" s="100"/>
    </row>
    <row r="28" spans="1:11" ht="14.25">
      <c r="A28" s="21">
        <v>11</v>
      </c>
      <c r="B28" s="23" t="s">
        <v>90</v>
      </c>
      <c r="C28" s="33">
        <f>-C14</f>
        <v>22203.37368961445</v>
      </c>
      <c r="D28" s="33">
        <f>-D14</f>
        <v>22503.04289920866</v>
      </c>
      <c r="E28" s="44" t="s">
        <v>5</v>
      </c>
      <c r="F28" s="44" t="s">
        <v>5</v>
      </c>
      <c r="G28" s="33">
        <f>C28</f>
        <v>22203.37368961445</v>
      </c>
      <c r="H28" s="33">
        <f>D28</f>
        <v>22503.04289920866</v>
      </c>
      <c r="I28" s="34">
        <f>H28/$A$26</f>
        <v>0.9001217159683464</v>
      </c>
      <c r="J28" s="34"/>
      <c r="K28" s="35"/>
    </row>
    <row r="29" spans="1:11" ht="14.25">
      <c r="A29" s="21">
        <v>12</v>
      </c>
      <c r="B29" s="82" t="s">
        <v>22</v>
      </c>
      <c r="C29" s="83">
        <v>0</v>
      </c>
      <c r="D29" s="83">
        <v>0</v>
      </c>
      <c r="E29" s="44" t="s">
        <v>5</v>
      </c>
      <c r="F29" s="44" t="s">
        <v>5</v>
      </c>
      <c r="G29" s="33">
        <f aca="true" t="shared" si="3" ref="G29:H31">G28+C29</f>
        <v>22203.37368961445</v>
      </c>
      <c r="H29" s="33">
        <f t="shared" si="3"/>
        <v>22503.04289920866</v>
      </c>
      <c r="I29" s="34">
        <f>H29/$A$26</f>
        <v>0.9001217159683464</v>
      </c>
      <c r="J29" s="79" t="s">
        <v>159</v>
      </c>
      <c r="K29" s="35"/>
    </row>
    <row r="30" spans="1:11" ht="14.25">
      <c r="A30" s="21">
        <v>13</v>
      </c>
      <c r="B30" s="23" t="s">
        <v>109</v>
      </c>
      <c r="C30" s="33">
        <f>-C5-C7-C8-C11</f>
        <v>-19275.64349121445</v>
      </c>
      <c r="D30" s="33">
        <f>-D5-D7-D8-D11</f>
        <v>-18546.65073920866</v>
      </c>
      <c r="E30" s="44" t="s">
        <v>5</v>
      </c>
      <c r="F30" s="44" t="s">
        <v>5</v>
      </c>
      <c r="G30" s="33">
        <f t="shared" si="3"/>
        <v>2927.7301984000005</v>
      </c>
      <c r="H30" s="33">
        <f t="shared" si="3"/>
        <v>3956.3921599999994</v>
      </c>
      <c r="I30" s="34">
        <f>H30/$A$26</f>
        <v>0.15825568639999998</v>
      </c>
      <c r="J30" s="34"/>
      <c r="K30" s="35"/>
    </row>
    <row r="31" spans="1:11" ht="15" thickBot="1">
      <c r="A31" s="22">
        <v>14</v>
      </c>
      <c r="B31" s="52" t="s">
        <v>108</v>
      </c>
      <c r="C31" s="48">
        <f>-G30</f>
        <v>-2927.7301984000005</v>
      </c>
      <c r="D31" s="48">
        <f>-H30</f>
        <v>-3956.3921599999994</v>
      </c>
      <c r="E31" s="53" t="s">
        <v>5</v>
      </c>
      <c r="F31" s="53" t="s">
        <v>5</v>
      </c>
      <c r="G31" s="48">
        <f t="shared" si="3"/>
        <v>0</v>
      </c>
      <c r="H31" s="48">
        <f t="shared" si="3"/>
        <v>0</v>
      </c>
      <c r="I31" s="38">
        <f>H31/$A$26</f>
        <v>0</v>
      </c>
      <c r="J31" s="38"/>
      <c r="K31" s="39"/>
    </row>
    <row r="32" ht="15" thickBot="1"/>
    <row r="33" spans="1:11" ht="15" customHeight="1">
      <c r="A33" s="20">
        <v>20000</v>
      </c>
      <c r="B33" s="84" t="s">
        <v>60</v>
      </c>
      <c r="C33" s="86" t="s">
        <v>16</v>
      </c>
      <c r="D33" s="86" t="s">
        <v>17</v>
      </c>
      <c r="E33" s="93" t="s">
        <v>39</v>
      </c>
      <c r="F33" s="93" t="s">
        <v>51</v>
      </c>
      <c r="G33" s="86" t="s">
        <v>18</v>
      </c>
      <c r="H33" s="86" t="s">
        <v>19</v>
      </c>
      <c r="I33" s="88" t="s">
        <v>1</v>
      </c>
      <c r="J33" s="90" t="s">
        <v>20</v>
      </c>
      <c r="K33" s="91" t="s">
        <v>21</v>
      </c>
    </row>
    <row r="34" spans="1:11" ht="14.25">
      <c r="A34" s="10" t="s">
        <v>0</v>
      </c>
      <c r="B34" s="85"/>
      <c r="C34" s="87"/>
      <c r="D34" s="87"/>
      <c r="E34" s="94"/>
      <c r="F34" s="94"/>
      <c r="G34" s="87"/>
      <c r="H34" s="87"/>
      <c r="I34" s="89"/>
      <c r="J34" s="89"/>
      <c r="K34" s="92"/>
    </row>
    <row r="35" spans="1:11" ht="14.25">
      <c r="A35" s="21">
        <v>20</v>
      </c>
      <c r="B35" s="23" t="s">
        <v>112</v>
      </c>
      <c r="C35" s="33">
        <f>-C20</f>
        <v>26604.33524123609</v>
      </c>
      <c r="D35" s="33">
        <f>-D20</f>
        <v>26604.33524123609</v>
      </c>
      <c r="E35" s="45" t="s">
        <v>5</v>
      </c>
      <c r="F35" s="45" t="s">
        <v>5</v>
      </c>
      <c r="G35" s="33">
        <f>C35</f>
        <v>26604.33524123609</v>
      </c>
      <c r="H35" s="33">
        <f>D35</f>
        <v>26604.33524123609</v>
      </c>
      <c r="I35" s="34">
        <f>H35/$A$33</f>
        <v>1.3302167620618046</v>
      </c>
      <c r="J35" s="46"/>
      <c r="K35" s="47"/>
    </row>
    <row r="36" spans="1:11" ht="14.25">
      <c r="A36" s="21">
        <v>21</v>
      </c>
      <c r="B36" s="23" t="s">
        <v>117</v>
      </c>
      <c r="C36" s="33">
        <f>-(G35-C47)</f>
        <v>-24254.42114010193</v>
      </c>
      <c r="D36" s="33">
        <f>-(H35-(C47/O11))</f>
        <v>-24254.42114010193</v>
      </c>
      <c r="E36" s="40" t="s">
        <v>5</v>
      </c>
      <c r="F36" s="45" t="s">
        <v>5</v>
      </c>
      <c r="G36" s="33">
        <f>G35+C36</f>
        <v>2349.91410113416</v>
      </c>
      <c r="H36" s="33">
        <f>H35+D36</f>
        <v>2349.91410113416</v>
      </c>
      <c r="I36" s="34">
        <f>H36/$A$33</f>
        <v>0.11749570505670799</v>
      </c>
      <c r="J36" s="46"/>
      <c r="K36" s="47"/>
    </row>
    <row r="37" spans="1:11" ht="14.25">
      <c r="A37" s="21">
        <v>22</v>
      </c>
      <c r="B37" s="23" t="s">
        <v>101</v>
      </c>
      <c r="C37" s="33">
        <v>0</v>
      </c>
      <c r="D37" s="33">
        <v>0</v>
      </c>
      <c r="E37" s="40" t="s">
        <v>5</v>
      </c>
      <c r="F37" s="45" t="s">
        <v>5</v>
      </c>
      <c r="G37" s="33">
        <f aca="true" t="shared" si="4" ref="G37:G44">G36+C37</f>
        <v>2349.91410113416</v>
      </c>
      <c r="H37" s="33">
        <f aca="true" t="shared" si="5" ref="H37:H44">H36+D37</f>
        <v>2349.91410113416</v>
      </c>
      <c r="I37" s="34">
        <f aca="true" t="shared" si="6" ref="I37:I44">H37/$A$33</f>
        <v>0.11749570505670799</v>
      </c>
      <c r="J37" s="46"/>
      <c r="K37" s="47"/>
    </row>
    <row r="38" spans="1:11" ht="14.25">
      <c r="A38" s="21">
        <v>25</v>
      </c>
      <c r="B38" s="5" t="s">
        <v>113</v>
      </c>
      <c r="C38" s="33">
        <f>-C22</f>
        <v>1581.40675</v>
      </c>
      <c r="D38" s="33">
        <f>-D22</f>
        <v>1581.40675</v>
      </c>
      <c r="E38" s="40" t="s">
        <v>5</v>
      </c>
      <c r="F38" s="40" t="s">
        <v>5</v>
      </c>
      <c r="G38" s="33">
        <f t="shared" si="4"/>
        <v>3931.32085113416</v>
      </c>
      <c r="H38" s="33">
        <f t="shared" si="5"/>
        <v>3931.32085113416</v>
      </c>
      <c r="I38" s="34">
        <f t="shared" si="6"/>
        <v>0.196566042556708</v>
      </c>
      <c r="J38" s="34"/>
      <c r="K38" s="35"/>
    </row>
    <row r="39" spans="1:11" ht="14.25">
      <c r="A39" s="21">
        <v>26</v>
      </c>
      <c r="B39" s="5" t="s">
        <v>116</v>
      </c>
      <c r="C39" s="33">
        <f>-C38</f>
        <v>-1581.40675</v>
      </c>
      <c r="D39" s="33">
        <f>-D38</f>
        <v>-1581.40675</v>
      </c>
      <c r="E39" s="40" t="s">
        <v>5</v>
      </c>
      <c r="F39" s="40" t="s">
        <v>5</v>
      </c>
      <c r="G39" s="33">
        <f t="shared" si="4"/>
        <v>2349.91410113416</v>
      </c>
      <c r="H39" s="33">
        <f t="shared" si="5"/>
        <v>2349.91410113416</v>
      </c>
      <c r="I39" s="34">
        <f t="shared" si="6"/>
        <v>0.11749570505670799</v>
      </c>
      <c r="J39" s="34"/>
      <c r="K39" s="35"/>
    </row>
    <row r="40" spans="1:11" ht="14.25">
      <c r="A40" s="21">
        <v>27</v>
      </c>
      <c r="B40" s="5" t="s">
        <v>101</v>
      </c>
      <c r="C40" s="33">
        <v>0</v>
      </c>
      <c r="D40" s="33">
        <v>0</v>
      </c>
      <c r="E40" s="40" t="s">
        <v>5</v>
      </c>
      <c r="F40" s="40" t="s">
        <v>5</v>
      </c>
      <c r="G40" s="33">
        <f t="shared" si="4"/>
        <v>2349.91410113416</v>
      </c>
      <c r="H40" s="33">
        <f t="shared" si="5"/>
        <v>2349.91410113416</v>
      </c>
      <c r="I40" s="34">
        <f t="shared" si="6"/>
        <v>0.11749570505670799</v>
      </c>
      <c r="J40" s="34"/>
      <c r="K40" s="35"/>
    </row>
    <row r="41" spans="1:11" ht="14.25">
      <c r="A41" s="21">
        <v>30</v>
      </c>
      <c r="B41" s="5" t="s">
        <v>114</v>
      </c>
      <c r="C41" s="7">
        <f>-C24</f>
        <v>1170.240995</v>
      </c>
      <c r="D41" s="7">
        <f>-D24</f>
        <v>1581.40675</v>
      </c>
      <c r="E41" s="7" t="s">
        <v>5</v>
      </c>
      <c r="F41" s="7" t="s">
        <v>5</v>
      </c>
      <c r="G41" s="33">
        <f t="shared" si="4"/>
        <v>3520.15509613416</v>
      </c>
      <c r="H41" s="33">
        <f t="shared" si="5"/>
        <v>3931.32085113416</v>
      </c>
      <c r="I41" s="34">
        <f t="shared" si="6"/>
        <v>0.196566042556708</v>
      </c>
      <c r="J41" s="8"/>
      <c r="K41" s="12"/>
    </row>
    <row r="42" spans="1:11" ht="14.25">
      <c r="A42" s="21">
        <v>31</v>
      </c>
      <c r="B42" s="5" t="s">
        <v>115</v>
      </c>
      <c r="C42" s="7">
        <f>-C41</f>
        <v>-1170.240995</v>
      </c>
      <c r="D42" s="7">
        <f>-D41</f>
        <v>-1581.40675</v>
      </c>
      <c r="E42" s="7" t="s">
        <v>5</v>
      </c>
      <c r="F42" s="7" t="s">
        <v>5</v>
      </c>
      <c r="G42" s="33">
        <f t="shared" si="4"/>
        <v>2349.91410113416</v>
      </c>
      <c r="H42" s="33">
        <f t="shared" si="5"/>
        <v>2349.91410113416</v>
      </c>
      <c r="I42" s="34">
        <f t="shared" si="6"/>
        <v>0.11749570505670799</v>
      </c>
      <c r="J42" s="8"/>
      <c r="K42" s="12"/>
    </row>
    <row r="43" spans="1:11" ht="14.25">
      <c r="A43" s="21">
        <v>32</v>
      </c>
      <c r="B43" s="5" t="s">
        <v>59</v>
      </c>
      <c r="C43" s="7">
        <v>0</v>
      </c>
      <c r="D43" s="7">
        <v>0</v>
      </c>
      <c r="E43" s="7" t="s">
        <v>5</v>
      </c>
      <c r="F43" s="7" t="s">
        <v>5</v>
      </c>
      <c r="G43" s="33">
        <f>G42+C43</f>
        <v>2349.91410113416</v>
      </c>
      <c r="H43" s="33">
        <f t="shared" si="5"/>
        <v>2349.91410113416</v>
      </c>
      <c r="I43" s="34">
        <f t="shared" si="6"/>
        <v>0.11749570505670799</v>
      </c>
      <c r="J43" s="8"/>
      <c r="K43" s="12"/>
    </row>
    <row r="44" spans="1:11" ht="15" thickBot="1">
      <c r="A44" s="22">
        <v>33</v>
      </c>
      <c r="B44" s="14" t="s">
        <v>61</v>
      </c>
      <c r="C44" s="16">
        <v>0</v>
      </c>
      <c r="D44" s="16">
        <v>0</v>
      </c>
      <c r="E44" s="16" t="s">
        <v>5</v>
      </c>
      <c r="F44" s="16" t="s">
        <v>5</v>
      </c>
      <c r="G44" s="48">
        <f t="shared" si="4"/>
        <v>2349.91410113416</v>
      </c>
      <c r="H44" s="48">
        <f t="shared" si="5"/>
        <v>2349.91410113416</v>
      </c>
      <c r="I44" s="38">
        <f t="shared" si="6"/>
        <v>0.11749570505670799</v>
      </c>
      <c r="J44" s="19"/>
      <c r="K44" s="17"/>
    </row>
    <row r="46" spans="2:4" ht="14.25">
      <c r="B46" s="41" t="s">
        <v>54</v>
      </c>
      <c r="C46" s="3">
        <f>(E5/1000)*N11</f>
        <v>2682.5503437604552</v>
      </c>
      <c r="D46" s="41" t="s">
        <v>56</v>
      </c>
    </row>
    <row r="47" spans="2:4" ht="14.25">
      <c r="B47" s="41" t="s">
        <v>77</v>
      </c>
      <c r="C47" s="3">
        <f>(E5/1000)*N11*0.876</f>
        <v>2349.914101134159</v>
      </c>
      <c r="D47" s="41" t="s">
        <v>56</v>
      </c>
    </row>
    <row r="48" spans="2:5" ht="14.25">
      <c r="B48" t="s">
        <v>137</v>
      </c>
      <c r="C48" s="3">
        <f>C47</f>
        <v>2349.914101134159</v>
      </c>
      <c r="D48" s="41" t="s">
        <v>56</v>
      </c>
      <c r="E48" s="41" t="s">
        <v>139</v>
      </c>
    </row>
    <row r="49" ht="14.25">
      <c r="E49" s="41"/>
    </row>
    <row r="53" ht="14.25">
      <c r="H53" s="3" t="s">
        <v>120</v>
      </c>
    </row>
  </sheetData>
  <sheetProtection/>
  <mergeCells count="32">
    <mergeCell ref="A16:A17"/>
    <mergeCell ref="B3:B4"/>
    <mergeCell ref="C3:C4"/>
    <mergeCell ref="D3:D4"/>
    <mergeCell ref="E3:E4"/>
    <mergeCell ref="A7:A8"/>
    <mergeCell ref="F3:F4"/>
    <mergeCell ref="H3:H4"/>
    <mergeCell ref="I3:I4"/>
    <mergeCell ref="J3:J4"/>
    <mergeCell ref="K3:K4"/>
    <mergeCell ref="G3:G4"/>
    <mergeCell ref="G26:G27"/>
    <mergeCell ref="B33:B34"/>
    <mergeCell ref="C33:C34"/>
    <mergeCell ref="D33:D34"/>
    <mergeCell ref="E33:E34"/>
    <mergeCell ref="F33:F34"/>
    <mergeCell ref="G33:G34"/>
    <mergeCell ref="B26:B27"/>
    <mergeCell ref="C26:C27"/>
    <mergeCell ref="D26:D27"/>
    <mergeCell ref="E26:E27"/>
    <mergeCell ref="F26:F27"/>
    <mergeCell ref="H33:H34"/>
    <mergeCell ref="I33:I34"/>
    <mergeCell ref="J33:J34"/>
    <mergeCell ref="K33:K34"/>
    <mergeCell ref="H26:H27"/>
    <mergeCell ref="I26:I27"/>
    <mergeCell ref="J26:J27"/>
    <mergeCell ref="K26:K27"/>
  </mergeCells>
  <conditionalFormatting sqref="I28:I31 I35:I44 I5:I24">
    <cfRule type="cellIs" priority="2" dxfId="5" operator="greaterThan">
      <formula>0.9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C7 D6 C21:D21 C23:D23 C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M16" sqref="M16:N23"/>
    </sheetView>
  </sheetViews>
  <sheetFormatPr defaultColWidth="9.140625" defaultRowHeight="15"/>
  <cols>
    <col min="2" max="2" width="50.57421875" style="0" bestFit="1" customWidth="1"/>
    <col min="3" max="8" width="10.7109375" style="0" customWidth="1"/>
    <col min="10" max="11" width="10.421875" style="0" customWidth="1"/>
    <col min="13" max="13" width="23.421875" style="0" bestFit="1" customWidth="1"/>
    <col min="14" max="14" width="12.28125" style="0" bestFit="1" customWidth="1"/>
    <col min="15" max="15" width="20.140625" style="0" customWidth="1"/>
  </cols>
  <sheetData>
    <row r="1" spans="1:14" ht="23.25">
      <c r="A1" s="42"/>
      <c r="C1" s="24" t="s">
        <v>38</v>
      </c>
      <c r="D1" s="3">
        <v>117.5</v>
      </c>
      <c r="E1" s="41"/>
      <c r="F1" s="3"/>
      <c r="G1" s="3"/>
      <c r="H1" s="3"/>
      <c r="I1" s="4"/>
      <c r="J1" s="4"/>
      <c r="K1" s="4"/>
      <c r="M1" s="1"/>
      <c r="N1" s="1"/>
    </row>
    <row r="2" spans="1:14" ht="14.25">
      <c r="A2" s="2"/>
      <c r="C2" s="3"/>
      <c r="D2" s="3"/>
      <c r="E2" s="41"/>
      <c r="F2" s="3"/>
      <c r="G2" s="3"/>
      <c r="H2" s="3"/>
      <c r="I2" s="4"/>
      <c r="J2" s="4"/>
      <c r="K2" s="4"/>
      <c r="M2" s="1"/>
      <c r="N2" s="1"/>
    </row>
    <row r="3" spans="1:14" ht="15" customHeight="1" thickBot="1">
      <c r="A3" s="2"/>
      <c r="C3" s="3"/>
      <c r="D3" s="3"/>
      <c r="E3" s="41"/>
      <c r="F3" s="3"/>
      <c r="G3" s="3"/>
      <c r="H3" s="3"/>
      <c r="I3" s="4"/>
      <c r="J3" s="4"/>
      <c r="K3" s="4"/>
      <c r="M3" s="1"/>
      <c r="N3" s="1"/>
    </row>
    <row r="4" spans="1:15" ht="14.25">
      <c r="A4" s="9">
        <v>60000</v>
      </c>
      <c r="B4" s="84" t="s">
        <v>76</v>
      </c>
      <c r="C4" s="86" t="s">
        <v>16</v>
      </c>
      <c r="D4" s="86" t="s">
        <v>17</v>
      </c>
      <c r="E4" s="93" t="s">
        <v>39</v>
      </c>
      <c r="F4" s="93" t="s">
        <v>51</v>
      </c>
      <c r="G4" s="86" t="s">
        <v>18</v>
      </c>
      <c r="H4" s="86" t="s">
        <v>19</v>
      </c>
      <c r="I4" s="88" t="s">
        <v>1</v>
      </c>
      <c r="J4" s="90" t="s">
        <v>20</v>
      </c>
      <c r="K4" s="91" t="s">
        <v>21</v>
      </c>
      <c r="M4" s="27" t="s">
        <v>40</v>
      </c>
      <c r="N4" s="28" t="s">
        <v>41</v>
      </c>
      <c r="O4" s="29" t="s">
        <v>42</v>
      </c>
    </row>
    <row r="5" spans="1:16" ht="14.25">
      <c r="A5" s="10" t="s">
        <v>75</v>
      </c>
      <c r="B5" s="85"/>
      <c r="C5" s="87"/>
      <c r="D5" s="87"/>
      <c r="E5" s="94"/>
      <c r="F5" s="94"/>
      <c r="G5" s="87"/>
      <c r="H5" s="87"/>
      <c r="I5" s="89"/>
      <c r="J5" s="89"/>
      <c r="K5" s="92"/>
      <c r="M5" s="25" t="s">
        <v>65</v>
      </c>
      <c r="N5" s="6">
        <v>390.41</v>
      </c>
      <c r="O5" s="30">
        <v>1</v>
      </c>
      <c r="P5" t="s">
        <v>50</v>
      </c>
    </row>
    <row r="6" spans="1:15" ht="14.25">
      <c r="A6" s="11">
        <v>1</v>
      </c>
      <c r="B6" s="5" t="s">
        <v>66</v>
      </c>
      <c r="C6" s="32">
        <f>D1*10</f>
        <v>1175</v>
      </c>
      <c r="D6" s="7">
        <f>C6/O5</f>
        <v>1175</v>
      </c>
      <c r="E6" s="7">
        <f>(C6/N5)*1000</f>
        <v>3009.656514945826</v>
      </c>
      <c r="F6" s="7">
        <f>E6/E6</f>
        <v>1</v>
      </c>
      <c r="G6" s="7">
        <f>C6</f>
        <v>1175</v>
      </c>
      <c r="H6" s="7">
        <f>D6</f>
        <v>1175</v>
      </c>
      <c r="I6" s="8">
        <f>H6/$A$4</f>
        <v>0.019583333333333335</v>
      </c>
      <c r="J6" s="8"/>
      <c r="K6" s="12"/>
      <c r="M6" s="25" t="s">
        <v>43</v>
      </c>
      <c r="N6" s="6" t="s">
        <v>48</v>
      </c>
      <c r="O6" s="30">
        <v>1.1</v>
      </c>
    </row>
    <row r="7" spans="1:15" ht="14.25">
      <c r="A7" s="11">
        <v>2</v>
      </c>
      <c r="B7" s="77" t="s">
        <v>58</v>
      </c>
      <c r="C7" s="78">
        <f>D7*O9</f>
        <v>5287.5</v>
      </c>
      <c r="D7" s="78">
        <f>D6*5</f>
        <v>5875</v>
      </c>
      <c r="E7" s="7" t="s">
        <v>5</v>
      </c>
      <c r="F7" s="7" t="s">
        <v>5</v>
      </c>
      <c r="G7" s="7">
        <f>G6+C7</f>
        <v>6462.5</v>
      </c>
      <c r="H7" s="7">
        <f>H6+D7</f>
        <v>7050</v>
      </c>
      <c r="I7" s="8">
        <f aca="true" t="shared" si="0" ref="I7:I15">H7/$A$4</f>
        <v>0.1175</v>
      </c>
      <c r="J7" s="8"/>
      <c r="K7" s="12"/>
      <c r="M7" s="25" t="s">
        <v>79</v>
      </c>
      <c r="N7" s="6">
        <v>162.152</v>
      </c>
      <c r="O7" s="30">
        <v>1.303</v>
      </c>
    </row>
    <row r="8" spans="1:16" ht="14.25">
      <c r="A8" s="11">
        <v>3</v>
      </c>
      <c r="B8" s="5" t="s">
        <v>80</v>
      </c>
      <c r="C8" s="7">
        <v>0</v>
      </c>
      <c r="D8" s="7">
        <v>0</v>
      </c>
      <c r="E8" s="7" t="s">
        <v>5</v>
      </c>
      <c r="F8" s="7" t="s">
        <v>5</v>
      </c>
      <c r="G8" s="7">
        <f aca="true" t="shared" si="1" ref="G8:H15">G7+C8</f>
        <v>6462.5</v>
      </c>
      <c r="H8" s="7">
        <f t="shared" si="1"/>
        <v>7050</v>
      </c>
      <c r="I8" s="8">
        <f t="shared" si="0"/>
        <v>0.1175</v>
      </c>
      <c r="J8" s="8"/>
      <c r="K8" s="12"/>
      <c r="M8" s="25" t="s">
        <v>72</v>
      </c>
      <c r="N8" s="6">
        <v>123.16</v>
      </c>
      <c r="O8" s="30">
        <v>1</v>
      </c>
      <c r="P8" t="s">
        <v>73</v>
      </c>
    </row>
    <row r="9" spans="1:15" ht="14.25">
      <c r="A9" s="11">
        <v>4</v>
      </c>
      <c r="B9" s="77" t="s">
        <v>81</v>
      </c>
      <c r="C9" s="78">
        <f>(E9/1000)*N7</f>
        <v>536.8240055326452</v>
      </c>
      <c r="D9" s="78">
        <f>C9/O7</f>
        <v>411.99079472958186</v>
      </c>
      <c r="E9" s="7">
        <f>E6*1.1</f>
        <v>3310.622166440409</v>
      </c>
      <c r="F9" s="7">
        <f>E9/E6</f>
        <v>1.1</v>
      </c>
      <c r="G9" s="7">
        <f t="shared" si="1"/>
        <v>6999.324005532645</v>
      </c>
      <c r="H9" s="7">
        <f t="shared" si="1"/>
        <v>7461.9907947295815</v>
      </c>
      <c r="I9" s="8">
        <f t="shared" si="0"/>
        <v>0.12436651324549303</v>
      </c>
      <c r="J9" s="79" t="s">
        <v>186</v>
      </c>
      <c r="K9" s="12"/>
      <c r="M9" s="25" t="s">
        <v>64</v>
      </c>
      <c r="N9" s="6" t="s">
        <v>48</v>
      </c>
      <c r="O9" s="30">
        <v>0.9</v>
      </c>
    </row>
    <row r="10" spans="1:15" ht="14.25">
      <c r="A10" s="11">
        <v>5</v>
      </c>
      <c r="B10" s="77" t="s">
        <v>82</v>
      </c>
      <c r="C10" s="78">
        <v>0</v>
      </c>
      <c r="D10" s="78">
        <v>0</v>
      </c>
      <c r="E10" s="7" t="s">
        <v>5</v>
      </c>
      <c r="F10" s="7" t="s">
        <v>5</v>
      </c>
      <c r="G10" s="7">
        <f t="shared" si="1"/>
        <v>6999.324005532645</v>
      </c>
      <c r="H10" s="7">
        <f t="shared" si="1"/>
        <v>7461.9907947295815</v>
      </c>
      <c r="I10" s="8">
        <f t="shared" si="0"/>
        <v>0.12436651324549303</v>
      </c>
      <c r="J10" s="79" t="s">
        <v>159</v>
      </c>
      <c r="K10" s="12"/>
      <c r="M10" s="25" t="s">
        <v>78</v>
      </c>
      <c r="N10" s="6" t="s">
        <v>48</v>
      </c>
      <c r="O10" s="30">
        <v>1.15</v>
      </c>
    </row>
    <row r="11" spans="1:15" ht="14.25">
      <c r="A11" s="51">
        <v>6</v>
      </c>
      <c r="B11" s="77" t="s">
        <v>83</v>
      </c>
      <c r="C11" s="78">
        <f>(E11/1000)*N7</f>
        <v>62.71080428267718</v>
      </c>
      <c r="D11" s="78">
        <f>C11*O7</f>
        <v>81.71217798032836</v>
      </c>
      <c r="E11" s="7">
        <f>F11*E6</f>
        <v>386.74086217053866</v>
      </c>
      <c r="F11" s="7">
        <f>0.1285*F6</f>
        <v>0.1285</v>
      </c>
      <c r="G11" s="7">
        <f t="shared" si="1"/>
        <v>7062.034809815323</v>
      </c>
      <c r="H11" s="7">
        <f t="shared" si="1"/>
        <v>7543.70297270991</v>
      </c>
      <c r="I11" s="8">
        <f t="shared" si="0"/>
        <v>0.1257283828784985</v>
      </c>
      <c r="J11" s="79" t="s">
        <v>159</v>
      </c>
      <c r="K11" s="12"/>
      <c r="M11" s="25" t="s">
        <v>45</v>
      </c>
      <c r="N11" s="6" t="s">
        <v>48</v>
      </c>
      <c r="O11" s="30">
        <v>1</v>
      </c>
    </row>
    <row r="12" spans="1:15" ht="14.25">
      <c r="A12" s="51">
        <v>7</v>
      </c>
      <c r="B12" s="77" t="s">
        <v>84</v>
      </c>
      <c r="C12" s="78">
        <v>0</v>
      </c>
      <c r="D12" s="78">
        <v>0</v>
      </c>
      <c r="E12" s="7" t="s">
        <v>5</v>
      </c>
      <c r="F12" s="7" t="s">
        <v>5</v>
      </c>
      <c r="G12" s="7">
        <f t="shared" si="1"/>
        <v>7062.034809815323</v>
      </c>
      <c r="H12" s="7">
        <f t="shared" si="1"/>
        <v>7543.70297270991</v>
      </c>
      <c r="I12" s="8">
        <f t="shared" si="0"/>
        <v>0.1257283828784985</v>
      </c>
      <c r="J12" s="79" t="s">
        <v>159</v>
      </c>
      <c r="K12" s="12"/>
      <c r="M12" s="25" t="s">
        <v>46</v>
      </c>
      <c r="N12" s="6" t="s">
        <v>48</v>
      </c>
      <c r="O12" s="30">
        <v>1.15</v>
      </c>
    </row>
    <row r="13" spans="1:15" ht="14.25">
      <c r="A13" s="11">
        <v>8</v>
      </c>
      <c r="B13" s="5" t="s">
        <v>6</v>
      </c>
      <c r="C13" s="7">
        <v>0</v>
      </c>
      <c r="D13" s="7">
        <v>0</v>
      </c>
      <c r="E13" s="7"/>
      <c r="F13" s="7"/>
      <c r="G13" s="7">
        <f>G12+C13</f>
        <v>7062.034809815323</v>
      </c>
      <c r="H13" s="7">
        <f>H12+D13</f>
        <v>7543.70297270991</v>
      </c>
      <c r="I13" s="8">
        <f t="shared" si="0"/>
        <v>0.1257283828784985</v>
      </c>
      <c r="J13" s="8"/>
      <c r="K13" s="12"/>
      <c r="M13" s="25" t="s">
        <v>47</v>
      </c>
      <c r="N13" s="6" t="s">
        <v>48</v>
      </c>
      <c r="O13" s="30">
        <v>2.54</v>
      </c>
    </row>
    <row r="14" spans="1:16" ht="15" thickBot="1">
      <c r="A14" s="104">
        <v>9</v>
      </c>
      <c r="B14" s="5" t="s">
        <v>85</v>
      </c>
      <c r="C14" s="7">
        <f>(E14/1000)*N8</f>
        <v>444.80315565687346</v>
      </c>
      <c r="D14" s="7">
        <f>C14/O8</f>
        <v>444.80315565687346</v>
      </c>
      <c r="E14" s="7">
        <f>F14*E6</f>
        <v>3611.587817934991</v>
      </c>
      <c r="F14" s="7">
        <f>1.2*F6</f>
        <v>1.2</v>
      </c>
      <c r="G14" s="7">
        <f t="shared" si="1"/>
        <v>7506.837965472196</v>
      </c>
      <c r="H14" s="7">
        <f t="shared" si="1"/>
        <v>7988.506128366783</v>
      </c>
      <c r="I14" s="8">
        <f t="shared" si="0"/>
        <v>0.13314176880611306</v>
      </c>
      <c r="J14" s="8"/>
      <c r="K14" s="12"/>
      <c r="M14" s="26" t="s">
        <v>71</v>
      </c>
      <c r="N14" s="15">
        <v>495.55</v>
      </c>
      <c r="O14" s="31">
        <v>1</v>
      </c>
      <c r="P14" t="s">
        <v>50</v>
      </c>
    </row>
    <row r="15" spans="1:11" ht="15" thickBot="1">
      <c r="A15" s="105"/>
      <c r="B15" s="77" t="s">
        <v>86</v>
      </c>
      <c r="C15" s="78">
        <f>D15*O6</f>
        <v>6409.613473015547</v>
      </c>
      <c r="D15" s="78">
        <f>D14*13.1</f>
        <v>5826.9213391050425</v>
      </c>
      <c r="E15" s="7" t="s">
        <v>5</v>
      </c>
      <c r="F15" s="7" t="s">
        <v>5</v>
      </c>
      <c r="G15" s="7">
        <f t="shared" si="1"/>
        <v>13916.451438487744</v>
      </c>
      <c r="H15" s="7">
        <f t="shared" si="1"/>
        <v>13815.427467471825</v>
      </c>
      <c r="I15" s="8">
        <f t="shared" si="0"/>
        <v>0.23025712445786375</v>
      </c>
      <c r="J15" s="79" t="s">
        <v>186</v>
      </c>
      <c r="K15" s="12"/>
    </row>
    <row r="16" spans="1:15" ht="14.25">
      <c r="A16" s="51">
        <v>10</v>
      </c>
      <c r="B16" s="77" t="s">
        <v>58</v>
      </c>
      <c r="C16" s="78">
        <f>D16*O9</f>
        <v>5287.5</v>
      </c>
      <c r="D16" s="78">
        <f>5*D6</f>
        <v>5875</v>
      </c>
      <c r="E16" s="7" t="s">
        <v>5</v>
      </c>
      <c r="F16" s="7" t="s">
        <v>5</v>
      </c>
      <c r="G16" s="7">
        <f>G15+C16</f>
        <v>19203.951438487744</v>
      </c>
      <c r="H16" s="7">
        <f>H15+D16</f>
        <v>19690.427467471825</v>
      </c>
      <c r="I16" s="8">
        <f>H16/$A$4</f>
        <v>0.32817379112453043</v>
      </c>
      <c r="J16" s="8"/>
      <c r="K16" s="8"/>
      <c r="M16" s="57" t="s">
        <v>121</v>
      </c>
      <c r="N16" s="28" t="s">
        <v>124</v>
      </c>
      <c r="O16" s="60" t="s">
        <v>122</v>
      </c>
    </row>
    <row r="17" spans="1:15" ht="14.25">
      <c r="A17" s="51">
        <v>11</v>
      </c>
      <c r="B17" s="5" t="s">
        <v>87</v>
      </c>
      <c r="C17" s="7">
        <f>D17*O10</f>
        <v>13512.499999999998</v>
      </c>
      <c r="D17" s="7">
        <f>10*D6</f>
        <v>11750</v>
      </c>
      <c r="E17" s="7" t="s">
        <v>5</v>
      </c>
      <c r="F17" s="7" t="s">
        <v>5</v>
      </c>
      <c r="G17" s="7">
        <f>G16+C17</f>
        <v>32716.45143848774</v>
      </c>
      <c r="H17" s="7">
        <f>H16+D17</f>
        <v>31440.427467471825</v>
      </c>
      <c r="I17" s="8">
        <f>H17/$A$4</f>
        <v>0.5240071244578638</v>
      </c>
      <c r="J17" s="8"/>
      <c r="K17" s="8"/>
      <c r="M17" s="58" t="s">
        <v>127</v>
      </c>
      <c r="N17" s="61">
        <f>2*(C7+C16)</f>
        <v>21150</v>
      </c>
      <c r="O17" s="62"/>
    </row>
    <row r="18" spans="1:15" ht="14.25">
      <c r="A18" s="51">
        <v>12</v>
      </c>
      <c r="B18" s="77" t="s">
        <v>91</v>
      </c>
      <c r="C18" s="78">
        <v>0</v>
      </c>
      <c r="D18" s="78">
        <v>0</v>
      </c>
      <c r="E18" s="7" t="s">
        <v>5</v>
      </c>
      <c r="F18" s="7" t="s">
        <v>5</v>
      </c>
      <c r="G18" s="7">
        <f>G17+C18</f>
        <v>32716.45143848774</v>
      </c>
      <c r="H18" s="7">
        <f>H17+D18</f>
        <v>31440.427467471825</v>
      </c>
      <c r="I18" s="8">
        <f>H18/$A$4</f>
        <v>0.5240071244578638</v>
      </c>
      <c r="J18" s="79" t="s">
        <v>159</v>
      </c>
      <c r="K18" s="8"/>
      <c r="M18" s="58" t="s">
        <v>130</v>
      </c>
      <c r="N18" s="61">
        <f>2*(C9+C11)</f>
        <v>1199.0696196306446</v>
      </c>
      <c r="O18" s="62" t="s">
        <v>79</v>
      </c>
    </row>
    <row r="19" spans="1:15" ht="14.25">
      <c r="A19" s="51">
        <v>13</v>
      </c>
      <c r="B19" s="69" t="s">
        <v>88</v>
      </c>
      <c r="C19" s="70">
        <f>-G17</f>
        <v>-32716.45143848774</v>
      </c>
      <c r="D19" s="70">
        <f>-H17</f>
        <v>-31440.427467471825</v>
      </c>
      <c r="E19" s="70" t="s">
        <v>5</v>
      </c>
      <c r="F19" s="70" t="s">
        <v>5</v>
      </c>
      <c r="G19" s="70">
        <f>G18+C19</f>
        <v>0</v>
      </c>
      <c r="H19" s="70">
        <f>H18+D19</f>
        <v>0</v>
      </c>
      <c r="I19" s="8">
        <f>H19/$A$4</f>
        <v>0</v>
      </c>
      <c r="J19" s="8"/>
      <c r="K19" s="8"/>
      <c r="M19" s="71" t="s">
        <v>131</v>
      </c>
      <c r="N19" s="72">
        <f>2*C14</f>
        <v>889.6063113137469</v>
      </c>
      <c r="O19" s="68" t="s">
        <v>185</v>
      </c>
    </row>
    <row r="20" spans="13:15" ht="15" thickBot="1">
      <c r="M20" s="58" t="s">
        <v>43</v>
      </c>
      <c r="N20" s="61">
        <f>2*C15</f>
        <v>12819.226946031094</v>
      </c>
      <c r="O20" s="62"/>
    </row>
    <row r="21" spans="1:15" ht="14.25">
      <c r="A21" s="9">
        <v>25000</v>
      </c>
      <c r="B21" s="84" t="s">
        <v>89</v>
      </c>
      <c r="C21" s="86" t="s">
        <v>16</v>
      </c>
      <c r="D21" s="86" t="s">
        <v>17</v>
      </c>
      <c r="E21" s="93" t="s">
        <v>39</v>
      </c>
      <c r="F21" s="93" t="s">
        <v>51</v>
      </c>
      <c r="G21" s="86" t="s">
        <v>18</v>
      </c>
      <c r="H21" s="86" t="s">
        <v>19</v>
      </c>
      <c r="I21" s="88" t="s">
        <v>1</v>
      </c>
      <c r="J21" s="90" t="s">
        <v>20</v>
      </c>
      <c r="K21" s="91" t="s">
        <v>21</v>
      </c>
      <c r="M21" s="58" t="s">
        <v>132</v>
      </c>
      <c r="N21" s="61">
        <f>(C26+C30)*0.5*2</f>
        <v>27024.999999999996</v>
      </c>
      <c r="O21" s="62"/>
    </row>
    <row r="22" spans="1:15" ht="14.25">
      <c r="A22" s="49" t="s">
        <v>67</v>
      </c>
      <c r="B22" s="85"/>
      <c r="C22" s="87"/>
      <c r="D22" s="87"/>
      <c r="E22" s="94"/>
      <c r="F22" s="94"/>
      <c r="G22" s="87"/>
      <c r="H22" s="87"/>
      <c r="I22" s="89"/>
      <c r="J22" s="89"/>
      <c r="K22" s="92"/>
      <c r="M22" s="58" t="s">
        <v>123</v>
      </c>
      <c r="N22" s="6">
        <f>(C42+C46)*2*0.5</f>
        <v>27024.999999999996</v>
      </c>
      <c r="O22" s="62"/>
    </row>
    <row r="23" spans="1:15" ht="15" thickBot="1">
      <c r="A23" s="11">
        <v>11</v>
      </c>
      <c r="B23" s="5" t="s">
        <v>90</v>
      </c>
      <c r="C23" s="50">
        <f>-C19</f>
        <v>32716.45143848774</v>
      </c>
      <c r="D23" s="7">
        <f>-D19</f>
        <v>31440.427467471825</v>
      </c>
      <c r="E23" s="7" t="s">
        <v>5</v>
      </c>
      <c r="F23" s="7" t="s">
        <v>5</v>
      </c>
      <c r="G23" s="7">
        <f>C23</f>
        <v>32716.45143848774</v>
      </c>
      <c r="H23" s="7">
        <f>D23</f>
        <v>31440.427467471825</v>
      </c>
      <c r="I23" s="8">
        <f>H23/$A$21</f>
        <v>1.257617098698873</v>
      </c>
      <c r="J23" s="8"/>
      <c r="K23" s="12"/>
      <c r="M23" s="59" t="s">
        <v>133</v>
      </c>
      <c r="N23" s="15" t="s">
        <v>125</v>
      </c>
      <c r="O23" s="64" t="s">
        <v>134</v>
      </c>
    </row>
    <row r="24" spans="1:11" ht="14.25">
      <c r="A24" s="11">
        <v>12</v>
      </c>
      <c r="B24" s="77" t="s">
        <v>22</v>
      </c>
      <c r="C24" s="78">
        <v>0</v>
      </c>
      <c r="D24" s="78">
        <v>0</v>
      </c>
      <c r="E24" s="7" t="s">
        <v>5</v>
      </c>
      <c r="F24" s="7" t="s">
        <v>5</v>
      </c>
      <c r="G24" s="7">
        <f>G23+C24</f>
        <v>32716.45143848774</v>
      </c>
      <c r="H24" s="7">
        <f>H23+D24</f>
        <v>31440.427467471825</v>
      </c>
      <c r="I24" s="8">
        <f aca="true" t="shared" si="2" ref="I24:I53">H24/$A$21</f>
        <v>1.257617098698873</v>
      </c>
      <c r="J24" s="79" t="s">
        <v>159</v>
      </c>
      <c r="K24" s="12"/>
    </row>
    <row r="25" spans="1:11" ht="14.25">
      <c r="A25" s="11">
        <v>13</v>
      </c>
      <c r="B25" s="5" t="s">
        <v>68</v>
      </c>
      <c r="C25" s="7">
        <f>-(G24-C16-C7-((E6/1000)*N14))</f>
        <v>-20650.016152506338</v>
      </c>
      <c r="D25" s="7">
        <f>-(H24-D16-(((E6/1000)*N14)/O14))</f>
        <v>-24073.992181490423</v>
      </c>
      <c r="E25" s="7" t="s">
        <v>5</v>
      </c>
      <c r="F25" s="7" t="s">
        <v>5</v>
      </c>
      <c r="G25" s="7">
        <f aca="true" t="shared" si="3" ref="G25:H30">G24+C25</f>
        <v>12066.435285981403</v>
      </c>
      <c r="H25" s="7">
        <f t="shared" si="3"/>
        <v>7366.435285981403</v>
      </c>
      <c r="I25" s="8">
        <f t="shared" si="2"/>
        <v>0.2946574114392561</v>
      </c>
      <c r="J25" s="8"/>
      <c r="K25" s="12"/>
    </row>
    <row r="26" spans="1:11" ht="14.25">
      <c r="A26" s="11">
        <v>15</v>
      </c>
      <c r="B26" s="5" t="s">
        <v>87</v>
      </c>
      <c r="C26" s="7">
        <f>D26*O10</f>
        <v>13512.499999999998</v>
      </c>
      <c r="D26" s="7">
        <f>10*D6</f>
        <v>11750</v>
      </c>
      <c r="E26" s="7" t="s">
        <v>5</v>
      </c>
      <c r="F26" s="7" t="s">
        <v>5</v>
      </c>
      <c r="G26" s="7">
        <f t="shared" si="3"/>
        <v>25578.935285981403</v>
      </c>
      <c r="H26" s="7">
        <f t="shared" si="3"/>
        <v>19116.435285981403</v>
      </c>
      <c r="I26" s="8">
        <f t="shared" si="2"/>
        <v>0.7646574114392561</v>
      </c>
      <c r="J26" s="8"/>
      <c r="K26" s="12"/>
    </row>
    <row r="27" spans="1:11" ht="14.25">
      <c r="A27" s="11">
        <v>21</v>
      </c>
      <c r="B27" s="77" t="s">
        <v>91</v>
      </c>
      <c r="C27" s="78">
        <v>0</v>
      </c>
      <c r="D27" s="78">
        <v>0</v>
      </c>
      <c r="E27" s="7" t="s">
        <v>5</v>
      </c>
      <c r="F27" s="7" t="s">
        <v>5</v>
      </c>
      <c r="G27" s="7">
        <f t="shared" si="3"/>
        <v>25578.935285981403</v>
      </c>
      <c r="H27" s="7">
        <f t="shared" si="3"/>
        <v>19116.435285981403</v>
      </c>
      <c r="I27" s="8">
        <f t="shared" si="2"/>
        <v>0.7646574114392561</v>
      </c>
      <c r="J27" s="79" t="s">
        <v>159</v>
      </c>
      <c r="K27" s="12"/>
    </row>
    <row r="28" spans="1:11" ht="14.25">
      <c r="A28" s="11">
        <v>23</v>
      </c>
      <c r="B28" s="77" t="s">
        <v>22</v>
      </c>
      <c r="C28" s="78">
        <v>0</v>
      </c>
      <c r="D28" s="78">
        <v>0</v>
      </c>
      <c r="E28" s="7" t="s">
        <v>5</v>
      </c>
      <c r="F28" s="7" t="s">
        <v>5</v>
      </c>
      <c r="G28" s="7">
        <f t="shared" si="3"/>
        <v>25578.935285981403</v>
      </c>
      <c r="H28" s="7">
        <f t="shared" si="3"/>
        <v>19116.435285981403</v>
      </c>
      <c r="I28" s="8">
        <f t="shared" si="2"/>
        <v>0.7646574114392561</v>
      </c>
      <c r="J28" s="79" t="s">
        <v>159</v>
      </c>
      <c r="K28" s="12"/>
    </row>
    <row r="29" spans="1:11" ht="14.25">
      <c r="A29" s="11">
        <v>24</v>
      </c>
      <c r="B29" s="5" t="s">
        <v>68</v>
      </c>
      <c r="C29" s="7">
        <f>-C26</f>
        <v>-13512.499999999998</v>
      </c>
      <c r="D29" s="7">
        <f>-D26</f>
        <v>-11750</v>
      </c>
      <c r="E29" s="7" t="s">
        <v>5</v>
      </c>
      <c r="F29" s="7" t="s">
        <v>5</v>
      </c>
      <c r="G29" s="7">
        <f t="shared" si="3"/>
        <v>12066.435285981404</v>
      </c>
      <c r="H29" s="7">
        <f t="shared" si="3"/>
        <v>7366.435285981403</v>
      </c>
      <c r="I29" s="8">
        <f t="shared" si="2"/>
        <v>0.2946574114392561</v>
      </c>
      <c r="J29" s="8"/>
      <c r="K29" s="12"/>
    </row>
    <row r="30" spans="1:11" ht="14.25">
      <c r="A30" s="11">
        <v>25</v>
      </c>
      <c r="B30" s="5" t="s">
        <v>87</v>
      </c>
      <c r="C30" s="7">
        <f>D30*O10</f>
        <v>13512.499999999998</v>
      </c>
      <c r="D30" s="7">
        <f>10*D6</f>
        <v>11750</v>
      </c>
      <c r="E30" s="7" t="s">
        <v>5</v>
      </c>
      <c r="F30" s="7" t="s">
        <v>5</v>
      </c>
      <c r="G30" s="7">
        <f t="shared" si="3"/>
        <v>25578.935285981403</v>
      </c>
      <c r="H30" s="7">
        <f t="shared" si="3"/>
        <v>19116.435285981403</v>
      </c>
      <c r="I30" s="8">
        <f t="shared" si="2"/>
        <v>0.7646574114392561</v>
      </c>
      <c r="J30" s="8"/>
      <c r="K30" s="12"/>
    </row>
    <row r="31" spans="1:11" ht="14.25">
      <c r="A31" s="11">
        <v>26</v>
      </c>
      <c r="B31" s="77" t="s">
        <v>91</v>
      </c>
      <c r="C31" s="78">
        <v>0</v>
      </c>
      <c r="D31" s="78">
        <v>0</v>
      </c>
      <c r="E31" s="7" t="s">
        <v>5</v>
      </c>
      <c r="F31" s="7" t="s">
        <v>5</v>
      </c>
      <c r="G31" s="7">
        <f>G30+C31</f>
        <v>25578.935285981403</v>
      </c>
      <c r="H31" s="7">
        <f>H30+D31</f>
        <v>19116.435285981403</v>
      </c>
      <c r="I31" s="8">
        <f t="shared" si="2"/>
        <v>0.7646574114392561</v>
      </c>
      <c r="J31" s="79" t="s">
        <v>159</v>
      </c>
      <c r="K31" s="12"/>
    </row>
    <row r="32" spans="1:11" ht="14.25">
      <c r="A32" s="11">
        <v>27</v>
      </c>
      <c r="B32" s="77" t="s">
        <v>22</v>
      </c>
      <c r="C32" s="78">
        <v>0</v>
      </c>
      <c r="D32" s="78">
        <v>0</v>
      </c>
      <c r="E32" s="7" t="s">
        <v>5</v>
      </c>
      <c r="F32" s="7" t="s">
        <v>5</v>
      </c>
      <c r="G32" s="7">
        <f>G31+C32</f>
        <v>25578.935285981403</v>
      </c>
      <c r="H32" s="7">
        <f>H31+D32</f>
        <v>19116.435285981403</v>
      </c>
      <c r="I32" s="8">
        <f t="shared" si="2"/>
        <v>0.7646574114392561</v>
      </c>
      <c r="J32" s="79" t="s">
        <v>159</v>
      </c>
      <c r="K32" s="12"/>
    </row>
    <row r="33" spans="1:11" ht="14.25">
      <c r="A33" s="11">
        <v>28</v>
      </c>
      <c r="B33" s="5" t="s">
        <v>68</v>
      </c>
      <c r="C33" s="7">
        <f>-C30</f>
        <v>-13512.499999999998</v>
      </c>
      <c r="D33" s="7">
        <f>-D30</f>
        <v>-11750</v>
      </c>
      <c r="E33" s="7" t="s">
        <v>5</v>
      </c>
      <c r="F33" s="7" t="s">
        <v>5</v>
      </c>
      <c r="G33" s="7">
        <f>G32+C33</f>
        <v>12066.435285981404</v>
      </c>
      <c r="H33" s="7">
        <f>H32+D33</f>
        <v>7366.435285981403</v>
      </c>
      <c r="I33" s="8">
        <f t="shared" si="2"/>
        <v>0.2946574114392561</v>
      </c>
      <c r="J33" s="8"/>
      <c r="K33" s="12"/>
    </row>
    <row r="34" spans="1:11" ht="14.25">
      <c r="A34" s="11">
        <v>29</v>
      </c>
      <c r="B34" s="5" t="s">
        <v>9</v>
      </c>
      <c r="C34" s="7">
        <f>D34*O11</f>
        <v>11750</v>
      </c>
      <c r="D34" s="7">
        <f>10*D6</f>
        <v>11750</v>
      </c>
      <c r="E34" s="7" t="s">
        <v>5</v>
      </c>
      <c r="F34" s="7" t="s">
        <v>5</v>
      </c>
      <c r="G34" s="7">
        <f aca="true" t="shared" si="4" ref="G34:G41">G33+C34</f>
        <v>23816.435285981403</v>
      </c>
      <c r="H34" s="7">
        <f aca="true" t="shared" si="5" ref="H34:H41">H33+D34</f>
        <v>19116.435285981403</v>
      </c>
      <c r="I34" s="8">
        <f t="shared" si="2"/>
        <v>0.7646574114392561</v>
      </c>
      <c r="J34" s="8"/>
      <c r="K34" s="12"/>
    </row>
    <row r="35" spans="1:11" ht="14.25">
      <c r="A35" s="11">
        <v>30</v>
      </c>
      <c r="B35" s="77" t="s">
        <v>91</v>
      </c>
      <c r="C35" s="78">
        <v>0</v>
      </c>
      <c r="D35" s="78">
        <v>0</v>
      </c>
      <c r="E35" s="7" t="s">
        <v>5</v>
      </c>
      <c r="F35" s="7" t="s">
        <v>5</v>
      </c>
      <c r="G35" s="7">
        <f t="shared" si="4"/>
        <v>23816.435285981403</v>
      </c>
      <c r="H35" s="7">
        <f t="shared" si="5"/>
        <v>19116.435285981403</v>
      </c>
      <c r="I35" s="8">
        <f t="shared" si="2"/>
        <v>0.7646574114392561</v>
      </c>
      <c r="J35" s="79" t="s">
        <v>159</v>
      </c>
      <c r="K35" s="12"/>
    </row>
    <row r="36" spans="1:11" ht="14.25">
      <c r="A36" s="11">
        <v>31</v>
      </c>
      <c r="B36" s="77" t="s">
        <v>22</v>
      </c>
      <c r="C36" s="78">
        <v>0</v>
      </c>
      <c r="D36" s="78">
        <v>0</v>
      </c>
      <c r="E36" s="7" t="s">
        <v>5</v>
      </c>
      <c r="F36" s="7" t="s">
        <v>5</v>
      </c>
      <c r="G36" s="7">
        <f t="shared" si="4"/>
        <v>23816.435285981403</v>
      </c>
      <c r="H36" s="7">
        <f t="shared" si="5"/>
        <v>19116.435285981403</v>
      </c>
      <c r="I36" s="8">
        <f t="shared" si="2"/>
        <v>0.7646574114392561</v>
      </c>
      <c r="J36" s="79" t="s">
        <v>159</v>
      </c>
      <c r="K36" s="12"/>
    </row>
    <row r="37" spans="1:11" ht="14.25">
      <c r="A37" s="11">
        <v>32</v>
      </c>
      <c r="B37" s="5" t="s">
        <v>68</v>
      </c>
      <c r="C37" s="7">
        <f>-C34</f>
        <v>-11750</v>
      </c>
      <c r="D37" s="7">
        <f>-D34</f>
        <v>-11750</v>
      </c>
      <c r="E37" s="7" t="s">
        <v>5</v>
      </c>
      <c r="F37" s="7" t="s">
        <v>5</v>
      </c>
      <c r="G37" s="7">
        <f t="shared" si="4"/>
        <v>12066.435285981403</v>
      </c>
      <c r="H37" s="7">
        <f t="shared" si="5"/>
        <v>7366.435285981403</v>
      </c>
      <c r="I37" s="8">
        <f t="shared" si="2"/>
        <v>0.2946574114392561</v>
      </c>
      <c r="J37" s="8"/>
      <c r="K37" s="12"/>
    </row>
    <row r="38" spans="1:11" ht="14.25">
      <c r="A38" s="11">
        <v>33</v>
      </c>
      <c r="B38" s="5" t="s">
        <v>9</v>
      </c>
      <c r="C38" s="7">
        <f>D38*O11</f>
        <v>11750</v>
      </c>
      <c r="D38" s="7">
        <f>10*D6</f>
        <v>11750</v>
      </c>
      <c r="E38" s="7" t="s">
        <v>5</v>
      </c>
      <c r="F38" s="7" t="s">
        <v>5</v>
      </c>
      <c r="G38" s="7">
        <f t="shared" si="4"/>
        <v>23816.435285981403</v>
      </c>
      <c r="H38" s="7">
        <f t="shared" si="5"/>
        <v>19116.435285981403</v>
      </c>
      <c r="I38" s="8">
        <f t="shared" si="2"/>
        <v>0.7646574114392561</v>
      </c>
      <c r="J38" s="8"/>
      <c r="K38" s="12"/>
    </row>
    <row r="39" spans="1:11" ht="14.25">
      <c r="A39" s="11">
        <v>34</v>
      </c>
      <c r="B39" s="77" t="s">
        <v>91</v>
      </c>
      <c r="C39" s="78">
        <v>0</v>
      </c>
      <c r="D39" s="78">
        <v>0</v>
      </c>
      <c r="E39" s="7" t="s">
        <v>5</v>
      </c>
      <c r="F39" s="7" t="s">
        <v>5</v>
      </c>
      <c r="G39" s="7">
        <f t="shared" si="4"/>
        <v>23816.435285981403</v>
      </c>
      <c r="H39" s="7">
        <f t="shared" si="5"/>
        <v>19116.435285981403</v>
      </c>
      <c r="I39" s="8">
        <f t="shared" si="2"/>
        <v>0.7646574114392561</v>
      </c>
      <c r="J39" s="79" t="s">
        <v>159</v>
      </c>
      <c r="K39" s="12"/>
    </row>
    <row r="40" spans="1:11" ht="14.25">
      <c r="A40" s="11">
        <v>35</v>
      </c>
      <c r="B40" s="77" t="s">
        <v>22</v>
      </c>
      <c r="C40" s="78">
        <v>0</v>
      </c>
      <c r="D40" s="78">
        <v>0</v>
      </c>
      <c r="E40" s="7" t="s">
        <v>5</v>
      </c>
      <c r="F40" s="7" t="s">
        <v>5</v>
      </c>
      <c r="G40" s="7">
        <f t="shared" si="4"/>
        <v>23816.435285981403</v>
      </c>
      <c r="H40" s="7">
        <f t="shared" si="5"/>
        <v>19116.435285981403</v>
      </c>
      <c r="I40" s="8">
        <f t="shared" si="2"/>
        <v>0.7646574114392561</v>
      </c>
      <c r="J40" s="79" t="s">
        <v>159</v>
      </c>
      <c r="K40" s="12"/>
    </row>
    <row r="41" spans="1:11" ht="14.25">
      <c r="A41" s="11">
        <v>36</v>
      </c>
      <c r="B41" s="5" t="s">
        <v>68</v>
      </c>
      <c r="C41" s="7">
        <f>-C38</f>
        <v>-11750</v>
      </c>
      <c r="D41" s="7">
        <f>-D38</f>
        <v>-11750</v>
      </c>
      <c r="E41" s="7" t="s">
        <v>5</v>
      </c>
      <c r="F41" s="7" t="s">
        <v>5</v>
      </c>
      <c r="G41" s="7">
        <f t="shared" si="4"/>
        <v>12066.435285981403</v>
      </c>
      <c r="H41" s="7">
        <f t="shared" si="5"/>
        <v>7366.435285981403</v>
      </c>
      <c r="I41" s="8">
        <f t="shared" si="2"/>
        <v>0.2946574114392561</v>
      </c>
      <c r="J41" s="8"/>
      <c r="K41" s="12"/>
    </row>
    <row r="42" spans="1:11" ht="14.25">
      <c r="A42" s="11">
        <v>37</v>
      </c>
      <c r="B42" s="5" t="s">
        <v>69</v>
      </c>
      <c r="C42" s="7">
        <f>D42*O12</f>
        <v>13512.499999999998</v>
      </c>
      <c r="D42" s="7">
        <f>10*D6</f>
        <v>11750</v>
      </c>
      <c r="E42" s="7" t="s">
        <v>5</v>
      </c>
      <c r="F42" s="7" t="s">
        <v>5</v>
      </c>
      <c r="G42" s="7">
        <f aca="true" t="shared" si="6" ref="G42:G49">G41+C42</f>
        <v>25578.935285981403</v>
      </c>
      <c r="H42" s="7">
        <f aca="true" t="shared" si="7" ref="H42:H49">H41+D42</f>
        <v>19116.435285981403</v>
      </c>
      <c r="I42" s="8">
        <f t="shared" si="2"/>
        <v>0.7646574114392561</v>
      </c>
      <c r="J42" s="8"/>
      <c r="K42" s="12"/>
    </row>
    <row r="43" spans="1:11" ht="14.25">
      <c r="A43" s="11">
        <v>38</v>
      </c>
      <c r="B43" s="77" t="s">
        <v>91</v>
      </c>
      <c r="C43" s="78">
        <v>0</v>
      </c>
      <c r="D43" s="78">
        <v>0</v>
      </c>
      <c r="E43" s="7" t="s">
        <v>5</v>
      </c>
      <c r="F43" s="7" t="s">
        <v>5</v>
      </c>
      <c r="G43" s="7">
        <f t="shared" si="6"/>
        <v>25578.935285981403</v>
      </c>
      <c r="H43" s="7">
        <f t="shared" si="7"/>
        <v>19116.435285981403</v>
      </c>
      <c r="I43" s="8">
        <f t="shared" si="2"/>
        <v>0.7646574114392561</v>
      </c>
      <c r="J43" s="79" t="s">
        <v>159</v>
      </c>
      <c r="K43" s="12"/>
    </row>
    <row r="44" spans="1:11" ht="14.25">
      <c r="A44" s="11">
        <v>39</v>
      </c>
      <c r="B44" s="77" t="s">
        <v>22</v>
      </c>
      <c r="C44" s="78">
        <v>0</v>
      </c>
      <c r="D44" s="78">
        <v>0</v>
      </c>
      <c r="E44" s="7" t="s">
        <v>5</v>
      </c>
      <c r="F44" s="7" t="s">
        <v>5</v>
      </c>
      <c r="G44" s="7">
        <f t="shared" si="6"/>
        <v>25578.935285981403</v>
      </c>
      <c r="H44" s="7">
        <f t="shared" si="7"/>
        <v>19116.435285981403</v>
      </c>
      <c r="I44" s="8">
        <f t="shared" si="2"/>
        <v>0.7646574114392561</v>
      </c>
      <c r="J44" s="79" t="s">
        <v>159</v>
      </c>
      <c r="K44" s="12"/>
    </row>
    <row r="45" spans="1:11" ht="14.25">
      <c r="A45" s="11">
        <v>40</v>
      </c>
      <c r="B45" s="5" t="s">
        <v>68</v>
      </c>
      <c r="C45" s="7">
        <f>-C42</f>
        <v>-13512.499999999998</v>
      </c>
      <c r="D45" s="7">
        <f>-D42</f>
        <v>-11750</v>
      </c>
      <c r="E45" s="7" t="s">
        <v>5</v>
      </c>
      <c r="F45" s="7" t="s">
        <v>5</v>
      </c>
      <c r="G45" s="7">
        <f t="shared" si="6"/>
        <v>12066.435285981404</v>
      </c>
      <c r="H45" s="7">
        <f t="shared" si="7"/>
        <v>7366.435285981403</v>
      </c>
      <c r="I45" s="8">
        <f t="shared" si="2"/>
        <v>0.2946574114392561</v>
      </c>
      <c r="J45" s="8"/>
      <c r="K45" s="12"/>
    </row>
    <row r="46" spans="1:11" ht="14.25">
      <c r="A46" s="11">
        <v>41</v>
      </c>
      <c r="B46" s="5" t="s">
        <v>69</v>
      </c>
      <c r="C46" s="7">
        <f>D46*O12</f>
        <v>13512.499999999998</v>
      </c>
      <c r="D46" s="7">
        <f>10*D6</f>
        <v>11750</v>
      </c>
      <c r="E46" s="7" t="s">
        <v>5</v>
      </c>
      <c r="F46" s="7" t="s">
        <v>5</v>
      </c>
      <c r="G46" s="7">
        <f t="shared" si="6"/>
        <v>25578.935285981403</v>
      </c>
      <c r="H46" s="7">
        <f t="shared" si="7"/>
        <v>19116.435285981403</v>
      </c>
      <c r="I46" s="8">
        <f t="shared" si="2"/>
        <v>0.7646574114392561</v>
      </c>
      <c r="J46" s="8"/>
      <c r="K46" s="12"/>
    </row>
    <row r="47" spans="1:11" ht="14.25">
      <c r="A47" s="11">
        <v>42</v>
      </c>
      <c r="B47" s="77" t="s">
        <v>91</v>
      </c>
      <c r="C47" s="78">
        <v>0</v>
      </c>
      <c r="D47" s="78">
        <v>0</v>
      </c>
      <c r="E47" s="7" t="s">
        <v>5</v>
      </c>
      <c r="F47" s="7" t="s">
        <v>5</v>
      </c>
      <c r="G47" s="7">
        <f t="shared" si="6"/>
        <v>25578.935285981403</v>
      </c>
      <c r="H47" s="7">
        <f t="shared" si="7"/>
        <v>19116.435285981403</v>
      </c>
      <c r="I47" s="8">
        <f t="shared" si="2"/>
        <v>0.7646574114392561</v>
      </c>
      <c r="J47" s="79" t="s">
        <v>159</v>
      </c>
      <c r="K47" s="12"/>
    </row>
    <row r="48" spans="1:11" ht="14.25">
      <c r="A48" s="11">
        <v>43</v>
      </c>
      <c r="B48" s="77" t="s">
        <v>22</v>
      </c>
      <c r="C48" s="78">
        <v>0</v>
      </c>
      <c r="D48" s="78">
        <v>0</v>
      </c>
      <c r="E48" s="7" t="s">
        <v>5</v>
      </c>
      <c r="F48" s="7" t="s">
        <v>5</v>
      </c>
      <c r="G48" s="7">
        <f t="shared" si="6"/>
        <v>25578.935285981403</v>
      </c>
      <c r="H48" s="7">
        <f t="shared" si="7"/>
        <v>19116.435285981403</v>
      </c>
      <c r="I48" s="8">
        <f t="shared" si="2"/>
        <v>0.7646574114392561</v>
      </c>
      <c r="J48" s="79" t="s">
        <v>159</v>
      </c>
      <c r="K48" s="12"/>
    </row>
    <row r="49" spans="1:11" ht="14.25">
      <c r="A49" s="11">
        <v>44</v>
      </c>
      <c r="B49" s="5" t="s">
        <v>68</v>
      </c>
      <c r="C49" s="7">
        <f>-C46</f>
        <v>-13512.499999999998</v>
      </c>
      <c r="D49" s="7">
        <f>-D46</f>
        <v>-11750</v>
      </c>
      <c r="E49" s="7" t="s">
        <v>5</v>
      </c>
      <c r="F49" s="7" t="s">
        <v>5</v>
      </c>
      <c r="G49" s="7">
        <f t="shared" si="6"/>
        <v>12066.435285981404</v>
      </c>
      <c r="H49" s="7">
        <f t="shared" si="7"/>
        <v>7366.435285981403</v>
      </c>
      <c r="I49" s="8">
        <f t="shared" si="2"/>
        <v>0.2946574114392561</v>
      </c>
      <c r="J49" s="8"/>
      <c r="K49" s="12"/>
    </row>
    <row r="50" spans="1:11" ht="14.25">
      <c r="A50" s="11">
        <v>45</v>
      </c>
      <c r="B50" s="5" t="s">
        <v>70</v>
      </c>
      <c r="C50" s="7"/>
      <c r="D50" s="7"/>
      <c r="E50" s="7" t="s">
        <v>5</v>
      </c>
      <c r="F50" s="7" t="s">
        <v>5</v>
      </c>
      <c r="G50" s="7">
        <f>G49+C50</f>
        <v>12066.435285981404</v>
      </c>
      <c r="H50" s="7">
        <f>H49+D50</f>
        <v>7366.435285981403</v>
      </c>
      <c r="I50" s="8">
        <f t="shared" si="2"/>
        <v>0.2946574114392561</v>
      </c>
      <c r="J50" s="8"/>
      <c r="K50" s="12"/>
    </row>
    <row r="51" spans="1:11" ht="14.25">
      <c r="A51" s="11">
        <v>46</v>
      </c>
      <c r="B51" s="77" t="s">
        <v>91</v>
      </c>
      <c r="C51" s="78">
        <v>0</v>
      </c>
      <c r="D51" s="78">
        <v>0</v>
      </c>
      <c r="E51" s="7" t="s">
        <v>5</v>
      </c>
      <c r="F51" s="7" t="s">
        <v>5</v>
      </c>
      <c r="G51" s="7">
        <f>G50+C51</f>
        <v>12066.435285981404</v>
      </c>
      <c r="H51" s="7">
        <f>H50+D51</f>
        <v>7366.435285981403</v>
      </c>
      <c r="I51" s="8">
        <f t="shared" si="2"/>
        <v>0.2946574114392561</v>
      </c>
      <c r="J51" s="79" t="s">
        <v>159</v>
      </c>
      <c r="K51" s="12"/>
    </row>
    <row r="52" spans="1:11" ht="14.25">
      <c r="A52" s="11">
        <v>47</v>
      </c>
      <c r="B52" s="77" t="s">
        <v>22</v>
      </c>
      <c r="C52" s="78">
        <v>0</v>
      </c>
      <c r="D52" s="78">
        <v>0</v>
      </c>
      <c r="E52" s="7" t="s">
        <v>5</v>
      </c>
      <c r="F52" s="7" t="s">
        <v>5</v>
      </c>
      <c r="G52" s="7">
        <f>G51+C52</f>
        <v>12066.435285981404</v>
      </c>
      <c r="H52" s="7">
        <f>H51+D52</f>
        <v>7366.435285981403</v>
      </c>
      <c r="I52" s="8">
        <f t="shared" si="2"/>
        <v>0.2946574114392561</v>
      </c>
      <c r="J52" s="79" t="s">
        <v>159</v>
      </c>
      <c r="K52" s="12"/>
    </row>
    <row r="53" spans="1:11" ht="15" thickBot="1">
      <c r="A53" s="13">
        <v>48</v>
      </c>
      <c r="B53" s="14" t="s">
        <v>92</v>
      </c>
      <c r="C53" s="16">
        <f>-G52</f>
        <v>-12066.435285981404</v>
      </c>
      <c r="D53" s="16">
        <f>-H52</f>
        <v>-7366.435285981403</v>
      </c>
      <c r="E53" s="16" t="s">
        <v>5</v>
      </c>
      <c r="F53" s="16" t="s">
        <v>5</v>
      </c>
      <c r="G53" s="16">
        <f>G52+C53</f>
        <v>0</v>
      </c>
      <c r="H53" s="16">
        <f>H52+D53</f>
        <v>0</v>
      </c>
      <c r="I53" s="8">
        <f t="shared" si="2"/>
        <v>0</v>
      </c>
      <c r="J53" s="19"/>
      <c r="K53" s="17"/>
    </row>
    <row r="54" ht="15" thickBot="1"/>
    <row r="55" spans="1:11" ht="14.25">
      <c r="A55" s="20">
        <v>20000</v>
      </c>
      <c r="B55" s="84" t="s">
        <v>35</v>
      </c>
      <c r="C55" s="86" t="s">
        <v>16</v>
      </c>
      <c r="D55" s="86" t="s">
        <v>17</v>
      </c>
      <c r="E55" s="93" t="s">
        <v>39</v>
      </c>
      <c r="F55" s="93" t="s">
        <v>51</v>
      </c>
      <c r="G55" s="86" t="s">
        <v>18</v>
      </c>
      <c r="H55" s="86" t="s">
        <v>19</v>
      </c>
      <c r="I55" s="88" t="s">
        <v>1</v>
      </c>
      <c r="J55" s="90" t="s">
        <v>20</v>
      </c>
      <c r="K55" s="91" t="s">
        <v>21</v>
      </c>
    </row>
    <row r="56" spans="1:11" ht="14.25">
      <c r="A56" s="10" t="s">
        <v>0</v>
      </c>
      <c r="B56" s="85"/>
      <c r="C56" s="87"/>
      <c r="D56" s="87"/>
      <c r="E56" s="94"/>
      <c r="F56" s="94"/>
      <c r="G56" s="87"/>
      <c r="H56" s="87"/>
      <c r="I56" s="89"/>
      <c r="J56" s="89"/>
      <c r="K56" s="92"/>
    </row>
    <row r="57" spans="1:11" ht="14.25">
      <c r="A57" s="21">
        <v>50</v>
      </c>
      <c r="B57" s="23" t="s">
        <v>36</v>
      </c>
      <c r="C57" s="7">
        <f>G52-C50</f>
        <v>12066.435285981404</v>
      </c>
      <c r="D57" s="7">
        <f>H52-D50</f>
        <v>7366.435285981403</v>
      </c>
      <c r="E57" s="7" t="s">
        <v>5</v>
      </c>
      <c r="F57" s="7" t="s">
        <v>5</v>
      </c>
      <c r="G57" s="7">
        <f>C57</f>
        <v>12066.435285981404</v>
      </c>
      <c r="H57" s="7">
        <f>D57</f>
        <v>7366.435285981403</v>
      </c>
      <c r="I57" s="8">
        <f>H57/$A$55</f>
        <v>0.36832176429907015</v>
      </c>
      <c r="J57" s="8"/>
      <c r="K57" s="12"/>
    </row>
    <row r="58" spans="1:11" ht="15" thickBot="1">
      <c r="A58" s="22">
        <v>52</v>
      </c>
      <c r="B58" s="14" t="s">
        <v>37</v>
      </c>
      <c r="C58" s="16">
        <f>-(C57-((E6/1000)*N14))</f>
        <v>-10575</v>
      </c>
      <c r="D58" s="16">
        <f>-(D57-(((E6/1000)*N14)/O14))</f>
        <v>-5874.999999999998</v>
      </c>
      <c r="E58" s="16" t="s">
        <v>5</v>
      </c>
      <c r="F58" s="16" t="s">
        <v>5</v>
      </c>
      <c r="G58" s="16">
        <f>G57+C58</f>
        <v>1491.4352859814044</v>
      </c>
      <c r="H58" s="16">
        <f>H57+D58</f>
        <v>1491.4352859814044</v>
      </c>
      <c r="I58" s="8">
        <f>H58/$A$55</f>
        <v>0.07457176429907023</v>
      </c>
      <c r="J58" s="19"/>
      <c r="K58" s="17"/>
    </row>
    <row r="60" spans="2:4" ht="14.25">
      <c r="B60" s="41" t="s">
        <v>54</v>
      </c>
      <c r="C60" s="3">
        <f>((E6/1000)*N14)</f>
        <v>1491.4352859814041</v>
      </c>
      <c r="D60" s="41" t="s">
        <v>56</v>
      </c>
    </row>
    <row r="61" spans="2:4" ht="14.25">
      <c r="B61" s="41" t="s">
        <v>77</v>
      </c>
      <c r="C61" s="3">
        <f>((E6/1000)*1*N14)</f>
        <v>1491.4352859814041</v>
      </c>
      <c r="D61" s="41" t="s">
        <v>56</v>
      </c>
    </row>
    <row r="62" spans="2:5" ht="14.25">
      <c r="B62" t="s">
        <v>137</v>
      </c>
      <c r="C62" s="3">
        <f>C61*2</f>
        <v>2982.8705719628083</v>
      </c>
      <c r="D62" t="s">
        <v>56</v>
      </c>
      <c r="E62" s="41" t="s">
        <v>138</v>
      </c>
    </row>
  </sheetData>
  <sheetProtection/>
  <mergeCells count="31">
    <mergeCell ref="H4:H5"/>
    <mergeCell ref="I4:I5"/>
    <mergeCell ref="J4:J5"/>
    <mergeCell ref="K4:K5"/>
    <mergeCell ref="A14:A15"/>
    <mergeCell ref="B4:B5"/>
    <mergeCell ref="C4:C5"/>
    <mergeCell ref="D4:D5"/>
    <mergeCell ref="E4:E5"/>
    <mergeCell ref="F4:F5"/>
    <mergeCell ref="G4:G5"/>
    <mergeCell ref="G55:G56"/>
    <mergeCell ref="B21:B22"/>
    <mergeCell ref="C21:C22"/>
    <mergeCell ref="D21:D22"/>
    <mergeCell ref="E21:E22"/>
    <mergeCell ref="F21:F22"/>
    <mergeCell ref="G21:G22"/>
    <mergeCell ref="B55:B56"/>
    <mergeCell ref="C55:C56"/>
    <mergeCell ref="D55:D56"/>
    <mergeCell ref="E55:E56"/>
    <mergeCell ref="F55:F56"/>
    <mergeCell ref="H55:H56"/>
    <mergeCell ref="I55:I56"/>
    <mergeCell ref="J55:J56"/>
    <mergeCell ref="K55:K56"/>
    <mergeCell ref="H21:H22"/>
    <mergeCell ref="I21:I22"/>
    <mergeCell ref="J21:J22"/>
    <mergeCell ref="K21:K22"/>
  </mergeCells>
  <conditionalFormatting sqref="I5:I19 I23:I53 I57:I58">
    <cfRule type="cellIs" priority="3" dxfId="5" operator="greaterThan">
      <formula>0.9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M10" sqref="M10:N10"/>
    </sheetView>
  </sheetViews>
  <sheetFormatPr defaultColWidth="9.140625" defaultRowHeight="15"/>
  <cols>
    <col min="2" max="2" width="62.7109375" style="0" customWidth="1"/>
    <col min="3" max="8" width="10.7109375" style="0" customWidth="1"/>
    <col min="10" max="11" width="10.421875" style="0" customWidth="1"/>
    <col min="13" max="13" width="13.7109375" style="0" bestFit="1" customWidth="1"/>
    <col min="14" max="14" width="11.57421875" style="0" bestFit="1" customWidth="1"/>
    <col min="15" max="15" width="10.57421875" style="0" bestFit="1" customWidth="1"/>
  </cols>
  <sheetData>
    <row r="1" spans="1:14" ht="23.25">
      <c r="A1" s="42"/>
      <c r="C1" s="24" t="s">
        <v>38</v>
      </c>
      <c r="D1" s="3">
        <v>167.2</v>
      </c>
      <c r="E1" s="41"/>
      <c r="F1" s="3"/>
      <c r="G1" s="3"/>
      <c r="H1" s="3"/>
      <c r="I1" s="4"/>
      <c r="J1" s="4"/>
      <c r="K1" s="4"/>
      <c r="M1" s="1"/>
      <c r="N1" s="1"/>
    </row>
    <row r="2" spans="1:14" ht="14.25">
      <c r="A2" s="2"/>
      <c r="C2" s="3"/>
      <c r="D2" s="3"/>
      <c r="E2" s="41"/>
      <c r="F2" s="3"/>
      <c r="G2" s="3"/>
      <c r="H2" s="3"/>
      <c r="I2" s="4"/>
      <c r="J2" s="4"/>
      <c r="K2" s="4"/>
      <c r="M2" s="1"/>
      <c r="N2" s="1"/>
    </row>
    <row r="3" spans="1:14" ht="15" thickBot="1">
      <c r="A3" s="2"/>
      <c r="C3" s="3"/>
      <c r="D3" s="3"/>
      <c r="E3" s="41"/>
      <c r="F3" s="3"/>
      <c r="G3" s="3"/>
      <c r="H3" s="3"/>
      <c r="I3" s="4"/>
      <c r="J3" s="4"/>
      <c r="K3" s="4"/>
      <c r="M3" s="1"/>
      <c r="N3" s="1"/>
    </row>
    <row r="4" spans="1:15" ht="14.25">
      <c r="A4" s="9">
        <v>60000</v>
      </c>
      <c r="B4" s="84" t="s">
        <v>93</v>
      </c>
      <c r="C4" s="86" t="s">
        <v>16</v>
      </c>
      <c r="D4" s="86" t="s">
        <v>17</v>
      </c>
      <c r="E4" s="93" t="s">
        <v>39</v>
      </c>
      <c r="F4" s="93" t="s">
        <v>51</v>
      </c>
      <c r="G4" s="86" t="s">
        <v>18</v>
      </c>
      <c r="H4" s="86" t="s">
        <v>19</v>
      </c>
      <c r="I4" s="88" t="s">
        <v>1</v>
      </c>
      <c r="J4" s="90" t="s">
        <v>20</v>
      </c>
      <c r="K4" s="91" t="s">
        <v>21</v>
      </c>
      <c r="M4" s="27" t="s">
        <v>40</v>
      </c>
      <c r="N4" s="28" t="s">
        <v>41</v>
      </c>
      <c r="O4" s="29" t="s">
        <v>42</v>
      </c>
    </row>
    <row r="5" spans="1:16" ht="14.25">
      <c r="A5" s="10" t="s">
        <v>75</v>
      </c>
      <c r="B5" s="85"/>
      <c r="C5" s="87"/>
      <c r="D5" s="87"/>
      <c r="E5" s="94"/>
      <c r="F5" s="94"/>
      <c r="G5" s="87"/>
      <c r="H5" s="87"/>
      <c r="I5" s="89"/>
      <c r="J5" s="89"/>
      <c r="K5" s="92"/>
      <c r="M5" s="25" t="s">
        <v>71</v>
      </c>
      <c r="N5" s="6">
        <v>495.55</v>
      </c>
      <c r="O5" s="30">
        <v>1</v>
      </c>
      <c r="P5" t="s">
        <v>50</v>
      </c>
    </row>
    <row r="6" spans="1:15" ht="14.25">
      <c r="A6" s="11">
        <v>1</v>
      </c>
      <c r="B6" s="5" t="s">
        <v>96</v>
      </c>
      <c r="C6" s="32">
        <f>8.92*D1</f>
        <v>1491.424</v>
      </c>
      <c r="D6" s="7">
        <f>C6/O5</f>
        <v>1491.424</v>
      </c>
      <c r="E6" s="7">
        <f>(C6/N5)*1000</f>
        <v>3009.6337402885683</v>
      </c>
      <c r="F6" s="7">
        <f>E6/E6</f>
        <v>1</v>
      </c>
      <c r="G6" s="7">
        <f>C6</f>
        <v>1491.424</v>
      </c>
      <c r="H6" s="7">
        <f>D6</f>
        <v>1491.424</v>
      </c>
      <c r="I6" s="8">
        <f>H6/$A$4</f>
        <v>0.024857066666666667</v>
      </c>
      <c r="J6" s="8"/>
      <c r="K6" s="12"/>
      <c r="M6" s="25" t="s">
        <v>95</v>
      </c>
      <c r="N6" s="6" t="s">
        <v>48</v>
      </c>
      <c r="O6" s="30">
        <v>0.786</v>
      </c>
    </row>
    <row r="7" spans="1:16" ht="15" thickBot="1">
      <c r="A7" s="11">
        <v>2</v>
      </c>
      <c r="B7" s="5" t="s">
        <v>97</v>
      </c>
      <c r="C7" s="7">
        <f>D7*O6</f>
        <v>26282.05269888</v>
      </c>
      <c r="D7" s="7">
        <f>22.42*D6</f>
        <v>33437.72608</v>
      </c>
      <c r="E7" s="7" t="s">
        <v>5</v>
      </c>
      <c r="F7" s="7" t="s">
        <v>5</v>
      </c>
      <c r="G7" s="7">
        <f>G6+C7</f>
        <v>27773.47669888</v>
      </c>
      <c r="H7" s="7">
        <f>H6+D7</f>
        <v>34929.15008</v>
      </c>
      <c r="I7" s="8">
        <f aca="true" t="shared" si="0" ref="I7:I15">H7/$A$4</f>
        <v>0.5821525013333333</v>
      </c>
      <c r="J7" s="8"/>
      <c r="K7" s="12"/>
      <c r="M7" s="26" t="s">
        <v>94</v>
      </c>
      <c r="N7" s="15">
        <v>495.55</v>
      </c>
      <c r="O7" s="31">
        <v>1</v>
      </c>
      <c r="P7" t="s">
        <v>50</v>
      </c>
    </row>
    <row r="8" spans="1:11" ht="15" thickBot="1">
      <c r="A8" s="11">
        <v>3</v>
      </c>
      <c r="B8" s="77" t="s">
        <v>188</v>
      </c>
      <c r="C8" s="78">
        <v>0</v>
      </c>
      <c r="D8" s="78">
        <v>0</v>
      </c>
      <c r="E8" s="7" t="s">
        <v>5</v>
      </c>
      <c r="F8" s="7" t="s">
        <v>5</v>
      </c>
      <c r="G8" s="7">
        <f aca="true" t="shared" si="1" ref="G8:H15">G7+C8</f>
        <v>27773.47669888</v>
      </c>
      <c r="H8" s="7">
        <f t="shared" si="1"/>
        <v>34929.15008</v>
      </c>
      <c r="I8" s="8">
        <f t="shared" si="0"/>
        <v>0.5821525013333333</v>
      </c>
      <c r="J8" s="79" t="s">
        <v>187</v>
      </c>
      <c r="K8" s="12"/>
    </row>
    <row r="9" spans="1:15" ht="14.25">
      <c r="A9" s="11">
        <v>4</v>
      </c>
      <c r="B9" s="5" t="s">
        <v>189</v>
      </c>
      <c r="C9" s="7">
        <v>0</v>
      </c>
      <c r="D9" s="7">
        <v>0</v>
      </c>
      <c r="E9" s="7" t="s">
        <v>5</v>
      </c>
      <c r="F9" s="7" t="s">
        <v>5</v>
      </c>
      <c r="G9" s="7">
        <f t="shared" si="1"/>
        <v>27773.47669888</v>
      </c>
      <c r="H9" s="7">
        <f t="shared" si="1"/>
        <v>34929.15008</v>
      </c>
      <c r="I9" s="8">
        <f t="shared" si="0"/>
        <v>0.5821525013333333</v>
      </c>
      <c r="J9" s="8"/>
      <c r="K9" s="12"/>
      <c r="M9" s="57" t="s">
        <v>121</v>
      </c>
      <c r="N9" s="28" t="s">
        <v>124</v>
      </c>
      <c r="O9" s="60" t="s">
        <v>122</v>
      </c>
    </row>
    <row r="10" spans="1:15" ht="15" thickBot="1">
      <c r="A10" s="11">
        <v>5</v>
      </c>
      <c r="B10" s="77" t="s">
        <v>15</v>
      </c>
      <c r="C10" s="78">
        <v>0</v>
      </c>
      <c r="D10" s="78">
        <v>0</v>
      </c>
      <c r="E10" s="7" t="s">
        <v>5</v>
      </c>
      <c r="F10" s="7" t="s">
        <v>5</v>
      </c>
      <c r="G10" s="7">
        <f t="shared" si="1"/>
        <v>27773.47669888</v>
      </c>
      <c r="H10" s="7">
        <f t="shared" si="1"/>
        <v>34929.15008</v>
      </c>
      <c r="I10" s="8">
        <f t="shared" si="0"/>
        <v>0.5821525013333333</v>
      </c>
      <c r="J10" s="79" t="s">
        <v>190</v>
      </c>
      <c r="K10" s="12"/>
      <c r="M10" s="59" t="s">
        <v>135</v>
      </c>
      <c r="N10" s="63">
        <f>(C7+C12+C15)*2</f>
        <v>57820.515937536</v>
      </c>
      <c r="O10" s="64"/>
    </row>
    <row r="11" spans="1:15" ht="14.25">
      <c r="A11" s="11">
        <v>6</v>
      </c>
      <c r="B11" s="5" t="s">
        <v>98</v>
      </c>
      <c r="C11" s="7">
        <f>-G10</f>
        <v>-27773.47669888</v>
      </c>
      <c r="D11" s="7">
        <f>-H10</f>
        <v>-34929.15008</v>
      </c>
      <c r="E11" s="7" t="s">
        <v>5</v>
      </c>
      <c r="F11" s="7" t="s">
        <v>5</v>
      </c>
      <c r="G11" s="7">
        <f t="shared" si="1"/>
        <v>0</v>
      </c>
      <c r="H11" s="7">
        <f t="shared" si="1"/>
        <v>0</v>
      </c>
      <c r="I11" s="8">
        <f t="shared" si="0"/>
        <v>0</v>
      </c>
      <c r="J11" s="8"/>
      <c r="K11" s="12"/>
      <c r="M11" s="65"/>
      <c r="N11" s="66"/>
      <c r="O11" s="67"/>
    </row>
    <row r="12" spans="1:15" ht="14.25">
      <c r="A12" s="11">
        <v>7</v>
      </c>
      <c r="B12" s="5" t="s">
        <v>99</v>
      </c>
      <c r="C12" s="7">
        <f>D12*O6</f>
        <v>1314.1026349439999</v>
      </c>
      <c r="D12" s="7">
        <f>1.121*D6</f>
        <v>1671.8863039999999</v>
      </c>
      <c r="E12" s="7" t="s">
        <v>5</v>
      </c>
      <c r="F12" s="7" t="s">
        <v>5</v>
      </c>
      <c r="G12" s="7">
        <f t="shared" si="1"/>
        <v>1314.1026349439999</v>
      </c>
      <c r="H12" s="7">
        <f t="shared" si="1"/>
        <v>1671.8863039999999</v>
      </c>
      <c r="I12" s="8">
        <f t="shared" si="0"/>
        <v>0.02786477173333333</v>
      </c>
      <c r="J12" s="8"/>
      <c r="K12" s="12"/>
      <c r="M12" s="73"/>
      <c r="N12" s="74"/>
      <c r="O12" s="75"/>
    </row>
    <row r="13" spans="1:15" ht="14.25">
      <c r="A13" s="11">
        <v>8</v>
      </c>
      <c r="B13" s="77" t="s">
        <v>191</v>
      </c>
      <c r="C13" s="78">
        <v>0</v>
      </c>
      <c r="D13" s="78">
        <v>0</v>
      </c>
      <c r="E13" s="7" t="s">
        <v>5</v>
      </c>
      <c r="F13" s="7" t="s">
        <v>5</v>
      </c>
      <c r="G13" s="7">
        <f>G12+C13</f>
        <v>1314.1026349439999</v>
      </c>
      <c r="H13" s="7">
        <f>H12+D13</f>
        <v>1671.8863039999999</v>
      </c>
      <c r="I13" s="8">
        <f t="shared" si="0"/>
        <v>0.02786477173333333</v>
      </c>
      <c r="J13" s="79" t="s">
        <v>159</v>
      </c>
      <c r="K13" s="12"/>
      <c r="M13" s="65"/>
      <c r="N13" s="66"/>
      <c r="O13" s="67"/>
    </row>
    <row r="14" spans="1:15" ht="14.25">
      <c r="A14" s="11">
        <v>9</v>
      </c>
      <c r="B14" s="5" t="s">
        <v>98</v>
      </c>
      <c r="C14" s="7">
        <f>-C12</f>
        <v>-1314.1026349439999</v>
      </c>
      <c r="D14" s="7">
        <f>-D12</f>
        <v>-1671.8863039999999</v>
      </c>
      <c r="E14" s="7" t="s">
        <v>5</v>
      </c>
      <c r="F14" s="7" t="s">
        <v>5</v>
      </c>
      <c r="G14" s="7">
        <f t="shared" si="1"/>
        <v>0</v>
      </c>
      <c r="H14" s="7">
        <f t="shared" si="1"/>
        <v>0</v>
      </c>
      <c r="I14" s="8">
        <f t="shared" si="0"/>
        <v>0</v>
      </c>
      <c r="J14" s="8"/>
      <c r="K14" s="12"/>
      <c r="M14" s="65"/>
      <c r="N14" s="66"/>
      <c r="O14" s="67"/>
    </row>
    <row r="15" spans="1:15" ht="14.25">
      <c r="A15" s="11">
        <v>10</v>
      </c>
      <c r="B15" s="5" t="s">
        <v>99</v>
      </c>
      <c r="C15" s="7">
        <f>D15*O6</f>
        <v>1314.1026349439999</v>
      </c>
      <c r="D15" s="7">
        <f>1.121*D6</f>
        <v>1671.8863039999999</v>
      </c>
      <c r="E15" s="7" t="s">
        <v>5</v>
      </c>
      <c r="F15" s="7" t="s">
        <v>5</v>
      </c>
      <c r="G15" s="7">
        <f t="shared" si="1"/>
        <v>1314.1026349439999</v>
      </c>
      <c r="H15" s="7">
        <f t="shared" si="1"/>
        <v>1671.8863039999999</v>
      </c>
      <c r="I15" s="8">
        <f t="shared" si="0"/>
        <v>0.02786477173333333</v>
      </c>
      <c r="J15" s="8"/>
      <c r="K15" s="12"/>
      <c r="M15" s="65"/>
      <c r="N15" s="43"/>
      <c r="O15" s="67"/>
    </row>
    <row r="16" spans="1:15" ht="14.25">
      <c r="A16" s="11">
        <v>11</v>
      </c>
      <c r="B16" s="77" t="s">
        <v>189</v>
      </c>
      <c r="C16" s="78">
        <v>0</v>
      </c>
      <c r="D16" s="78">
        <v>0</v>
      </c>
      <c r="E16" s="7" t="s">
        <v>5</v>
      </c>
      <c r="F16" s="7" t="s">
        <v>5</v>
      </c>
      <c r="G16" s="7">
        <f>G15+C16</f>
        <v>1314.1026349439999</v>
      </c>
      <c r="H16" s="7">
        <f>H15+D16</f>
        <v>1671.8863039999999</v>
      </c>
      <c r="I16" s="8">
        <f>H16/$A$4</f>
        <v>0.02786477173333333</v>
      </c>
      <c r="J16" s="79" t="s">
        <v>159</v>
      </c>
      <c r="K16" s="12"/>
      <c r="M16" s="65"/>
      <c r="N16" s="43"/>
      <c r="O16" s="67"/>
    </row>
    <row r="17" spans="1:11" ht="15" thickBot="1">
      <c r="A17" s="13">
        <v>12</v>
      </c>
      <c r="B17" s="14" t="s">
        <v>98</v>
      </c>
      <c r="C17" s="16">
        <f>-G16</f>
        <v>-1314.1026349439999</v>
      </c>
      <c r="D17" s="16">
        <f>-H16</f>
        <v>-1671.8863039999999</v>
      </c>
      <c r="E17" s="16" t="s">
        <v>5</v>
      </c>
      <c r="F17" s="16" t="s">
        <v>5</v>
      </c>
      <c r="G17" s="16">
        <f>G16+C17</f>
        <v>0</v>
      </c>
      <c r="H17" s="16">
        <f>H16+D17</f>
        <v>0</v>
      </c>
      <c r="I17" s="19">
        <f>H17/$A$4</f>
        <v>0</v>
      </c>
      <c r="J17" s="19"/>
      <c r="K17" s="17"/>
    </row>
    <row r="18" ht="15" thickBot="1"/>
    <row r="19" spans="1:11" ht="14.25">
      <c r="A19" s="9">
        <v>20000</v>
      </c>
      <c r="B19" s="84" t="s">
        <v>100</v>
      </c>
      <c r="C19" s="86" t="s">
        <v>16</v>
      </c>
      <c r="D19" s="86" t="s">
        <v>17</v>
      </c>
      <c r="E19" s="93" t="s">
        <v>39</v>
      </c>
      <c r="F19" s="93" t="s">
        <v>51</v>
      </c>
      <c r="G19" s="86" t="s">
        <v>18</v>
      </c>
      <c r="H19" s="86" t="s">
        <v>19</v>
      </c>
      <c r="I19" s="88" t="s">
        <v>1</v>
      </c>
      <c r="J19" s="90" t="s">
        <v>20</v>
      </c>
      <c r="K19" s="91" t="s">
        <v>21</v>
      </c>
    </row>
    <row r="20" spans="1:11" ht="14.25">
      <c r="A20" s="10" t="s">
        <v>105</v>
      </c>
      <c r="B20" s="85"/>
      <c r="C20" s="87"/>
      <c r="D20" s="87"/>
      <c r="E20" s="94"/>
      <c r="F20" s="94"/>
      <c r="G20" s="87"/>
      <c r="H20" s="87"/>
      <c r="I20" s="89"/>
      <c r="J20" s="89"/>
      <c r="K20" s="92"/>
    </row>
    <row r="21" spans="1:11" ht="14.25">
      <c r="A21" s="11">
        <v>13</v>
      </c>
      <c r="B21" s="5" t="s">
        <v>106</v>
      </c>
      <c r="C21" s="50">
        <f>-C11</f>
        <v>27773.47669888</v>
      </c>
      <c r="D21" s="7">
        <f>-D11</f>
        <v>34929.15008</v>
      </c>
      <c r="E21" s="7" t="s">
        <v>5</v>
      </c>
      <c r="F21" s="7" t="s">
        <v>5</v>
      </c>
      <c r="G21" s="7">
        <f>C21</f>
        <v>27773.47669888</v>
      </c>
      <c r="H21" s="7">
        <f>D21</f>
        <v>34929.15008</v>
      </c>
      <c r="I21" s="8">
        <f>H21/$A$4</f>
        <v>0.5821525013333333</v>
      </c>
      <c r="J21" s="8"/>
      <c r="K21" s="12"/>
    </row>
    <row r="22" spans="1:11" ht="14.25">
      <c r="A22" s="11">
        <v>14</v>
      </c>
      <c r="B22" s="5" t="s">
        <v>104</v>
      </c>
      <c r="C22" s="50">
        <f>-C7</f>
        <v>-26282.05269888</v>
      </c>
      <c r="D22" s="7">
        <f>-D7</f>
        <v>-33437.72608</v>
      </c>
      <c r="E22" s="7" t="s">
        <v>5</v>
      </c>
      <c r="F22" s="7" t="s">
        <v>5</v>
      </c>
      <c r="G22" s="7">
        <f>G21+C22</f>
        <v>1491.423999999999</v>
      </c>
      <c r="H22" s="7">
        <f>H21+D22</f>
        <v>1491.423999999999</v>
      </c>
      <c r="I22" s="8">
        <f aca="true" t="shared" si="2" ref="I22:I28">H22/$A$4</f>
        <v>0.02485706666666665</v>
      </c>
      <c r="J22" s="8"/>
      <c r="K22" s="12"/>
    </row>
    <row r="23" spans="1:11" ht="14.25">
      <c r="A23" s="11">
        <v>15</v>
      </c>
      <c r="B23" s="5" t="s">
        <v>101</v>
      </c>
      <c r="C23" s="7">
        <v>0</v>
      </c>
      <c r="D23" s="7">
        <v>0</v>
      </c>
      <c r="E23" s="7" t="s">
        <v>5</v>
      </c>
      <c r="F23" s="7" t="s">
        <v>5</v>
      </c>
      <c r="G23" s="7">
        <f aca="true" t="shared" si="3" ref="G23:G33">G22+C23</f>
        <v>1491.423999999999</v>
      </c>
      <c r="H23" s="7">
        <f aca="true" t="shared" si="4" ref="H23:H33">H22+D23</f>
        <v>1491.423999999999</v>
      </c>
      <c r="I23" s="8">
        <f t="shared" si="2"/>
        <v>0.02485706666666665</v>
      </c>
      <c r="J23" s="8"/>
      <c r="K23" s="12"/>
    </row>
    <row r="24" spans="1:11" ht="14.25">
      <c r="A24" s="11">
        <v>16</v>
      </c>
      <c r="B24" s="5" t="s">
        <v>102</v>
      </c>
      <c r="C24" s="7">
        <f>-C14</f>
        <v>1314.1026349439999</v>
      </c>
      <c r="D24" s="7">
        <f>-D14</f>
        <v>1671.8863039999999</v>
      </c>
      <c r="E24" s="7" t="s">
        <v>5</v>
      </c>
      <c r="F24" s="7" t="s">
        <v>5</v>
      </c>
      <c r="G24" s="7">
        <f t="shared" si="3"/>
        <v>2805.526634943999</v>
      </c>
      <c r="H24" s="7">
        <f t="shared" si="4"/>
        <v>3163.3103039999987</v>
      </c>
      <c r="I24" s="8">
        <f t="shared" si="2"/>
        <v>0.05272183839999998</v>
      </c>
      <c r="J24" s="8"/>
      <c r="K24" s="12"/>
    </row>
    <row r="25" spans="1:11" ht="14.25">
      <c r="A25" s="11">
        <v>17</v>
      </c>
      <c r="B25" s="5" t="s">
        <v>103</v>
      </c>
      <c r="C25" s="7">
        <v>0</v>
      </c>
      <c r="D25" s="7">
        <v>0</v>
      </c>
      <c r="E25" s="7" t="s">
        <v>5</v>
      </c>
      <c r="F25" s="7" t="s">
        <v>5</v>
      </c>
      <c r="G25" s="7">
        <f t="shared" si="3"/>
        <v>2805.526634943999</v>
      </c>
      <c r="H25" s="7">
        <f t="shared" si="4"/>
        <v>3163.3103039999987</v>
      </c>
      <c r="I25" s="8">
        <f t="shared" si="2"/>
        <v>0.05272183839999998</v>
      </c>
      <c r="J25" s="8"/>
      <c r="K25" s="12"/>
    </row>
    <row r="26" spans="1:11" ht="14.25">
      <c r="A26" s="11">
        <v>18</v>
      </c>
      <c r="B26" s="5" t="s">
        <v>104</v>
      </c>
      <c r="C26" s="7">
        <f>-C24</f>
        <v>-1314.1026349439999</v>
      </c>
      <c r="D26" s="7">
        <f>-D24</f>
        <v>-1671.8863039999999</v>
      </c>
      <c r="E26" s="7" t="s">
        <v>5</v>
      </c>
      <c r="F26" s="7" t="s">
        <v>5</v>
      </c>
      <c r="G26" s="7">
        <f t="shared" si="3"/>
        <v>1491.423999999999</v>
      </c>
      <c r="H26" s="7">
        <f t="shared" si="4"/>
        <v>1491.4239999999988</v>
      </c>
      <c r="I26" s="8">
        <f t="shared" si="2"/>
        <v>0.024857066666666646</v>
      </c>
      <c r="J26" s="8"/>
      <c r="K26" s="12"/>
    </row>
    <row r="27" spans="1:11" ht="14.25">
      <c r="A27" s="11">
        <v>19</v>
      </c>
      <c r="B27" s="5" t="s">
        <v>101</v>
      </c>
      <c r="C27" s="7">
        <v>0</v>
      </c>
      <c r="D27" s="7">
        <v>0</v>
      </c>
      <c r="E27" s="7" t="s">
        <v>5</v>
      </c>
      <c r="F27" s="7" t="s">
        <v>5</v>
      </c>
      <c r="G27" s="7">
        <f t="shared" si="3"/>
        <v>1491.423999999999</v>
      </c>
      <c r="H27" s="7">
        <f t="shared" si="4"/>
        <v>1491.4239999999988</v>
      </c>
      <c r="I27" s="8">
        <f t="shared" si="2"/>
        <v>0.024857066666666646</v>
      </c>
      <c r="J27" s="8"/>
      <c r="K27" s="12"/>
    </row>
    <row r="28" spans="1:11" ht="14.25">
      <c r="A28" s="11">
        <v>20</v>
      </c>
      <c r="B28" s="5" t="s">
        <v>102</v>
      </c>
      <c r="C28" s="7">
        <f>-C17</f>
        <v>1314.1026349439999</v>
      </c>
      <c r="D28" s="7">
        <f>-D17</f>
        <v>1671.8863039999999</v>
      </c>
      <c r="E28" s="7" t="s">
        <v>5</v>
      </c>
      <c r="F28" s="7" t="s">
        <v>5</v>
      </c>
      <c r="G28" s="7">
        <f t="shared" si="3"/>
        <v>2805.526634943999</v>
      </c>
      <c r="H28" s="7">
        <f t="shared" si="4"/>
        <v>3163.3103039999987</v>
      </c>
      <c r="I28" s="8">
        <f t="shared" si="2"/>
        <v>0.05272183839999998</v>
      </c>
      <c r="J28" s="8"/>
      <c r="K28" s="12"/>
    </row>
    <row r="29" spans="1:11" ht="14.25">
      <c r="A29" s="11">
        <v>21</v>
      </c>
      <c r="B29" s="5" t="s">
        <v>103</v>
      </c>
      <c r="C29" s="7">
        <v>0</v>
      </c>
      <c r="D29" s="7">
        <v>0</v>
      </c>
      <c r="E29" s="7" t="s">
        <v>5</v>
      </c>
      <c r="F29" s="7" t="s">
        <v>5</v>
      </c>
      <c r="G29" s="7">
        <f t="shared" si="3"/>
        <v>2805.526634943999</v>
      </c>
      <c r="H29" s="7">
        <f t="shared" si="4"/>
        <v>3163.3103039999987</v>
      </c>
      <c r="I29" s="8">
        <f>H29/$A$4</f>
        <v>0.05272183839999998</v>
      </c>
      <c r="J29" s="8"/>
      <c r="K29" s="12"/>
    </row>
    <row r="30" spans="1:11" ht="14.25">
      <c r="A30" s="11">
        <v>22</v>
      </c>
      <c r="B30" s="5" t="s">
        <v>104</v>
      </c>
      <c r="C30" s="7">
        <f>-C28</f>
        <v>-1314.1026349439999</v>
      </c>
      <c r="D30" s="7">
        <f>-D28</f>
        <v>-1671.8863039999999</v>
      </c>
      <c r="E30" s="7" t="s">
        <v>5</v>
      </c>
      <c r="F30" s="7" t="s">
        <v>5</v>
      </c>
      <c r="G30" s="7">
        <f t="shared" si="3"/>
        <v>1491.423999999999</v>
      </c>
      <c r="H30" s="7">
        <f t="shared" si="4"/>
        <v>1491.4239999999988</v>
      </c>
      <c r="I30" s="8">
        <f>H30/$A$4</f>
        <v>0.024857066666666646</v>
      </c>
      <c r="J30" s="8"/>
      <c r="K30" s="12"/>
    </row>
    <row r="31" spans="1:11" ht="14.25">
      <c r="A31" s="11">
        <v>23</v>
      </c>
      <c r="B31" s="5" t="s">
        <v>101</v>
      </c>
      <c r="C31" s="7">
        <v>0</v>
      </c>
      <c r="D31" s="7">
        <v>0</v>
      </c>
      <c r="E31" s="7" t="s">
        <v>5</v>
      </c>
      <c r="F31" s="7" t="s">
        <v>5</v>
      </c>
      <c r="G31" s="7">
        <f t="shared" si="3"/>
        <v>1491.423999999999</v>
      </c>
      <c r="H31" s="7">
        <f t="shared" si="4"/>
        <v>1491.4239999999988</v>
      </c>
      <c r="I31" s="8">
        <f>H31/$A$4</f>
        <v>0.024857066666666646</v>
      </c>
      <c r="J31" s="8"/>
      <c r="K31" s="12"/>
    </row>
    <row r="32" spans="1:11" ht="14.25">
      <c r="A32" s="11">
        <v>24</v>
      </c>
      <c r="B32" s="5" t="s">
        <v>193</v>
      </c>
      <c r="C32" s="7">
        <v>0</v>
      </c>
      <c r="D32" s="7">
        <v>0</v>
      </c>
      <c r="E32" s="7" t="s">
        <v>5</v>
      </c>
      <c r="F32" s="7" t="s">
        <v>5</v>
      </c>
      <c r="G32" s="7">
        <f t="shared" si="3"/>
        <v>1491.423999999999</v>
      </c>
      <c r="H32" s="7">
        <f t="shared" si="4"/>
        <v>1491.4239999999988</v>
      </c>
      <c r="I32" s="8">
        <f>H32/$A$4</f>
        <v>0.024857066666666646</v>
      </c>
      <c r="J32" s="8"/>
      <c r="K32" s="12"/>
    </row>
    <row r="33" spans="1:11" ht="15" thickBot="1">
      <c r="A33" s="13">
        <v>25</v>
      </c>
      <c r="B33" s="14" t="s">
        <v>192</v>
      </c>
      <c r="C33" s="16">
        <f>-G32</f>
        <v>-1491.423999999999</v>
      </c>
      <c r="D33" s="16">
        <f>-H32</f>
        <v>-1491.4239999999988</v>
      </c>
      <c r="E33" s="16" t="s">
        <v>5</v>
      </c>
      <c r="F33" s="16" t="s">
        <v>5</v>
      </c>
      <c r="G33" s="16">
        <f t="shared" si="3"/>
        <v>0</v>
      </c>
      <c r="H33" s="16">
        <f t="shared" si="4"/>
        <v>0</v>
      </c>
      <c r="I33" s="19">
        <f>H33/$A$4</f>
        <v>0</v>
      </c>
      <c r="J33" s="19"/>
      <c r="K33" s="17"/>
    </row>
    <row r="35" spans="2:4" ht="14.25">
      <c r="B35" s="41" t="s">
        <v>54</v>
      </c>
      <c r="C35" s="3">
        <f>(E6/1000)*N7</f>
        <v>1491.424</v>
      </c>
      <c r="D35" s="41" t="s">
        <v>56</v>
      </c>
    </row>
    <row r="36" spans="2:4" ht="14.25">
      <c r="B36" s="41" t="s">
        <v>77</v>
      </c>
      <c r="C36" s="3">
        <f>(E6/1000)*N7*0.67</f>
        <v>999.25408</v>
      </c>
      <c r="D36" s="41" t="s">
        <v>56</v>
      </c>
    </row>
    <row r="37" spans="2:5" ht="14.25">
      <c r="B37" t="s">
        <v>137</v>
      </c>
      <c r="C37" s="3">
        <f>C36*2</f>
        <v>1998.50816</v>
      </c>
      <c r="D37" t="s">
        <v>56</v>
      </c>
      <c r="E37" s="41" t="s">
        <v>138</v>
      </c>
    </row>
  </sheetData>
  <sheetProtection/>
  <mergeCells count="20">
    <mergeCell ref="G4:G5"/>
    <mergeCell ref="G19:G20"/>
    <mergeCell ref="B4:B5"/>
    <mergeCell ref="C4:C5"/>
    <mergeCell ref="D4:D5"/>
    <mergeCell ref="E4:E5"/>
    <mergeCell ref="F4:F5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H4:H5"/>
    <mergeCell ref="I4:I5"/>
    <mergeCell ref="J4:J5"/>
    <mergeCell ref="K4:K5"/>
  </mergeCells>
  <conditionalFormatting sqref="I5:I17">
    <cfRule type="cellIs" priority="2" dxfId="5" operator="greaterThan">
      <formula>0.9</formula>
    </cfRule>
  </conditionalFormatting>
  <conditionalFormatting sqref="I20:I33">
    <cfRule type="cellIs" priority="1" dxfId="5" operator="greaterThan">
      <formula>0.9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mstanley</dc:creator>
  <cp:keywords/>
  <dc:description/>
  <cp:lastModifiedBy>Registered User</cp:lastModifiedBy>
  <dcterms:created xsi:type="dcterms:W3CDTF">2019-04-10T15:50:14Z</dcterms:created>
  <dcterms:modified xsi:type="dcterms:W3CDTF">2020-05-19T15:10:34Z</dcterms:modified>
  <cp:category/>
  <cp:version/>
  <cp:contentType/>
  <cp:contentStatus/>
</cp:coreProperties>
</file>