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7795" windowHeight="13875" activeTab="0"/>
  </bookViews>
  <sheets>
    <sheet name="Control" sheetId="1" r:id="rId1"/>
    <sheet name="Inert" sheetId="2" state="hidden" r:id="rId2"/>
    <sheet name="Contaminants" sheetId="3" r:id="rId3"/>
    <sheet name="Hydrogeology" sheetId="4" r:id="rId4"/>
    <sheet name="Attenuation" sheetId="5" r:id="rId5"/>
    <sheet name="WaterBalance" sheetId="6" r:id="rId6"/>
    <sheet name="Pathways" sheetId="7" r:id="rId7"/>
    <sheet name="Simulation" sheetId="8" r:id="rId8"/>
    <sheet name="Audit" sheetId="9" r:id="rId9"/>
    <sheet name="BH11" sheetId="10" state="hidden" r:id="rId10"/>
  </sheets>
  <definedNames>
    <definedName name="Attenuation_A_114" hidden="1">" if((Contaminants_Source_determinand_names   Contaminants_Species4)=0,?Undefined?,(Contaminants_Source_determinand_names   Contaminants_Species4))"</definedName>
    <definedName name="Attenuation_A_114Col" hidden="1">2</definedName>
    <definedName name="Attenuation_A_144" hidden="1">" if((Contaminants_Source_determinand_names   Contaminants_Species5)=0,?Undefined?,(Contaminants_Source_determinand_names   Contaminants_Species5))"</definedName>
    <definedName name="Attenuation_A_144Col" hidden="1">2</definedName>
    <definedName name="Attenuation_A_174" hidden="1">" if((Contaminants_Source_determinand_names   Contaminants_Species6)=0,?Undefined?,(Contaminants_Source_determinand_names   Contaminants_Species6))"</definedName>
    <definedName name="Attenuation_A_174Col" hidden="1">2</definedName>
    <definedName name="Attenuation_A_204" hidden="1">" if((Contaminants_Source_determinand_names   Contaminants_Species7)=0,?Undefined?,(Contaminants_Source_determinand_names   Contaminants_Species7))"</definedName>
    <definedName name="Attenuation_A_204Col" hidden="1">2</definedName>
    <definedName name="Attenuation_A_234" hidden="1">" if((Contaminants_Source_determinand_names   Contaminants_Species8)=0,?Undefined?,(Contaminants_Source_determinand_names   Contaminants_Species8))"</definedName>
    <definedName name="Attenuation_A_234Col" hidden="1">2</definedName>
    <definedName name="Attenuation_A_24" hidden="1">" if((Contaminants_Source_determinand_names   Contaminants_Species1)=0,?Undefined?,(Contaminants_Source_determinand_names   Contaminants_Species1))"</definedName>
    <definedName name="Attenuation_A_24Col" hidden="1">2</definedName>
    <definedName name="Attenuation_A_54" hidden="1">" if((Contaminants_Source_determinand_names   Contaminants_Species2)=0,?Undefined?,(Contaminants_Source_determinand_names   Contaminants_Species2))"</definedName>
    <definedName name="Attenuation_A_54Col" hidden="1">2</definedName>
    <definedName name="Attenuation_A_84" hidden="1">" if((Contaminants_Source_determinand_names   Contaminants_Species3)=0,?Undefined?,(Contaminants_Source_determinand_names   Contaminants_Species3))"</definedName>
    <definedName name="Attenuation_A_84Col" hidden="1">2</definedName>
    <definedName name="Attenuation_C_107" hidden="1">"if((Attenuation_Half_Life_Species_3)&lt;&gt;?No Decay?, Ln(2.0) / ((Attenuation_Half_Life_Species_3) * s_per_day) ,0)"</definedName>
    <definedName name="Attenuation_C_107Col" hidden="1">35</definedName>
    <definedName name="Attenuation_C_116" hidden="1">"(Attenuation_Fraction_organic_carbon) * (Contaminants_Organic_carbon_water_partition_coefficient_Koc  Contaminants_Species4)"</definedName>
    <definedName name="Attenuation_C_116Col" hidden="1">35</definedName>
    <definedName name="Attenuation_C_123" hidden="1">"1 + 0.001 * (Attenuation_Partition_Coefficient_Kd_Species_4) * (Attenuation_Dry_bulk_density) / (Hydrogeology_Porosity    'Hydrogeology'!$C:$C)"</definedName>
    <definedName name="Attenuation_C_123Col" hidden="1">35</definedName>
    <definedName name="Attenuation_C_137" hidden="1">"if((Attenuation_Half_Life_Species_4)&lt;&gt;?No Decay?, Ln(2.0) / ((Attenuation_Half_Life_Species_4) * s_per_day) ,0)"</definedName>
    <definedName name="Attenuation_C_137Col" hidden="1">35</definedName>
    <definedName name="Attenuation_C_146" hidden="1">"(Attenuation_Fraction_organic_carbon) * (Contaminants_Organic_carbon_water_partition_coefficient_Koc  Contaminants_Species5)"</definedName>
    <definedName name="Attenuation_C_146Col" hidden="1">35</definedName>
    <definedName name="Attenuation_C_153" hidden="1">"1 + 0.001 * (Attenuation_Partition_Coefficient_Kd_Species_5) * (Attenuation_Dry_bulk_density) / (Hydrogeology_Porosity    'Hydrogeology'!$C:$C)"</definedName>
    <definedName name="Attenuation_C_153Col" hidden="1">35</definedName>
    <definedName name="Attenuation_C_167" hidden="1">"if((Attenuation_Half_Life_Species_5)&lt;&gt;?No Decay?, Ln(2.0) / ((Attenuation_Half_Life_Species_5) * s_per_day) ,0)"</definedName>
    <definedName name="Attenuation_C_167Col" hidden="1">35</definedName>
    <definedName name="Attenuation_C_176" hidden="1">"(Attenuation_Fraction_organic_carbon) * (Contaminants_Organic_carbon_water_partition_coefficient_Koc  Contaminants_Species6)"</definedName>
    <definedName name="Attenuation_C_176Col" hidden="1">35</definedName>
    <definedName name="Attenuation_C_183" hidden="1">"1 + 0.001 * (Attenuation_Partition_Coefficient_Kd_Species_6) * (Attenuation_Dry_bulk_density) / (Hydrogeology_Porosity    'Hydrogeology'!$C:$C)"</definedName>
    <definedName name="Attenuation_C_183Col" hidden="1">35</definedName>
    <definedName name="Attenuation_C_197" hidden="1">"if((Attenuation_Half_Life_Species_6)&lt;&gt;?No Decay?, Ln(2.0) / ((Attenuation_Half_Life_Species_6) * s_per_day) ,0)"</definedName>
    <definedName name="Attenuation_C_197Col" hidden="1">35</definedName>
    <definedName name="Attenuation_C_206" hidden="1">"(Attenuation_Fraction_organic_carbon) * (Contaminants_Organic_carbon_water_partition_coefficient_Koc  Contaminants_Species7)"</definedName>
    <definedName name="Attenuation_C_206Col" hidden="1">35</definedName>
    <definedName name="Attenuation_C_213" hidden="1">"1 + 0.001 * (Attenuation_Partition_Coefficient_Kd_Species_7) * (Attenuation_Dry_bulk_density) / (Hydrogeology_Porosity    'Hydrogeology'!$C:$C)"</definedName>
    <definedName name="Attenuation_C_213Col" hidden="1">35</definedName>
    <definedName name="Attenuation_C_227" hidden="1">"if((Attenuation_Half_Life_Species_7)&lt;&gt;?No Decay?, Ln(2.0) / ((Attenuation_Half_Life_Species_7) * s_per_day) ,0)"</definedName>
    <definedName name="Attenuation_C_227Col" hidden="1">35</definedName>
    <definedName name="Attenuation_C_236" hidden="1">"(Attenuation_Fraction_organic_carbon) * (Contaminants_Organic_carbon_water_partition_coefficient_Koc  Contaminants_Species8)"</definedName>
    <definedName name="Attenuation_C_236Col" hidden="1">35</definedName>
    <definedName name="Attenuation_C_243" hidden="1">"1 + 0.001 * (Attenuation_Partition_Coefficient_Kd_Species_8) * (Attenuation_Dry_bulk_density) / (Hydrogeology_Porosity    'Hydrogeology'!$C:$C)"</definedName>
    <definedName name="Attenuation_C_243Col" hidden="1">35</definedName>
    <definedName name="Attenuation_C_257" hidden="1">"if((Attenuation_Half_Life_Species_8)&lt;&gt;?No Decay?, Ln(2.0) / ((Attenuation_Half_Life_Species_8) * s_per_day) ,0)"</definedName>
    <definedName name="Attenuation_C_257Col" hidden="1">35</definedName>
    <definedName name="Attenuation_C_26" hidden="1">"(Attenuation_Fraction_organic_carbon) * (Contaminants_Organic_carbon_water_partition_coefficient_Koc  Contaminants_Species1)"</definedName>
    <definedName name="Attenuation_C_26Col" hidden="1">35</definedName>
    <definedName name="Attenuation_C_33" hidden="1">"1 + 0.001 * (Attenuation_Partition_Coefficient_Kd_Species_1) * (Attenuation_Dry_bulk_density) / (Hydrogeology_Porosity    'Hydrogeology'!$C:$C)"</definedName>
    <definedName name="Attenuation_C_33Col" hidden="1">35</definedName>
    <definedName name="Attenuation_C_47" hidden="1">"if((Attenuation_Half_Life_Species_1)&lt;&gt;?No Decay?, Ln(2.0) / ((Attenuation_Half_Life_Species_1) * s_per_day) ,0)"</definedName>
    <definedName name="Attenuation_C_47Col" hidden="1">35</definedName>
    <definedName name="Attenuation_C_56" hidden="1">"(Attenuation_Fraction_organic_carbon) * (Contaminants_Organic_carbon_water_partition_coefficient_Koc  Contaminants_Species2)"</definedName>
    <definedName name="Attenuation_C_56Col" hidden="1">35</definedName>
    <definedName name="Attenuation_C_63" hidden="1">"1 + 0.001 * (Attenuation_Partition_Coefficient_Kd_Species_2) * (Attenuation_Dry_bulk_density) / (Hydrogeology_Porosity    'Hydrogeology'!$C:$C)"</definedName>
    <definedName name="Attenuation_C_63Col" hidden="1">35</definedName>
    <definedName name="Attenuation_C_77" hidden="1">"if((Attenuation_Half_Life_Species_2)&lt;&gt;?No Decay?, Ln(2.0) / ((Attenuation_Half_Life_Species_2) * s_per_day) ,0)"</definedName>
    <definedName name="Attenuation_C_77Col" hidden="1">35</definedName>
    <definedName name="Attenuation_C_86" hidden="1">"(Attenuation_Fraction_organic_carbon) * (Contaminants_Organic_carbon_water_partition_coefficient_Koc  Contaminants_Species3)"</definedName>
    <definedName name="Attenuation_C_86Col" hidden="1">35</definedName>
    <definedName name="Attenuation_C_93" hidden="1">"1 + 0.001 * (Attenuation_Partition_Coefficient_Kd_Species_3) * (Attenuation_Dry_bulk_density) / (Hydrogeology_Porosity    'Hydrogeology'!$C:$C)"</definedName>
    <definedName name="Attenuation_C_93Col" hidden="1">35</definedName>
    <definedName name="Attenuation_Clay_Liner">'Attenuation'!$C:$C</definedName>
    <definedName name="Attenuation_D_107" hidden="1">"if((Attenuation_Half_Life_Species_3)&lt;&gt;?No Decay?, Ln(2.0) / ((Attenuation_Half_Life_Species_3) * s_per_day) ,0)"</definedName>
    <definedName name="Attenuation_D_107Col" hidden="1">35</definedName>
    <definedName name="Attenuation_D_116" hidden="1">"(Attenuation_Fraction_organic_carbon) * (Contaminants_Organic_carbon_water_partition_coefficient_Koc  Contaminants_Species4)"</definedName>
    <definedName name="Attenuation_D_116Col" hidden="1">35</definedName>
    <definedName name="Attenuation_D_123" hidden="1">"1 + 0.001 * (Attenuation_Partition_Coefficient_Kd_Species_4) * (Attenuation_Dry_bulk_density) / (Hydrogeology_Porosity    'Hydrogeology'!$D:$D)"</definedName>
    <definedName name="Attenuation_D_123Col" hidden="1">35</definedName>
    <definedName name="Attenuation_D_137" hidden="1">"if((Attenuation_Half_Life_Species_4)&lt;&gt;?No Decay?, Ln(2.0) / ((Attenuation_Half_Life_Species_4) * s_per_day) ,0)"</definedName>
    <definedName name="Attenuation_D_137Col" hidden="1">35</definedName>
    <definedName name="Attenuation_D_146" hidden="1">"(Attenuation_Fraction_organic_carbon) * (Contaminants_Organic_carbon_water_partition_coefficient_Koc  Contaminants_Species5)"</definedName>
    <definedName name="Attenuation_D_146Col" hidden="1">35</definedName>
    <definedName name="Attenuation_D_153" hidden="1">"1 + 0.001 * (Attenuation_Partition_Coefficient_Kd_Species_5) * (Attenuation_Dry_bulk_density) / (Hydrogeology_Porosity    'Hydrogeology'!$D:$D)"</definedName>
    <definedName name="Attenuation_D_153Col" hidden="1">35</definedName>
    <definedName name="Attenuation_D_167" hidden="1">"if((Attenuation_Half_Life_Species_5)&lt;&gt;?No Decay?, Ln(2.0) / ((Attenuation_Half_Life_Species_5) * s_per_day) ,0)"</definedName>
    <definedName name="Attenuation_D_167Col" hidden="1">35</definedName>
    <definedName name="Attenuation_D_176" hidden="1">"(Attenuation_Fraction_organic_carbon) * (Contaminants_Organic_carbon_water_partition_coefficient_Koc  Contaminants_Species6)"</definedName>
    <definedName name="Attenuation_D_176Col" hidden="1">35</definedName>
    <definedName name="Attenuation_D_183" hidden="1">"1 + 0.001 * (Attenuation_Partition_Coefficient_Kd_Species_6) * (Attenuation_Dry_bulk_density) / (Hydrogeology_Porosity    'Hydrogeology'!$D:$D)"</definedName>
    <definedName name="Attenuation_D_183Col" hidden="1">35</definedName>
    <definedName name="Attenuation_D_197" hidden="1">"if((Attenuation_Half_Life_Species_6)&lt;&gt;?No Decay?, Ln(2.0) / ((Attenuation_Half_Life_Species_6) * s_per_day) ,0)"</definedName>
    <definedName name="Attenuation_D_197Col" hidden="1">35</definedName>
    <definedName name="Attenuation_D_206" hidden="1">"(Attenuation_Fraction_organic_carbon) * (Contaminants_Organic_carbon_water_partition_coefficient_Koc  Contaminants_Species7)"</definedName>
    <definedName name="Attenuation_D_206Col" hidden="1">35</definedName>
    <definedName name="Attenuation_D_213" hidden="1">"1 + 0.001 * (Attenuation_Partition_Coefficient_Kd_Species_7) * (Attenuation_Dry_bulk_density) / (Hydrogeology_Porosity    'Hydrogeology'!$D:$D)"</definedName>
    <definedName name="Attenuation_D_213Col" hidden="1">35</definedName>
    <definedName name="Attenuation_D_227" hidden="1">"if((Attenuation_Half_Life_Species_7)&lt;&gt;?No Decay?, Ln(2.0) / ((Attenuation_Half_Life_Species_7) * s_per_day) ,0)"</definedName>
    <definedName name="Attenuation_D_227Col" hidden="1">35</definedName>
    <definedName name="Attenuation_D_236" hidden="1">"(Attenuation_Fraction_organic_carbon) * (Contaminants_Organic_carbon_water_partition_coefficient_Koc  Contaminants_Species8)"</definedName>
    <definedName name="Attenuation_D_236Col" hidden="1">35</definedName>
    <definedName name="Attenuation_D_243" hidden="1">"1 + 0.001 * (Attenuation_Partition_Coefficient_Kd_Species_8) * (Attenuation_Dry_bulk_density) / (Hydrogeology_Porosity    'Hydrogeology'!$D:$D)"</definedName>
    <definedName name="Attenuation_D_243Col" hidden="1">35</definedName>
    <definedName name="Attenuation_D_257" hidden="1">"if((Attenuation_Half_Life_Species_8)&lt;&gt;?No Decay?, Ln(2.0) / ((Attenuation_Half_Life_Species_8) * s_per_day) ,0)"</definedName>
    <definedName name="Attenuation_D_257Col" hidden="1">35</definedName>
    <definedName name="Attenuation_D_26" hidden="1">"(Attenuation_Fraction_organic_carbon) * (Contaminants_Organic_carbon_water_partition_coefficient_Koc  Contaminants_Species1)"</definedName>
    <definedName name="Attenuation_D_26Col" hidden="1">35</definedName>
    <definedName name="Attenuation_D_33" hidden="1">"1 + 0.001 * (Attenuation_Partition_Coefficient_Kd_Species_1) * (Attenuation_Dry_bulk_density) / (Hydrogeology_Porosity    'Hydrogeology'!$D:$D)"</definedName>
    <definedName name="Attenuation_D_33Col" hidden="1">35</definedName>
    <definedName name="Attenuation_D_47" hidden="1">"if((Attenuation_Half_Life_Species_1)&lt;&gt;?No Decay?, Ln(2.0) / ((Attenuation_Half_Life_Species_1) * s_per_day) ,0)"</definedName>
    <definedName name="Attenuation_D_47Col" hidden="1">35</definedName>
    <definedName name="Attenuation_D_56" hidden="1">"(Attenuation_Fraction_organic_carbon) * (Contaminants_Organic_carbon_water_partition_coefficient_Koc  Contaminants_Species2)"</definedName>
    <definedName name="Attenuation_D_56Col" hidden="1">35</definedName>
    <definedName name="Attenuation_D_63" hidden="1">"1 + 0.001 * (Attenuation_Partition_Coefficient_Kd_Species_2) * (Attenuation_Dry_bulk_density) / (Hydrogeology_Porosity    'Hydrogeology'!$D:$D)"</definedName>
    <definedName name="Attenuation_D_63Col" hidden="1">35</definedName>
    <definedName name="Attenuation_D_77" hidden="1">"if((Attenuation_Half_Life_Species_2)&lt;&gt;?No Decay?, Ln(2.0) / ((Attenuation_Half_Life_Species_2) * s_per_day) ,0)"</definedName>
    <definedName name="Attenuation_D_77Col" hidden="1">35</definedName>
    <definedName name="Attenuation_D_86" hidden="1">"(Attenuation_Fraction_organic_carbon) * (Contaminants_Organic_carbon_water_partition_coefficient_Koc  Contaminants_Species3)"</definedName>
    <definedName name="Attenuation_D_86Col" hidden="1">35</definedName>
    <definedName name="Attenuation_D_93" hidden="1">"1 + 0.001 * (Attenuation_Partition_Coefficient_Kd_Species_3) * (Attenuation_Dry_bulk_density) / (Hydrogeology_Porosity    'Hydrogeology'!$D:$D)"</definedName>
    <definedName name="Attenuation_D_93Col" hidden="1">35</definedName>
    <definedName name="Attenuation_Decay_Coefficient_Species_1">'Attenuation'!$47:$47</definedName>
    <definedName name="Attenuation_Decay_Coefficient_Species_2">'Attenuation'!$77:$77</definedName>
    <definedName name="Attenuation_Decay_Coefficient_Species_3">'Attenuation'!$107:$107</definedName>
    <definedName name="Attenuation_Decay_Coefficient_Species_4">'Attenuation'!$137:$137</definedName>
    <definedName name="Attenuation_Decay_Coefficient_Species_5">'Attenuation'!$167:$167</definedName>
    <definedName name="Attenuation_Decay_Coefficient_Species_6">'Attenuation'!$197:$197</definedName>
    <definedName name="Attenuation_Decay_Coefficient_Species_7">'Attenuation'!$227:$227</definedName>
    <definedName name="Attenuation_Decay_Coefficient_Species_8">'Attenuation'!$257:$257</definedName>
    <definedName name="Attenuation_Dry_bulk_density">'Attenuation'!$7:$7</definedName>
    <definedName name="Attenuation_E_107" hidden="1">"if((Attenuation_Half_Life_Species_3)&lt;&gt;?No Decay?, Ln(2.0) / ((Attenuation_Half_Life_Species_3) * s_per_day) ,0)"</definedName>
    <definedName name="Attenuation_E_107Col" hidden="1">35</definedName>
    <definedName name="Attenuation_E_116" hidden="1">"(Attenuation_Fraction_organic_carbon) * (Contaminants_Organic_carbon_water_partition_coefficient_Koc  Contaminants_Species4)"</definedName>
    <definedName name="Attenuation_E_116Col" hidden="1">35</definedName>
    <definedName name="Attenuation_E_123" hidden="1">"1 + 0.001 * (Attenuation_Partition_Coefficient_Kd_Species_4) * (Attenuation_Dry_bulk_density) / (Hydrogeology_Porosity    'Hydrogeology'!$E:$E)"</definedName>
    <definedName name="Attenuation_E_123Col" hidden="1">35</definedName>
    <definedName name="Attenuation_E_137" hidden="1">"if((Attenuation_Half_Life_Species_4)&lt;&gt;?No Decay?, Ln(2.0) / ((Attenuation_Half_Life_Species_4) * s_per_day) ,0)"</definedName>
    <definedName name="Attenuation_E_137Col" hidden="1">35</definedName>
    <definedName name="Attenuation_E_146" hidden="1">"(Attenuation_Fraction_organic_carbon) * (Contaminants_Organic_carbon_water_partition_coefficient_Koc  Contaminants_Species5)"</definedName>
    <definedName name="Attenuation_E_146Col" hidden="1">35</definedName>
    <definedName name="Attenuation_E_153" hidden="1">"1 + 0.001 * (Attenuation_Partition_Coefficient_Kd_Species_5) * (Attenuation_Dry_bulk_density) / (Hydrogeology_Porosity    'Hydrogeology'!$E:$E)"</definedName>
    <definedName name="Attenuation_E_153Col" hidden="1">35</definedName>
    <definedName name="Attenuation_E_167" hidden="1">"if((Attenuation_Half_Life_Species_5)&lt;&gt;?No Decay?, Ln(2.0) / ((Attenuation_Half_Life_Species_5) * s_per_day) ,0)"</definedName>
    <definedName name="Attenuation_E_167Col" hidden="1">35</definedName>
    <definedName name="Attenuation_E_176" hidden="1">"(Attenuation_Fraction_organic_carbon) * (Contaminants_Organic_carbon_water_partition_coefficient_Koc  Contaminants_Species6)"</definedName>
    <definedName name="Attenuation_E_176Col" hidden="1">35</definedName>
    <definedName name="Attenuation_E_183" hidden="1">"1 + 0.001 * (Attenuation_Partition_Coefficient_Kd_Species_6) * (Attenuation_Dry_bulk_density) / (Hydrogeology_Porosity    'Hydrogeology'!$E:$E)"</definedName>
    <definedName name="Attenuation_E_183Col" hidden="1">35</definedName>
    <definedName name="Attenuation_E_197" hidden="1">"if((Attenuation_Half_Life_Species_6)&lt;&gt;?No Decay?, Ln(2.0) / ((Attenuation_Half_Life_Species_6) * s_per_day) ,0)"</definedName>
    <definedName name="Attenuation_E_197Col" hidden="1">35</definedName>
    <definedName name="Attenuation_E_206" hidden="1">"(Attenuation_Fraction_organic_carbon) * (Contaminants_Organic_carbon_water_partition_coefficient_Koc  Contaminants_Species7)"</definedName>
    <definedName name="Attenuation_E_206Col" hidden="1">35</definedName>
    <definedName name="Attenuation_E_213" hidden="1">"1 + 0.001 * (Attenuation_Partition_Coefficient_Kd_Species_7) * (Attenuation_Dry_bulk_density) / (Hydrogeology_Porosity    'Hydrogeology'!$E:$E)"</definedName>
    <definedName name="Attenuation_E_213Col" hidden="1">35</definedName>
    <definedName name="Attenuation_E_227" hidden="1">"if((Attenuation_Half_Life_Species_7)&lt;&gt;?No Decay?, Ln(2.0) / ((Attenuation_Half_Life_Species_7) * s_per_day) ,0)"</definedName>
    <definedName name="Attenuation_E_227Col" hidden="1">35</definedName>
    <definedName name="Attenuation_E_236" hidden="1">"(Attenuation_Fraction_organic_carbon) * (Contaminants_Organic_carbon_water_partition_coefficient_Koc  Contaminants_Species8)"</definedName>
    <definedName name="Attenuation_E_236Col" hidden="1">35</definedName>
    <definedName name="Attenuation_E_243" hidden="1">"1 + 0.001 * (Attenuation_Partition_Coefficient_Kd_Species_8) * (Attenuation_Dry_bulk_density) / (Hydrogeology_Porosity    'Hydrogeology'!$E:$E)"</definedName>
    <definedName name="Attenuation_E_243Col" hidden="1">35</definedName>
    <definedName name="Attenuation_E_257" hidden="1">"if((Attenuation_Half_Life_Species_8)&lt;&gt;?No Decay?, Ln(2.0) / ((Attenuation_Half_Life_Species_8) * s_per_day) ,0)"</definedName>
    <definedName name="Attenuation_E_257Col" hidden="1">35</definedName>
    <definedName name="Attenuation_E_26" hidden="1">"(Attenuation_Fraction_organic_carbon) * (Contaminants_Organic_carbon_water_partition_coefficient_Koc  Contaminants_Species1)"</definedName>
    <definedName name="Attenuation_E_26Col" hidden="1">35</definedName>
    <definedName name="Attenuation_E_33" hidden="1">"1 + 0.001 * (Attenuation_Partition_Coefficient_Kd_Species_1) * (Attenuation_Dry_bulk_density) / (Hydrogeology_Porosity    'Hydrogeology'!$E:$E)"</definedName>
    <definedName name="Attenuation_E_33Col" hidden="1">35</definedName>
    <definedName name="Attenuation_E_47" hidden="1">"if((Attenuation_Half_Life_Species_1)&lt;&gt;?No Decay?, Ln(2.0) / ((Attenuation_Half_Life_Species_1) * s_per_day) ,0)"</definedName>
    <definedName name="Attenuation_E_47Col" hidden="1">35</definedName>
    <definedName name="Attenuation_E_56" hidden="1">"(Attenuation_Fraction_organic_carbon) * (Contaminants_Organic_carbon_water_partition_coefficient_Koc  Contaminants_Species2)"</definedName>
    <definedName name="Attenuation_E_56Col" hidden="1">35</definedName>
    <definedName name="Attenuation_E_63" hidden="1">"1 + 0.001 * (Attenuation_Partition_Coefficient_Kd_Species_2) * (Attenuation_Dry_bulk_density) / (Hydrogeology_Porosity    'Hydrogeology'!$E:$E)"</definedName>
    <definedName name="Attenuation_E_63Col" hidden="1">35</definedName>
    <definedName name="Attenuation_E_77" hidden="1">"if((Attenuation_Half_Life_Species_2)&lt;&gt;?No Decay?, Ln(2.0) / ((Attenuation_Half_Life_Species_2) * s_per_day) ,0)"</definedName>
    <definedName name="Attenuation_E_77Col" hidden="1">35</definedName>
    <definedName name="Attenuation_E_86" hidden="1">"(Attenuation_Fraction_organic_carbon) * (Contaminants_Organic_carbon_water_partition_coefficient_Koc  Contaminants_Species3)"</definedName>
    <definedName name="Attenuation_E_86Col" hidden="1">35</definedName>
    <definedName name="Attenuation_E_93" hidden="1">"1 + 0.001 * (Attenuation_Partition_Coefficient_Kd_Species_3) * (Attenuation_Dry_bulk_density) / (Hydrogeology_Porosity    'Hydrogeology'!$E:$E)"</definedName>
    <definedName name="Attenuation_E_93Col" hidden="1">35</definedName>
    <definedName name="Attenuation_F_107" hidden="1">"if((Attenuation_Half_Life_Species_3)&lt;&gt;?No Decay?, Ln(2.0) / ((Attenuation_Half_Life_Species_3) * s_per_day) ,0)"</definedName>
    <definedName name="Attenuation_F_107Col" hidden="1">35</definedName>
    <definedName name="Attenuation_F_116" hidden="1">"(Attenuation_Fraction_organic_carbon) * (Contaminants_Organic_carbon_water_partition_coefficient_Koc  Contaminants_Species4)"</definedName>
    <definedName name="Attenuation_F_116Col" hidden="1">35</definedName>
    <definedName name="Attenuation_F_123" hidden="1">"1 + 0.001 * (Attenuation_Partition_Coefficient_Kd_Species_4) * (Attenuation_Dry_bulk_density) / (Hydrogeology_Porosity    'Hydrogeology'!$F:$F)"</definedName>
    <definedName name="Attenuation_F_123Col" hidden="1">35</definedName>
    <definedName name="Attenuation_F_137" hidden="1">"if((Attenuation_Half_Life_Species_4)&lt;&gt;?No Decay?, Ln(2.0) / ((Attenuation_Half_Life_Species_4) * s_per_day) ,0)"</definedName>
    <definedName name="Attenuation_F_137Col" hidden="1">35</definedName>
    <definedName name="Attenuation_F_146" hidden="1">"(Attenuation_Fraction_organic_carbon) * (Contaminants_Organic_carbon_water_partition_coefficient_Koc  Contaminants_Species5)"</definedName>
    <definedName name="Attenuation_F_146Col" hidden="1">35</definedName>
    <definedName name="Attenuation_F_153" hidden="1">"1 + 0.001 * (Attenuation_Partition_Coefficient_Kd_Species_5) * (Attenuation_Dry_bulk_density) / (Hydrogeology_Porosity    'Hydrogeology'!$F:$F)"</definedName>
    <definedName name="Attenuation_F_153Col" hidden="1">35</definedName>
    <definedName name="Attenuation_F_167" hidden="1">"if((Attenuation_Half_Life_Species_5)&lt;&gt;?No Decay?, Ln(2.0) / ((Attenuation_Half_Life_Species_5) * s_per_day) ,0)"</definedName>
    <definedName name="Attenuation_F_167Col" hidden="1">35</definedName>
    <definedName name="Attenuation_F_176" hidden="1">"(Attenuation_Fraction_organic_carbon) * (Contaminants_Organic_carbon_water_partition_coefficient_Koc  Contaminants_Species6)"</definedName>
    <definedName name="Attenuation_F_176Col" hidden="1">35</definedName>
    <definedName name="Attenuation_F_183" hidden="1">"1 + 0.001 * (Attenuation_Partition_Coefficient_Kd_Species_6) * (Attenuation_Dry_bulk_density) / (Hydrogeology_Porosity    'Hydrogeology'!$F:$F)"</definedName>
    <definedName name="Attenuation_F_183Col" hidden="1">35</definedName>
    <definedName name="Attenuation_F_197" hidden="1">"if((Attenuation_Half_Life_Species_6)&lt;&gt;?No Decay?, Ln(2.0) / ((Attenuation_Half_Life_Species_6) * s_per_day) ,0)"</definedName>
    <definedName name="Attenuation_F_197Col" hidden="1">35</definedName>
    <definedName name="Attenuation_F_206" hidden="1">"(Attenuation_Fraction_organic_carbon) * (Contaminants_Organic_carbon_water_partition_coefficient_Koc  Contaminants_Species7)"</definedName>
    <definedName name="Attenuation_F_206Col" hidden="1">35</definedName>
    <definedName name="Attenuation_F_213" hidden="1">"1 + 0.001 * (Attenuation_Partition_Coefficient_Kd_Species_7) * (Attenuation_Dry_bulk_density) / (Hydrogeology_Porosity    'Hydrogeology'!$F:$F)"</definedName>
    <definedName name="Attenuation_F_213Col" hidden="1">35</definedName>
    <definedName name="Attenuation_F_227" hidden="1">"if((Attenuation_Half_Life_Species_7)&lt;&gt;?No Decay?, Ln(2.0) / ((Attenuation_Half_Life_Species_7) * s_per_day) ,0)"</definedName>
    <definedName name="Attenuation_F_227Col" hidden="1">35</definedName>
    <definedName name="Attenuation_F_236" hidden="1">"(Attenuation_Fraction_organic_carbon) * (Contaminants_Organic_carbon_water_partition_coefficient_Koc  Contaminants_Species8)"</definedName>
    <definedName name="Attenuation_F_236Col" hidden="1">35</definedName>
    <definedName name="Attenuation_F_243" hidden="1">"1 + 0.001 * (Attenuation_Partition_Coefficient_Kd_Species_8) * (Attenuation_Dry_bulk_density) / (Hydrogeology_Porosity    'Hydrogeology'!$F:$F)"</definedName>
    <definedName name="Attenuation_F_243Col" hidden="1">35</definedName>
    <definedName name="Attenuation_F_257" hidden="1">"if((Attenuation_Half_Life_Species_8)&lt;&gt;?No Decay?, Ln(2.0) / ((Attenuation_Half_Life_Species_8) * s_per_day) ,0)"</definedName>
    <definedName name="Attenuation_F_257Col" hidden="1">35</definedName>
    <definedName name="Attenuation_F_26" hidden="1">"(Attenuation_Fraction_organic_carbon) * (Contaminants_Organic_carbon_water_partition_coefficient_Koc  Contaminants_Species1)"</definedName>
    <definedName name="Attenuation_F_26Col" hidden="1">35</definedName>
    <definedName name="Attenuation_F_33" hidden="1">"1 + 0.001 * (Attenuation_Partition_Coefficient_Kd_Species_1) * (Attenuation_Dry_bulk_density) / (Hydrogeology_Porosity    'Hydrogeology'!$F:$F)"</definedName>
    <definedName name="Attenuation_F_33Col" hidden="1">35</definedName>
    <definedName name="Attenuation_F_47" hidden="1">"if((Attenuation_Half_Life_Species_1)&lt;&gt;?No Decay?, Ln(2.0) / ((Attenuation_Half_Life_Species_1) * s_per_day) ,0)"</definedName>
    <definedName name="Attenuation_F_47Col" hidden="1">35</definedName>
    <definedName name="Attenuation_F_56" hidden="1">"(Attenuation_Fraction_organic_carbon) * (Contaminants_Organic_carbon_water_partition_coefficient_Koc  Contaminants_Species2)"</definedName>
    <definedName name="Attenuation_F_56Col" hidden="1">35</definedName>
    <definedName name="Attenuation_F_63" hidden="1">"1 + 0.001 * (Attenuation_Partition_Coefficient_Kd_Species_2) * (Attenuation_Dry_bulk_density) / (Hydrogeology_Porosity    'Hydrogeology'!$F:$F)"</definedName>
    <definedName name="Attenuation_F_63Col" hidden="1">35</definedName>
    <definedName name="Attenuation_F_77" hidden="1">"if((Attenuation_Half_Life_Species_2)&lt;&gt;?No Decay?, Ln(2.0) / ((Attenuation_Half_Life_Species_2) * s_per_day) ,0)"</definedName>
    <definedName name="Attenuation_F_77Col" hidden="1">35</definedName>
    <definedName name="Attenuation_F_86" hidden="1">"(Attenuation_Fraction_organic_carbon) * (Contaminants_Organic_carbon_water_partition_coefficient_Koc  Contaminants_Species3)"</definedName>
    <definedName name="Attenuation_F_86Col" hidden="1">35</definedName>
    <definedName name="Attenuation_F_93" hidden="1">"1 + 0.001 * (Attenuation_Partition_Coefficient_Kd_Species_3) * (Attenuation_Dry_bulk_density) / (Hydrogeology_Porosity    'Hydrogeology'!$F:$F)"</definedName>
    <definedName name="Attenuation_F_93Col" hidden="1">35</definedName>
    <definedName name="Attenuation_Fraction_organic_carbon">'Attenuation'!$14:$14</definedName>
    <definedName name="Attenuation_G_107" hidden="1">"if((Attenuation_Half_Life_Species_3)&lt;&gt;?No Decay?, Ln(2.0) / ((Attenuation_Half_Life_Species_3) * s_per_day) ,0)"</definedName>
    <definedName name="Attenuation_G_107Col" hidden="1">35</definedName>
    <definedName name="Attenuation_G_116" hidden="1">"(Attenuation_Fraction_organic_carbon) * (Contaminants_Organic_carbon_water_partition_coefficient_Koc  Contaminants_Species4)"</definedName>
    <definedName name="Attenuation_G_116Col" hidden="1">35</definedName>
    <definedName name="Attenuation_G_123" hidden="1">"1 + 0.001 * (Attenuation_Partition_Coefficient_Kd_Species_4) * (Attenuation_Dry_bulk_density) / (Hydrogeology_Porosity    'Hydrogeology'!$G:$G)"</definedName>
    <definedName name="Attenuation_G_123Col" hidden="1">35</definedName>
    <definedName name="Attenuation_G_137" hidden="1">"if((Attenuation_Half_Life_Species_4)&lt;&gt;?No Decay?, Ln(2.0) / ((Attenuation_Half_Life_Species_4) * s_per_day) ,0)"</definedName>
    <definedName name="Attenuation_G_137Col" hidden="1">35</definedName>
    <definedName name="Attenuation_G_146" hidden="1">"(Attenuation_Fraction_organic_carbon) * (Contaminants_Organic_carbon_water_partition_coefficient_Koc  Contaminants_Species5)"</definedName>
    <definedName name="Attenuation_G_146Col" hidden="1">35</definedName>
    <definedName name="Attenuation_G_153" hidden="1">"1 + 0.001 * (Attenuation_Partition_Coefficient_Kd_Species_5) * (Attenuation_Dry_bulk_density) / (Hydrogeology_Porosity    'Hydrogeology'!$G:$G)"</definedName>
    <definedName name="Attenuation_G_153Col" hidden="1">35</definedName>
    <definedName name="Attenuation_G_167" hidden="1">"if((Attenuation_Half_Life_Species_5)&lt;&gt;?No Decay?, Ln(2.0) / ((Attenuation_Half_Life_Species_5) * s_per_day) ,0)"</definedName>
    <definedName name="Attenuation_G_167Col" hidden="1">35</definedName>
    <definedName name="Attenuation_G_176" hidden="1">"(Attenuation_Fraction_organic_carbon) * (Contaminants_Organic_carbon_water_partition_coefficient_Koc  Contaminants_Species6)"</definedName>
    <definedName name="Attenuation_G_176Col" hidden="1">35</definedName>
    <definedName name="Attenuation_G_183" hidden="1">"1 + 0.001 * (Attenuation_Partition_Coefficient_Kd_Species_6) * (Attenuation_Dry_bulk_density) / (Hydrogeology_Porosity    'Hydrogeology'!$G:$G)"</definedName>
    <definedName name="Attenuation_G_183Col" hidden="1">35</definedName>
    <definedName name="Attenuation_G_197" hidden="1">"if((Attenuation_Half_Life_Species_6)&lt;&gt;?No Decay?, Ln(2.0) / ((Attenuation_Half_Life_Species_6) * s_per_day) ,0)"</definedName>
    <definedName name="Attenuation_G_197Col" hidden="1">35</definedName>
    <definedName name="Attenuation_G_206" hidden="1">"(Attenuation_Fraction_organic_carbon) * (Contaminants_Organic_carbon_water_partition_coefficient_Koc  Contaminants_Species7)"</definedName>
    <definedName name="Attenuation_G_206Col" hidden="1">35</definedName>
    <definedName name="Attenuation_G_213" hidden="1">"1 + 0.001 * (Attenuation_Partition_Coefficient_Kd_Species_7) * (Attenuation_Dry_bulk_density) / (Hydrogeology_Porosity    'Hydrogeology'!$G:$G)"</definedName>
    <definedName name="Attenuation_G_213Col" hidden="1">35</definedName>
    <definedName name="Attenuation_G_227" hidden="1">"if((Attenuation_Half_Life_Species_7)&lt;&gt;?No Decay?, Ln(2.0) / ((Attenuation_Half_Life_Species_7) * s_per_day) ,0)"</definedName>
    <definedName name="Attenuation_G_227Col" hidden="1">35</definedName>
    <definedName name="Attenuation_G_236" hidden="1">"(Attenuation_Fraction_organic_carbon) * (Contaminants_Organic_carbon_water_partition_coefficient_Koc  Contaminants_Species8)"</definedName>
    <definedName name="Attenuation_G_236Col" hidden="1">35</definedName>
    <definedName name="Attenuation_G_243" hidden="1">"1 + 0.001 * (Attenuation_Partition_Coefficient_Kd_Species_8) * (Attenuation_Dry_bulk_density) / (Hydrogeology_Porosity    'Hydrogeology'!$G:$G)"</definedName>
    <definedName name="Attenuation_G_243Col" hidden="1">35</definedName>
    <definedName name="Attenuation_G_257" hidden="1">"if((Attenuation_Half_Life_Species_8)&lt;&gt;?No Decay?, Ln(2.0) / ((Attenuation_Half_Life_Species_8) * s_per_day) ,0)"</definedName>
    <definedName name="Attenuation_G_257Col" hidden="1">35</definedName>
    <definedName name="Attenuation_G_26" hidden="1">"(Attenuation_Fraction_organic_carbon) * (Contaminants_Organic_carbon_water_partition_coefficient_Koc  Contaminants_Species1)"</definedName>
    <definedName name="Attenuation_G_26Col" hidden="1">35</definedName>
    <definedName name="Attenuation_G_33" hidden="1">"1 + 0.001 * (Attenuation_Partition_Coefficient_Kd_Species_1) * (Attenuation_Dry_bulk_density) / (Hydrogeology_Porosity    'Hydrogeology'!$G:$G)"</definedName>
    <definedName name="Attenuation_G_33Col" hidden="1">35</definedName>
    <definedName name="Attenuation_G_47" hidden="1">"if((Attenuation_Half_Life_Species_1)&lt;&gt;?No Decay?, Ln(2.0) / ((Attenuation_Half_Life_Species_1) * s_per_day) ,0)"</definedName>
    <definedName name="Attenuation_G_47Col" hidden="1">35</definedName>
    <definedName name="Attenuation_G_56" hidden="1">"(Attenuation_Fraction_organic_carbon) * (Contaminants_Organic_carbon_water_partition_coefficient_Koc  Contaminants_Species2)"</definedName>
    <definedName name="Attenuation_G_56Col" hidden="1">35</definedName>
    <definedName name="Attenuation_G_63" hidden="1">"1 + 0.001 * (Attenuation_Partition_Coefficient_Kd_Species_2) * (Attenuation_Dry_bulk_density) / (Hydrogeology_Porosity    'Hydrogeology'!$G:$G)"</definedName>
    <definedName name="Attenuation_G_63Col" hidden="1">35</definedName>
    <definedName name="Attenuation_G_77" hidden="1">"if((Attenuation_Half_Life_Species_2)&lt;&gt;?No Decay?, Ln(2.0) / ((Attenuation_Half_Life_Species_2) * s_per_day) ,0)"</definedName>
    <definedName name="Attenuation_G_77Col" hidden="1">35</definedName>
    <definedName name="Attenuation_G_86" hidden="1">"(Attenuation_Fraction_organic_carbon) * (Contaminants_Organic_carbon_water_partition_coefficient_Koc  Contaminants_Species3)"</definedName>
    <definedName name="Attenuation_G_86Col" hidden="1">35</definedName>
    <definedName name="Attenuation_G_93" hidden="1">"1 + 0.001 * (Attenuation_Partition_Coefficient_Kd_Species_3) * (Attenuation_Dry_bulk_density) / (Hydrogeology_Porosity    'Hydrogeology'!$G:$G)"</definedName>
    <definedName name="Attenuation_G_93Col" hidden="1">35</definedName>
    <definedName name="Attenuation_H_107" hidden="1">"if((Attenuation_Half_Life_Species_3)&lt;&gt;?No Decay?, Ln(2.0) / ((Attenuation_Half_Life_Species_3) * s_per_day) ,0)"</definedName>
    <definedName name="Attenuation_H_107Col" hidden="1">35</definedName>
    <definedName name="Attenuation_H_116" hidden="1">"(Attenuation_Fraction_organic_carbon) * (Contaminants_Organic_carbon_water_partition_coefficient_Koc  Contaminants_Species4)"</definedName>
    <definedName name="Attenuation_H_116Col" hidden="1">35</definedName>
    <definedName name="Attenuation_H_123" hidden="1">"1 + 0.001 * (Attenuation_Partition_Coefficient_Kd_Species_4) * (Attenuation_Dry_bulk_density) / (Hydrogeology_Porosity    'Hydrogeology'!$H:$H)"</definedName>
    <definedName name="Attenuation_H_123Col" hidden="1">35</definedName>
    <definedName name="Attenuation_H_137" hidden="1">"if((Attenuation_Half_Life_Species_4)&lt;&gt;?No Decay?, Ln(2.0) / ((Attenuation_Half_Life_Species_4) * s_per_day) ,0)"</definedName>
    <definedName name="Attenuation_H_137Col" hidden="1">35</definedName>
    <definedName name="Attenuation_H_146" hidden="1">"(Attenuation_Fraction_organic_carbon) * (Contaminants_Organic_carbon_water_partition_coefficient_Koc  Contaminants_Species5)"</definedName>
    <definedName name="Attenuation_H_146Col" hidden="1">35</definedName>
    <definedName name="Attenuation_H_153" hidden="1">"1 + 0.001 * (Attenuation_Partition_Coefficient_Kd_Species_5) * (Attenuation_Dry_bulk_density) / (Hydrogeology_Porosity    'Hydrogeology'!$H:$H)"</definedName>
    <definedName name="Attenuation_H_153Col" hidden="1">35</definedName>
    <definedName name="Attenuation_H_167" hidden="1">"if((Attenuation_Half_Life_Species_5)&lt;&gt;?No Decay?, Ln(2.0) / ((Attenuation_Half_Life_Species_5) * s_per_day) ,0)"</definedName>
    <definedName name="Attenuation_H_167Col" hidden="1">35</definedName>
    <definedName name="Attenuation_H_176" hidden="1">"(Attenuation_Fraction_organic_carbon) * (Contaminants_Organic_carbon_water_partition_coefficient_Koc  Contaminants_Species6)"</definedName>
    <definedName name="Attenuation_H_176Col" hidden="1">35</definedName>
    <definedName name="Attenuation_H_183" hidden="1">"1 + 0.001 * (Attenuation_Partition_Coefficient_Kd_Species_6) * (Attenuation_Dry_bulk_density) / (Hydrogeology_Porosity    'Hydrogeology'!$H:$H)"</definedName>
    <definedName name="Attenuation_H_183Col" hidden="1">35</definedName>
    <definedName name="Attenuation_H_197" hidden="1">"if((Attenuation_Half_Life_Species_6)&lt;&gt;?No Decay?, Ln(2.0) / ((Attenuation_Half_Life_Species_6) * s_per_day) ,0)"</definedName>
    <definedName name="Attenuation_H_197Col" hidden="1">35</definedName>
    <definedName name="Attenuation_H_206" hidden="1">"(Attenuation_Fraction_organic_carbon) * (Contaminants_Organic_carbon_water_partition_coefficient_Koc  Contaminants_Species7)"</definedName>
    <definedName name="Attenuation_H_206Col" hidden="1">35</definedName>
    <definedName name="Attenuation_H_213" hidden="1">"1 + 0.001 * (Attenuation_Partition_Coefficient_Kd_Species_7) * (Attenuation_Dry_bulk_density) / (Hydrogeology_Porosity    'Hydrogeology'!$H:$H)"</definedName>
    <definedName name="Attenuation_H_213Col" hidden="1">35</definedName>
    <definedName name="Attenuation_H_227" hidden="1">"if((Attenuation_Half_Life_Species_7)&lt;&gt;?No Decay?, Ln(2.0) / ((Attenuation_Half_Life_Species_7) * s_per_day) ,0)"</definedName>
    <definedName name="Attenuation_H_227Col" hidden="1">35</definedName>
    <definedName name="Attenuation_H_236" hidden="1">"(Attenuation_Fraction_organic_carbon) * (Contaminants_Organic_carbon_water_partition_coefficient_Koc  Contaminants_Species8)"</definedName>
    <definedName name="Attenuation_H_236Col" hidden="1">35</definedName>
    <definedName name="Attenuation_H_243" hidden="1">"1 + 0.001 * (Attenuation_Partition_Coefficient_Kd_Species_8) * (Attenuation_Dry_bulk_density) / (Hydrogeology_Porosity    'Hydrogeology'!$H:$H)"</definedName>
    <definedName name="Attenuation_H_243Col" hidden="1">35</definedName>
    <definedName name="Attenuation_H_257" hidden="1">"if((Attenuation_Half_Life_Species_8)&lt;&gt;?No Decay?, Ln(2.0) / ((Attenuation_Half_Life_Species_8) * s_per_day) ,0)"</definedName>
    <definedName name="Attenuation_H_257Col" hidden="1">35</definedName>
    <definedName name="Attenuation_H_26" hidden="1">"(Attenuation_Fraction_organic_carbon) * (Contaminants_Organic_carbon_water_partition_coefficient_Koc  Contaminants_Species1)"</definedName>
    <definedName name="Attenuation_H_26Col" hidden="1">35</definedName>
    <definedName name="Attenuation_H_33" hidden="1">"1 + 0.001 * (Attenuation_Partition_Coefficient_Kd_Species_1) * (Attenuation_Dry_bulk_density) / (Hydrogeology_Porosity    'Hydrogeology'!$H:$H)"</definedName>
    <definedName name="Attenuation_H_33Col" hidden="1">35</definedName>
    <definedName name="Attenuation_H_47" hidden="1">"if((Attenuation_Half_Life_Species_1)&lt;&gt;?No Decay?, Ln(2.0) / ((Attenuation_Half_Life_Species_1) * s_per_day) ,0)"</definedName>
    <definedName name="Attenuation_H_47Col" hidden="1">35</definedName>
    <definedName name="Attenuation_H_56" hidden="1">"(Attenuation_Fraction_organic_carbon) * (Contaminants_Organic_carbon_water_partition_coefficient_Koc  Contaminants_Species2)"</definedName>
    <definedName name="Attenuation_H_56Col" hidden="1">35</definedName>
    <definedName name="Attenuation_H_63" hidden="1">"1 + 0.001 * (Attenuation_Partition_Coefficient_Kd_Species_2) * (Attenuation_Dry_bulk_density) / (Hydrogeology_Porosity    'Hydrogeology'!$H:$H)"</definedName>
    <definedName name="Attenuation_H_63Col" hidden="1">35</definedName>
    <definedName name="Attenuation_H_77" hidden="1">"if((Attenuation_Half_Life_Species_2)&lt;&gt;?No Decay?, Ln(2.0) / ((Attenuation_Half_Life_Species_2) * s_per_day) ,0)"</definedName>
    <definedName name="Attenuation_H_77Col" hidden="1">35</definedName>
    <definedName name="Attenuation_H_86" hidden="1">"(Attenuation_Fraction_organic_carbon) * (Contaminants_Organic_carbon_water_partition_coefficient_Koc  Contaminants_Species3)"</definedName>
    <definedName name="Attenuation_H_86Col" hidden="1">35</definedName>
    <definedName name="Attenuation_H_93" hidden="1">"1 + 0.001 * (Attenuation_Partition_Coefficient_Kd_Species_3) * (Attenuation_Dry_bulk_density) / (Hydrogeology_Porosity    'Hydrogeology'!$H:$H)"</definedName>
    <definedName name="Attenuation_H_93Col" hidden="1">35</definedName>
    <definedName name="Attenuation_Half_Life_Species_1">'Attenuation'!$40:$40</definedName>
    <definedName name="Attenuation_Half_Life_Species_2">'Attenuation'!$70:$70</definedName>
    <definedName name="Attenuation_Half_Life_Species_3">'Attenuation'!$100:$100</definedName>
    <definedName name="Attenuation_Half_Life_Species_4">'Attenuation'!$130:$130</definedName>
    <definedName name="Attenuation_Half_Life_Species_5">'Attenuation'!$160:$160</definedName>
    <definedName name="Attenuation_Half_Life_Species_6">'Attenuation'!$190:$190</definedName>
    <definedName name="Attenuation_Half_Life_Species_7">'Attenuation'!$220:$220</definedName>
    <definedName name="Attenuation_Half_Life_Species_8">'Attenuation'!$250:$250</definedName>
    <definedName name="Attenuation_I_107" hidden="1">"if((Attenuation_Half_Life_Species_3)&lt;&gt;?No Decay?, Ln(2.0) / ((Attenuation_Half_Life_Species_3) * s_per_day) ,0)"</definedName>
    <definedName name="Attenuation_I_107Col" hidden="1">35</definedName>
    <definedName name="Attenuation_I_116" hidden="1">"(Attenuation_Fraction_organic_carbon) * (Contaminants_Organic_carbon_water_partition_coefficient_Koc  Contaminants_Species4)"</definedName>
    <definedName name="Attenuation_I_116Col" hidden="1">35</definedName>
    <definedName name="Attenuation_I_123" hidden="1">"1 + 0.001 * (Attenuation_Partition_Coefficient_Kd_Species_4) * (Attenuation_Dry_bulk_density) / (Hydrogeology_Porosity    'Hydrogeology'!$I:$I)"</definedName>
    <definedName name="Attenuation_I_123Col" hidden="1">35</definedName>
    <definedName name="Attenuation_I_137" hidden="1">"if((Attenuation_Half_Life_Species_4)&lt;&gt;?No Decay?, Ln(2.0) / ((Attenuation_Half_Life_Species_4) * s_per_day) ,0)"</definedName>
    <definedName name="Attenuation_I_137Col" hidden="1">35</definedName>
    <definedName name="Attenuation_I_146" hidden="1">"(Attenuation_Fraction_organic_carbon) * (Contaminants_Organic_carbon_water_partition_coefficient_Koc  Contaminants_Species5)"</definedName>
    <definedName name="Attenuation_I_146Col" hidden="1">35</definedName>
    <definedName name="Attenuation_I_153" hidden="1">"1 + 0.001 * (Attenuation_Partition_Coefficient_Kd_Species_5) * (Attenuation_Dry_bulk_density) / (Hydrogeology_Porosity    'Hydrogeology'!$I:$I)"</definedName>
    <definedName name="Attenuation_I_153Col" hidden="1">35</definedName>
    <definedName name="Attenuation_I_167" hidden="1">"if((Attenuation_Half_Life_Species_5)&lt;&gt;?No Decay?, Ln(2.0) / ((Attenuation_Half_Life_Species_5) * s_per_day) ,0)"</definedName>
    <definedName name="Attenuation_I_167Col" hidden="1">35</definedName>
    <definedName name="Attenuation_I_176" hidden="1">"(Attenuation_Fraction_organic_carbon) * (Contaminants_Organic_carbon_water_partition_coefficient_Koc  Contaminants_Species6)"</definedName>
    <definedName name="Attenuation_I_176Col" hidden="1">35</definedName>
    <definedName name="Attenuation_I_183" hidden="1">"1 + 0.001 * (Attenuation_Partition_Coefficient_Kd_Species_6) * (Attenuation_Dry_bulk_density) / (Hydrogeology_Porosity    'Hydrogeology'!$I:$I)"</definedName>
    <definedName name="Attenuation_I_183Col" hidden="1">35</definedName>
    <definedName name="Attenuation_I_197" hidden="1">"if((Attenuation_Half_Life_Species_6)&lt;&gt;?No Decay?, Ln(2.0) / ((Attenuation_Half_Life_Species_6) * s_per_day) ,0)"</definedName>
    <definedName name="Attenuation_I_197Col" hidden="1">35</definedName>
    <definedName name="Attenuation_I_206" hidden="1">"(Attenuation_Fraction_organic_carbon) * (Contaminants_Organic_carbon_water_partition_coefficient_Koc  Contaminants_Species7)"</definedName>
    <definedName name="Attenuation_I_206Col" hidden="1">35</definedName>
    <definedName name="Attenuation_I_213" hidden="1">"1 + 0.001 * (Attenuation_Partition_Coefficient_Kd_Species_7) * (Attenuation_Dry_bulk_density) / (Hydrogeology_Porosity    'Hydrogeology'!$I:$I)"</definedName>
    <definedName name="Attenuation_I_213Col" hidden="1">35</definedName>
    <definedName name="Attenuation_I_227" hidden="1">"if((Attenuation_Half_Life_Species_7)&lt;&gt;?No Decay?, Ln(2.0) / ((Attenuation_Half_Life_Species_7) * s_per_day) ,0)"</definedName>
    <definedName name="Attenuation_I_227Col" hidden="1">35</definedName>
    <definedName name="Attenuation_I_236" hidden="1">"(Attenuation_Fraction_organic_carbon) * (Contaminants_Organic_carbon_water_partition_coefficient_Koc  Contaminants_Species8)"</definedName>
    <definedName name="Attenuation_I_236Col" hidden="1">35</definedName>
    <definedName name="Attenuation_I_243" hidden="1">"1 + 0.001 * (Attenuation_Partition_Coefficient_Kd_Species_8) * (Attenuation_Dry_bulk_density) / (Hydrogeology_Porosity    'Hydrogeology'!$I:$I)"</definedName>
    <definedName name="Attenuation_I_243Col" hidden="1">35</definedName>
    <definedName name="Attenuation_I_257" hidden="1">"if((Attenuation_Half_Life_Species_8)&lt;&gt;?No Decay?, Ln(2.0) / ((Attenuation_Half_Life_Species_8) * s_per_day) ,0)"</definedName>
    <definedName name="Attenuation_I_257Col" hidden="1">35</definedName>
    <definedName name="Attenuation_I_26" hidden="1">"(Attenuation_Fraction_organic_carbon) * (Contaminants_Organic_carbon_water_partition_coefficient_Koc  Contaminants_Species1)"</definedName>
    <definedName name="Attenuation_I_26Col" hidden="1">35</definedName>
    <definedName name="Attenuation_I_33" hidden="1">"1 + 0.001 * (Attenuation_Partition_Coefficient_Kd_Species_1) * (Attenuation_Dry_bulk_density) / (Hydrogeology_Porosity    'Hydrogeology'!$I:$I)"</definedName>
    <definedName name="Attenuation_I_33Col" hidden="1">35</definedName>
    <definedName name="Attenuation_I_47" hidden="1">"if((Attenuation_Half_Life_Species_1)&lt;&gt;?No Decay?, Ln(2.0) / ((Attenuation_Half_Life_Species_1) * s_per_day) ,0)"</definedName>
    <definedName name="Attenuation_I_47Col" hidden="1">35</definedName>
    <definedName name="Attenuation_I_56" hidden="1">"(Attenuation_Fraction_organic_carbon) * (Contaminants_Organic_carbon_water_partition_coefficient_Koc  Contaminants_Species2)"</definedName>
    <definedName name="Attenuation_I_56Col" hidden="1">35</definedName>
    <definedName name="Attenuation_I_63" hidden="1">"1 + 0.001 * (Attenuation_Partition_Coefficient_Kd_Species_2) * (Attenuation_Dry_bulk_density) / (Hydrogeology_Porosity    'Hydrogeology'!$I:$I)"</definedName>
    <definedName name="Attenuation_I_63Col" hidden="1">35</definedName>
    <definedName name="Attenuation_I_77" hidden="1">"if((Attenuation_Half_Life_Species_2)&lt;&gt;?No Decay?, Ln(2.0) / ((Attenuation_Half_Life_Species_2) * s_per_day) ,0)"</definedName>
    <definedName name="Attenuation_I_77Col" hidden="1">35</definedName>
    <definedName name="Attenuation_I_86" hidden="1">"(Attenuation_Fraction_organic_carbon) * (Contaminants_Organic_carbon_water_partition_coefficient_Koc  Contaminants_Species3)"</definedName>
    <definedName name="Attenuation_I_86Col" hidden="1">35</definedName>
    <definedName name="Attenuation_I_93" hidden="1">"1 + 0.001 * (Attenuation_Partition_Coefficient_Kd_Species_3) * (Attenuation_Dry_bulk_density) / (Hydrogeology_Porosity    'Hydrogeology'!$I:$I)"</definedName>
    <definedName name="Attenuation_I_93Col" hidden="1">35</definedName>
    <definedName name="Attenuation_J_107" hidden="1">"if((Attenuation_Half_Life_Species_3)&lt;&gt;?No Decay?, Ln(2.0) / ((Attenuation_Half_Life_Species_3) * s_per_day) ,0)"</definedName>
    <definedName name="Attenuation_J_107Col" hidden="1">35</definedName>
    <definedName name="Attenuation_J_116" hidden="1">"(Attenuation_Fraction_organic_carbon) * (Contaminants_Organic_carbon_water_partition_coefficient_Koc  Contaminants_Species4)"</definedName>
    <definedName name="Attenuation_J_116Col" hidden="1">35</definedName>
    <definedName name="Attenuation_J_123" hidden="1">"1 + 0.001 * (Attenuation_Partition_Coefficient_Kd_Species_4) * (Attenuation_Dry_bulk_density) / (Hydrogeology_Porosity    'Hydrogeology'!$J:$J)"</definedName>
    <definedName name="Attenuation_J_123Col" hidden="1">35</definedName>
    <definedName name="Attenuation_J_137" hidden="1">"if((Attenuation_Half_Life_Species_4)&lt;&gt;?No Decay?, Ln(2.0) / ((Attenuation_Half_Life_Species_4) * s_per_day) ,0)"</definedName>
    <definedName name="Attenuation_J_137Col" hidden="1">35</definedName>
    <definedName name="Attenuation_J_146" hidden="1">"(Attenuation_Fraction_organic_carbon) * (Contaminants_Organic_carbon_water_partition_coefficient_Koc  Contaminants_Species5)"</definedName>
    <definedName name="Attenuation_J_146Col" hidden="1">35</definedName>
    <definedName name="Attenuation_J_153" hidden="1">"1 + 0.001 * (Attenuation_Partition_Coefficient_Kd_Species_5) * (Attenuation_Dry_bulk_density) / (Hydrogeology_Porosity    'Hydrogeology'!$J:$J)"</definedName>
    <definedName name="Attenuation_J_153Col" hidden="1">35</definedName>
    <definedName name="Attenuation_J_167" hidden="1">"if((Attenuation_Half_Life_Species_5)&lt;&gt;?No Decay?, Ln(2.0) / ((Attenuation_Half_Life_Species_5) * s_per_day) ,0)"</definedName>
    <definedName name="Attenuation_J_167Col" hidden="1">35</definedName>
    <definedName name="Attenuation_J_176" hidden="1">"(Attenuation_Fraction_organic_carbon) * (Contaminants_Organic_carbon_water_partition_coefficient_Koc  Contaminants_Species6)"</definedName>
    <definedName name="Attenuation_J_176Col" hidden="1">35</definedName>
    <definedName name="Attenuation_J_183" hidden="1">"1 + 0.001 * (Attenuation_Partition_Coefficient_Kd_Species_6) * (Attenuation_Dry_bulk_density) / (Hydrogeology_Porosity    'Hydrogeology'!$J:$J)"</definedName>
    <definedName name="Attenuation_J_183Col" hidden="1">35</definedName>
    <definedName name="Attenuation_J_197" hidden="1">"if((Attenuation_Half_Life_Species_6)&lt;&gt;?No Decay?, Ln(2.0) / ((Attenuation_Half_Life_Species_6) * s_per_day) ,0)"</definedName>
    <definedName name="Attenuation_J_197Col" hidden="1">35</definedName>
    <definedName name="Attenuation_J_206" hidden="1">"(Attenuation_Fraction_organic_carbon) * (Contaminants_Organic_carbon_water_partition_coefficient_Koc  Contaminants_Species7)"</definedName>
    <definedName name="Attenuation_J_206Col" hidden="1">35</definedName>
    <definedName name="Attenuation_J_213" hidden="1">"1 + 0.001 * (Attenuation_Partition_Coefficient_Kd_Species_7) * (Attenuation_Dry_bulk_density) / (Hydrogeology_Porosity    'Hydrogeology'!$J:$J)"</definedName>
    <definedName name="Attenuation_J_213Col" hidden="1">35</definedName>
    <definedName name="Attenuation_J_227" hidden="1">"if((Attenuation_Half_Life_Species_7)&lt;&gt;?No Decay?, Ln(2.0) / ((Attenuation_Half_Life_Species_7) * s_per_day) ,0)"</definedName>
    <definedName name="Attenuation_J_227Col" hidden="1">35</definedName>
    <definedName name="Attenuation_J_236" hidden="1">"(Attenuation_Fraction_organic_carbon) * (Contaminants_Organic_carbon_water_partition_coefficient_Koc  Contaminants_Species8)"</definedName>
    <definedName name="Attenuation_J_236Col" hidden="1">35</definedName>
    <definedName name="Attenuation_J_243" hidden="1">"1 + 0.001 * (Attenuation_Partition_Coefficient_Kd_Species_8) * (Attenuation_Dry_bulk_density) / (Hydrogeology_Porosity    'Hydrogeology'!$J:$J)"</definedName>
    <definedName name="Attenuation_J_243Col" hidden="1">35</definedName>
    <definedName name="Attenuation_J_257" hidden="1">"if((Attenuation_Half_Life_Species_8)&lt;&gt;?No Decay?, Ln(2.0) / ((Attenuation_Half_Life_Species_8) * s_per_day) ,0)"</definedName>
    <definedName name="Attenuation_J_257Col" hidden="1">35</definedName>
    <definedName name="Attenuation_J_26" hidden="1">"(Attenuation_Fraction_organic_carbon) * (Contaminants_Organic_carbon_water_partition_coefficient_Koc  Contaminants_Species1)"</definedName>
    <definedName name="Attenuation_J_26Col" hidden="1">35</definedName>
    <definedName name="Attenuation_J_33" hidden="1">"1 + 0.001 * (Attenuation_Partition_Coefficient_Kd_Species_1) * (Attenuation_Dry_bulk_density) / (Hydrogeology_Porosity    'Hydrogeology'!$J:$J)"</definedName>
    <definedName name="Attenuation_J_33Col" hidden="1">35</definedName>
    <definedName name="Attenuation_J_47" hidden="1">"if((Attenuation_Half_Life_Species_1)&lt;&gt;?No Decay?, Ln(2.0) / ((Attenuation_Half_Life_Species_1) * s_per_day) ,0)"</definedName>
    <definedName name="Attenuation_J_47Col" hidden="1">35</definedName>
    <definedName name="Attenuation_J_56" hidden="1">"(Attenuation_Fraction_organic_carbon) * (Contaminants_Organic_carbon_water_partition_coefficient_Koc  Contaminants_Species2)"</definedName>
    <definedName name="Attenuation_J_56Col" hidden="1">35</definedName>
    <definedName name="Attenuation_J_63" hidden="1">"1 + 0.001 * (Attenuation_Partition_Coefficient_Kd_Species_2) * (Attenuation_Dry_bulk_density) / (Hydrogeology_Porosity    'Hydrogeology'!$J:$J)"</definedName>
    <definedName name="Attenuation_J_63Col" hidden="1">35</definedName>
    <definedName name="Attenuation_J_77" hidden="1">"if((Attenuation_Half_Life_Species_2)&lt;&gt;?No Decay?, Ln(2.0) / ((Attenuation_Half_Life_Species_2) * s_per_day) ,0)"</definedName>
    <definedName name="Attenuation_J_77Col" hidden="1">35</definedName>
    <definedName name="Attenuation_J_86" hidden="1">"(Attenuation_Fraction_organic_carbon) * (Contaminants_Organic_carbon_water_partition_coefficient_Koc  Contaminants_Species3)"</definedName>
    <definedName name="Attenuation_J_86Col" hidden="1">35</definedName>
    <definedName name="Attenuation_J_93" hidden="1">"1 + 0.001 * (Attenuation_Partition_Coefficient_Kd_Species_3) * (Attenuation_Dry_bulk_density) / (Hydrogeology_Porosity    'Hydrogeology'!$J:$J)"</definedName>
    <definedName name="Attenuation_J_93Col" hidden="1">35</definedName>
    <definedName name="Attenuation_K_107" hidden="1">"if((Attenuation_Half_Life_Species_3)&lt;&gt;?No Decay?, Ln(2.0) / ((Attenuation_Half_Life_Species_3) * s_per_day) ,0)"</definedName>
    <definedName name="Attenuation_K_107Col" hidden="1">35</definedName>
    <definedName name="Attenuation_K_116" hidden="1">"(Attenuation_Fraction_organic_carbon) * (Contaminants_Organic_carbon_water_partition_coefficient_Koc  Contaminants_Species4)"</definedName>
    <definedName name="Attenuation_K_116Col" hidden="1">35</definedName>
    <definedName name="Attenuation_K_123" hidden="1">"1 + 0.001 * (Attenuation_Partition_Coefficient_Kd_Species_4) * (Attenuation_Dry_bulk_density) / (Hydrogeology_Porosity    'Hydrogeology'!$K:$K)"</definedName>
    <definedName name="Attenuation_K_123Col" hidden="1">35</definedName>
    <definedName name="Attenuation_K_137" hidden="1">"if((Attenuation_Half_Life_Species_4)&lt;&gt;?No Decay?, Ln(2.0) / ((Attenuation_Half_Life_Species_4) * s_per_day) ,0)"</definedName>
    <definedName name="Attenuation_K_137Col" hidden="1">35</definedName>
    <definedName name="Attenuation_K_146" hidden="1">"(Attenuation_Fraction_organic_carbon) * (Contaminants_Organic_carbon_water_partition_coefficient_Koc  Contaminants_Species5)"</definedName>
    <definedName name="Attenuation_K_146Col" hidden="1">35</definedName>
    <definedName name="Attenuation_K_153" hidden="1">"1 + 0.001 * (Attenuation_Partition_Coefficient_Kd_Species_5) * (Attenuation_Dry_bulk_density) / (Hydrogeology_Porosity    'Hydrogeology'!$K:$K)"</definedName>
    <definedName name="Attenuation_K_153Col" hidden="1">35</definedName>
    <definedName name="Attenuation_K_167" hidden="1">"if((Attenuation_Half_Life_Species_5)&lt;&gt;?No Decay?, Ln(2.0) / ((Attenuation_Half_Life_Species_5) * s_per_day) ,0)"</definedName>
    <definedName name="Attenuation_K_167Col" hidden="1">35</definedName>
    <definedName name="Attenuation_K_176" hidden="1">"(Attenuation_Fraction_organic_carbon) * (Contaminants_Organic_carbon_water_partition_coefficient_Koc  Contaminants_Species6)"</definedName>
    <definedName name="Attenuation_K_176Col" hidden="1">35</definedName>
    <definedName name="Attenuation_K_183" hidden="1">"1 + 0.001 * (Attenuation_Partition_Coefficient_Kd_Species_6) * (Attenuation_Dry_bulk_density) / (Hydrogeology_Porosity    'Hydrogeology'!$K:$K)"</definedName>
    <definedName name="Attenuation_K_183Col" hidden="1">35</definedName>
    <definedName name="Attenuation_K_197" hidden="1">"if((Attenuation_Half_Life_Species_6)&lt;&gt;?No Decay?, Ln(2.0) / ((Attenuation_Half_Life_Species_6) * s_per_day) ,0)"</definedName>
    <definedName name="Attenuation_K_197Col" hidden="1">35</definedName>
    <definedName name="Attenuation_K_206" hidden="1">"(Attenuation_Fraction_organic_carbon) * (Contaminants_Organic_carbon_water_partition_coefficient_Koc  Contaminants_Species7)"</definedName>
    <definedName name="Attenuation_K_206Col" hidden="1">35</definedName>
    <definedName name="Attenuation_K_213" hidden="1">"1 + 0.001 * (Attenuation_Partition_Coefficient_Kd_Species_7) * (Attenuation_Dry_bulk_density) / (Hydrogeology_Porosity    'Hydrogeology'!$K:$K)"</definedName>
    <definedName name="Attenuation_K_213Col" hidden="1">35</definedName>
    <definedName name="Attenuation_K_227" hidden="1">"if((Attenuation_Half_Life_Species_7)&lt;&gt;?No Decay?, Ln(2.0) / ((Attenuation_Half_Life_Species_7) * s_per_day) ,0)"</definedName>
    <definedName name="Attenuation_K_227Col" hidden="1">35</definedName>
    <definedName name="Attenuation_K_236" hidden="1">"(Attenuation_Fraction_organic_carbon) * (Contaminants_Organic_carbon_water_partition_coefficient_Koc  Contaminants_Species8)"</definedName>
    <definedName name="Attenuation_K_236Col" hidden="1">35</definedName>
    <definedName name="Attenuation_K_243" hidden="1">"1 + 0.001 * (Attenuation_Partition_Coefficient_Kd_Species_8) * (Attenuation_Dry_bulk_density) / (Hydrogeology_Porosity    'Hydrogeology'!$K:$K)"</definedName>
    <definedName name="Attenuation_K_243Col" hidden="1">35</definedName>
    <definedName name="Attenuation_K_257" hidden="1">"if((Attenuation_Half_Life_Species_8)&lt;&gt;?No Decay?, Ln(2.0) / ((Attenuation_Half_Life_Species_8) * s_per_day) ,0)"</definedName>
    <definedName name="Attenuation_K_257Col" hidden="1">35</definedName>
    <definedName name="Attenuation_K_26" hidden="1">"(Attenuation_Fraction_organic_carbon) * (Contaminants_Organic_carbon_water_partition_coefficient_Koc  Contaminants_Species1)"</definedName>
    <definedName name="Attenuation_K_26Col" hidden="1">35</definedName>
    <definedName name="Attenuation_K_33" hidden="1">"1 + 0.001 * (Attenuation_Partition_Coefficient_Kd_Species_1) * (Attenuation_Dry_bulk_density) / (Hydrogeology_Porosity    'Hydrogeology'!$K:$K)"</definedName>
    <definedName name="Attenuation_K_33Col" hidden="1">35</definedName>
    <definedName name="Attenuation_K_47" hidden="1">"if((Attenuation_Half_Life_Species_1)&lt;&gt;?No Decay?, Ln(2.0) / ((Attenuation_Half_Life_Species_1) * s_per_day) ,0)"</definedName>
    <definedName name="Attenuation_K_47Col" hidden="1">35</definedName>
    <definedName name="Attenuation_K_56" hidden="1">"(Attenuation_Fraction_organic_carbon) * (Contaminants_Organic_carbon_water_partition_coefficient_Koc  Contaminants_Species2)"</definedName>
    <definedName name="Attenuation_K_56Col" hidden="1">35</definedName>
    <definedName name="Attenuation_K_63" hidden="1">"1 + 0.001 * (Attenuation_Partition_Coefficient_Kd_Species_2) * (Attenuation_Dry_bulk_density) / (Hydrogeology_Porosity    'Hydrogeology'!$K:$K)"</definedName>
    <definedName name="Attenuation_K_63Col" hidden="1">35</definedName>
    <definedName name="Attenuation_K_77" hidden="1">"if((Attenuation_Half_Life_Species_2)&lt;&gt;?No Decay?, Ln(2.0) / ((Attenuation_Half_Life_Species_2) * s_per_day) ,0)"</definedName>
    <definedName name="Attenuation_K_77Col" hidden="1">35</definedName>
    <definedName name="Attenuation_K_86" hidden="1">"(Attenuation_Fraction_organic_carbon) * (Contaminants_Organic_carbon_water_partition_coefficient_Koc  Contaminants_Species3)"</definedName>
    <definedName name="Attenuation_K_86Col" hidden="1">35</definedName>
    <definedName name="Attenuation_K_93" hidden="1">"1 + 0.001 * (Attenuation_Partition_Coefficient_Kd_Species_3) * (Attenuation_Dry_bulk_density) / (Hydrogeology_Porosity    'Hydrogeology'!$K:$K)"</definedName>
    <definedName name="Attenuation_K_93Col" hidden="1">35</definedName>
    <definedName name="Attenuation_L_107" hidden="1">"if((Attenuation_Half_Life_Species_3)&lt;&gt;?No Decay?, Ln(2.0) / ((Attenuation_Half_Life_Species_3) * s_per_day) ,0)"</definedName>
    <definedName name="Attenuation_L_107Col" hidden="1">35</definedName>
    <definedName name="Attenuation_L_116" hidden="1">"(Attenuation_Fraction_organic_carbon) * (Contaminants_Organic_carbon_water_partition_coefficient_Koc  Contaminants_Species4)"</definedName>
    <definedName name="Attenuation_L_116Col" hidden="1">35</definedName>
    <definedName name="Attenuation_L_123" hidden="1">"1 + 0.001 * (Attenuation_Partition_Coefficient_Kd_Species_4) * (Attenuation_Dry_bulk_density) / (Hydrogeology_Porosity    'Hydrogeology'!$L:$L)"</definedName>
    <definedName name="Attenuation_L_123Col" hidden="1">35</definedName>
    <definedName name="Attenuation_L_137" hidden="1">"if((Attenuation_Half_Life_Species_4)&lt;&gt;?No Decay?, Ln(2.0) / ((Attenuation_Half_Life_Species_4) * s_per_day) ,0)"</definedName>
    <definedName name="Attenuation_L_137Col" hidden="1">35</definedName>
    <definedName name="Attenuation_L_146" hidden="1">"(Attenuation_Fraction_organic_carbon) * (Contaminants_Organic_carbon_water_partition_coefficient_Koc  Contaminants_Species5)"</definedName>
    <definedName name="Attenuation_L_146Col" hidden="1">35</definedName>
    <definedName name="Attenuation_L_153" hidden="1">"1 + 0.001 * (Attenuation_Partition_Coefficient_Kd_Species_5) * (Attenuation_Dry_bulk_density) / (Hydrogeology_Porosity    'Hydrogeology'!$L:$L)"</definedName>
    <definedName name="Attenuation_L_153Col" hidden="1">35</definedName>
    <definedName name="Attenuation_L_167" hidden="1">"if((Attenuation_Half_Life_Species_5)&lt;&gt;?No Decay?, Ln(2.0) / ((Attenuation_Half_Life_Species_5) * s_per_day) ,0)"</definedName>
    <definedName name="Attenuation_L_167Col" hidden="1">35</definedName>
    <definedName name="Attenuation_L_176" hidden="1">"(Attenuation_Fraction_organic_carbon) * (Contaminants_Organic_carbon_water_partition_coefficient_Koc  Contaminants_Species6)"</definedName>
    <definedName name="Attenuation_L_176Col" hidden="1">35</definedName>
    <definedName name="Attenuation_L_183" hidden="1">"1 + 0.001 * (Attenuation_Partition_Coefficient_Kd_Species_6) * (Attenuation_Dry_bulk_density) / (Hydrogeology_Porosity    'Hydrogeology'!$L:$L)"</definedName>
    <definedName name="Attenuation_L_183Col" hidden="1">35</definedName>
    <definedName name="Attenuation_L_197" hidden="1">"if((Attenuation_Half_Life_Species_6)&lt;&gt;?No Decay?, Ln(2.0) / ((Attenuation_Half_Life_Species_6) * s_per_day) ,0)"</definedName>
    <definedName name="Attenuation_L_197Col" hidden="1">35</definedName>
    <definedName name="Attenuation_L_206" hidden="1">"(Attenuation_Fraction_organic_carbon) * (Contaminants_Organic_carbon_water_partition_coefficient_Koc  Contaminants_Species7)"</definedName>
    <definedName name="Attenuation_L_206Col" hidden="1">35</definedName>
    <definedName name="Attenuation_L_213" hidden="1">"1 + 0.001 * (Attenuation_Partition_Coefficient_Kd_Species_7) * (Attenuation_Dry_bulk_density) / (Hydrogeology_Porosity    'Hydrogeology'!$L:$L)"</definedName>
    <definedName name="Attenuation_L_213Col" hidden="1">35</definedName>
    <definedName name="Attenuation_L_227" hidden="1">"if((Attenuation_Half_Life_Species_7)&lt;&gt;?No Decay?, Ln(2.0) / ((Attenuation_Half_Life_Species_7) * s_per_day) ,0)"</definedName>
    <definedName name="Attenuation_L_227Col" hidden="1">35</definedName>
    <definedName name="Attenuation_L_236" hidden="1">"(Attenuation_Fraction_organic_carbon) * (Contaminants_Organic_carbon_water_partition_coefficient_Koc  Contaminants_Species8)"</definedName>
    <definedName name="Attenuation_L_236Col" hidden="1">35</definedName>
    <definedName name="Attenuation_L_243" hidden="1">"1 + 0.001 * (Attenuation_Partition_Coefficient_Kd_Species_8) * (Attenuation_Dry_bulk_density) / (Hydrogeology_Porosity    'Hydrogeology'!$L:$L)"</definedName>
    <definedName name="Attenuation_L_243Col" hidden="1">35</definedName>
    <definedName name="Attenuation_L_257" hidden="1">"if((Attenuation_Half_Life_Species_8)&lt;&gt;?No Decay?, Ln(2.0) / ((Attenuation_Half_Life_Species_8) * s_per_day) ,0)"</definedName>
    <definedName name="Attenuation_L_257Col" hidden="1">35</definedName>
    <definedName name="Attenuation_L_26" hidden="1">"(Attenuation_Fraction_organic_carbon) * (Contaminants_Organic_carbon_water_partition_coefficient_Koc  Contaminants_Species1)"</definedName>
    <definedName name="Attenuation_L_26Col" hidden="1">35</definedName>
    <definedName name="Attenuation_L_33" hidden="1">"1 + 0.001 * (Attenuation_Partition_Coefficient_Kd_Species_1) * (Attenuation_Dry_bulk_density) / (Hydrogeology_Porosity    'Hydrogeology'!$L:$L)"</definedName>
    <definedName name="Attenuation_L_33Col" hidden="1">35</definedName>
    <definedName name="Attenuation_L_47" hidden="1">"if((Attenuation_Half_Life_Species_1)&lt;&gt;?No Decay?, Ln(2.0) / ((Attenuation_Half_Life_Species_1) * s_per_day) ,0)"</definedName>
    <definedName name="Attenuation_L_47Col" hidden="1">35</definedName>
    <definedName name="Attenuation_L_56" hidden="1">"(Attenuation_Fraction_organic_carbon) * (Contaminants_Organic_carbon_water_partition_coefficient_Koc  Contaminants_Species2)"</definedName>
    <definedName name="Attenuation_L_56Col" hidden="1">35</definedName>
    <definedName name="Attenuation_L_63" hidden="1">"1 + 0.001 * (Attenuation_Partition_Coefficient_Kd_Species_2) * (Attenuation_Dry_bulk_density) / (Hydrogeology_Porosity    'Hydrogeology'!$L:$L)"</definedName>
    <definedName name="Attenuation_L_63Col" hidden="1">35</definedName>
    <definedName name="Attenuation_L_77" hidden="1">"if((Attenuation_Half_Life_Species_2)&lt;&gt;?No Decay?, Ln(2.0) / ((Attenuation_Half_Life_Species_2) * s_per_day) ,0)"</definedName>
    <definedName name="Attenuation_L_77Col" hidden="1">35</definedName>
    <definedName name="Attenuation_L_86" hidden="1">"(Attenuation_Fraction_organic_carbon) * (Contaminants_Organic_carbon_water_partition_coefficient_Koc  Contaminants_Species3)"</definedName>
    <definedName name="Attenuation_L_86Col" hidden="1">35</definedName>
    <definedName name="Attenuation_L_93" hidden="1">"1 + 0.001 * (Attenuation_Partition_Coefficient_Kd_Species_3) * (Attenuation_Dry_bulk_density) / (Hydrogeology_Porosity    'Hydrogeology'!$L:$L)"</definedName>
    <definedName name="Attenuation_L_93Col" hidden="1">35</definedName>
    <definedName name="Attenuation_M_107" hidden="1">"if((Attenuation_Half_Life_Species_3)&lt;&gt;?No Decay?, Ln(2.0) / ((Attenuation_Half_Life_Species_3) * s_per_day) ,0)"</definedName>
    <definedName name="Attenuation_M_107Col" hidden="1">35</definedName>
    <definedName name="Attenuation_M_116" hidden="1">"(Attenuation_Fraction_organic_carbon) * (Contaminants_Organic_carbon_water_partition_coefficient_Koc  Contaminants_Species4)"</definedName>
    <definedName name="Attenuation_M_116Col" hidden="1">35</definedName>
    <definedName name="Attenuation_M_123" hidden="1">"1 + 0.001 * (Attenuation_Partition_Coefficient_Kd_Species_4) * (Attenuation_Dry_bulk_density) / (Hydrogeology_Porosity    'Hydrogeology'!$M:$M)"</definedName>
    <definedName name="Attenuation_M_123Col" hidden="1">35</definedName>
    <definedName name="Attenuation_M_137" hidden="1">"if((Attenuation_Half_Life_Species_4)&lt;&gt;?No Decay?, Ln(2.0) / ((Attenuation_Half_Life_Species_4) * s_per_day) ,0)"</definedName>
    <definedName name="Attenuation_M_137Col" hidden="1">35</definedName>
    <definedName name="Attenuation_M_146" hidden="1">"(Attenuation_Fraction_organic_carbon) * (Contaminants_Organic_carbon_water_partition_coefficient_Koc  Contaminants_Species5)"</definedName>
    <definedName name="Attenuation_M_146Col" hidden="1">35</definedName>
    <definedName name="Attenuation_M_153" hidden="1">"1 + 0.001 * (Attenuation_Partition_Coefficient_Kd_Species_5) * (Attenuation_Dry_bulk_density) / (Hydrogeology_Porosity    'Hydrogeology'!$M:$M)"</definedName>
    <definedName name="Attenuation_M_153Col" hidden="1">35</definedName>
    <definedName name="Attenuation_M_167" hidden="1">"if((Attenuation_Half_Life_Species_5)&lt;&gt;?No Decay?, Ln(2.0) / ((Attenuation_Half_Life_Species_5) * s_per_day) ,0)"</definedName>
    <definedName name="Attenuation_M_167Col" hidden="1">35</definedName>
    <definedName name="Attenuation_M_176" hidden="1">"(Attenuation_Fraction_organic_carbon) * (Contaminants_Organic_carbon_water_partition_coefficient_Koc  Contaminants_Species6)"</definedName>
    <definedName name="Attenuation_M_176Col" hidden="1">35</definedName>
    <definedName name="Attenuation_M_183" hidden="1">"1 + 0.001 * (Attenuation_Partition_Coefficient_Kd_Species_6) * (Attenuation_Dry_bulk_density) / (Hydrogeology_Porosity    'Hydrogeology'!$M:$M)"</definedName>
    <definedName name="Attenuation_M_183Col" hidden="1">35</definedName>
    <definedName name="Attenuation_M_197" hidden="1">"if((Attenuation_Half_Life_Species_6)&lt;&gt;?No Decay?, Ln(2.0) / ((Attenuation_Half_Life_Species_6) * s_per_day) ,0)"</definedName>
    <definedName name="Attenuation_M_197Col" hidden="1">35</definedName>
    <definedName name="Attenuation_M_206" hidden="1">"(Attenuation_Fraction_organic_carbon) * (Contaminants_Organic_carbon_water_partition_coefficient_Koc  Contaminants_Species7)"</definedName>
    <definedName name="Attenuation_M_206Col" hidden="1">35</definedName>
    <definedName name="Attenuation_M_213" hidden="1">"1 + 0.001 * (Attenuation_Partition_Coefficient_Kd_Species_7) * (Attenuation_Dry_bulk_density) / (Hydrogeology_Porosity    'Hydrogeology'!$M:$M)"</definedName>
    <definedName name="Attenuation_M_213Col" hidden="1">35</definedName>
    <definedName name="Attenuation_M_227" hidden="1">"if((Attenuation_Half_Life_Species_7)&lt;&gt;?No Decay?, Ln(2.0) / ((Attenuation_Half_Life_Species_7) * s_per_day) ,0)"</definedName>
    <definedName name="Attenuation_M_227Col" hidden="1">35</definedName>
    <definedName name="Attenuation_M_236" hidden="1">"(Attenuation_Fraction_organic_carbon) * (Contaminants_Organic_carbon_water_partition_coefficient_Koc  Contaminants_Species8)"</definedName>
    <definedName name="Attenuation_M_236Col" hidden="1">35</definedName>
    <definedName name="Attenuation_M_243" hidden="1">"1 + 0.001 * (Attenuation_Partition_Coefficient_Kd_Species_8) * (Attenuation_Dry_bulk_density) / (Hydrogeology_Porosity    'Hydrogeology'!$M:$M)"</definedName>
    <definedName name="Attenuation_M_243Col" hidden="1">35</definedName>
    <definedName name="Attenuation_M_257" hidden="1">"if((Attenuation_Half_Life_Species_8)&lt;&gt;?No Decay?, Ln(2.0) / ((Attenuation_Half_Life_Species_8) * s_per_day) ,0)"</definedName>
    <definedName name="Attenuation_M_257Col" hidden="1">35</definedName>
    <definedName name="Attenuation_M_26" hidden="1">"(Attenuation_Fraction_organic_carbon) * (Contaminants_Organic_carbon_water_partition_coefficient_Koc  Contaminants_Species1)"</definedName>
    <definedName name="Attenuation_M_26Col" hidden="1">35</definedName>
    <definedName name="Attenuation_M_33" hidden="1">"1 + 0.001 * (Attenuation_Partition_Coefficient_Kd_Species_1) * (Attenuation_Dry_bulk_density) / (Hydrogeology_Porosity    'Hydrogeology'!$M:$M)"</definedName>
    <definedName name="Attenuation_M_33Col" hidden="1">35</definedName>
    <definedName name="Attenuation_M_47" hidden="1">"if((Attenuation_Half_Life_Species_1)&lt;&gt;?No Decay?, Ln(2.0) / ((Attenuation_Half_Life_Species_1) * s_per_day) ,0)"</definedName>
    <definedName name="Attenuation_M_47Col" hidden="1">35</definedName>
    <definedName name="Attenuation_M_56" hidden="1">"(Attenuation_Fraction_organic_carbon) * (Contaminants_Organic_carbon_water_partition_coefficient_Koc  Contaminants_Species2)"</definedName>
    <definedName name="Attenuation_M_56Col" hidden="1">35</definedName>
    <definedName name="Attenuation_M_63" hidden="1">"1 + 0.001 * (Attenuation_Partition_Coefficient_Kd_Species_2) * (Attenuation_Dry_bulk_density) / (Hydrogeology_Porosity    'Hydrogeology'!$M:$M)"</definedName>
    <definedName name="Attenuation_M_63Col" hidden="1">35</definedName>
    <definedName name="Attenuation_M_77" hidden="1">"if((Attenuation_Half_Life_Species_2)&lt;&gt;?No Decay?, Ln(2.0) / ((Attenuation_Half_Life_Species_2) * s_per_day) ,0)"</definedName>
    <definedName name="Attenuation_M_77Col" hidden="1">35</definedName>
    <definedName name="Attenuation_M_86" hidden="1">"(Attenuation_Fraction_organic_carbon) * (Contaminants_Organic_carbon_water_partition_coefficient_Koc  Contaminants_Species3)"</definedName>
    <definedName name="Attenuation_M_86Col" hidden="1">35</definedName>
    <definedName name="Attenuation_M_93" hidden="1">"1 + 0.001 * (Attenuation_Partition_Coefficient_Kd_Species_3) * (Attenuation_Dry_bulk_density) / (Hydrogeology_Porosity    'Hydrogeology'!$M:$M)"</definedName>
    <definedName name="Attenuation_M_93Col" hidden="1">35</definedName>
    <definedName name="Attenuation_N_107" hidden="1">"if((Attenuation_Half_Life_Species_3)&lt;&gt;?No Decay?, Ln(2.0) / ((Attenuation_Half_Life_Species_3) * s_per_day) ,0)"</definedName>
    <definedName name="Attenuation_N_107Col" hidden="1">35</definedName>
    <definedName name="Attenuation_N_116" hidden="1">"(Attenuation_Fraction_organic_carbon) * (Contaminants_Organic_carbon_water_partition_coefficient_Koc  Contaminants_Species4)"</definedName>
    <definedName name="Attenuation_N_116Col" hidden="1">35</definedName>
    <definedName name="Attenuation_N_123" hidden="1">"1 + 0.001 * (Attenuation_Partition_Coefficient_Kd_Species_4) * (Attenuation_Dry_bulk_density) / (Hydrogeology_Porosity    'Hydrogeology'!$N:$N)"</definedName>
    <definedName name="Attenuation_N_123Col" hidden="1">35</definedName>
    <definedName name="Attenuation_N_137" hidden="1">"if((Attenuation_Half_Life_Species_4)&lt;&gt;?No Decay?, Ln(2.0) / ((Attenuation_Half_Life_Species_4) * s_per_day) ,0)"</definedName>
    <definedName name="Attenuation_N_137Col" hidden="1">35</definedName>
    <definedName name="Attenuation_N_146" hidden="1">"(Attenuation_Fraction_organic_carbon) * (Contaminants_Organic_carbon_water_partition_coefficient_Koc  Contaminants_Species5)"</definedName>
    <definedName name="Attenuation_N_146Col" hidden="1">35</definedName>
    <definedName name="Attenuation_N_153" hidden="1">"1 + 0.001 * (Attenuation_Partition_Coefficient_Kd_Species_5) * (Attenuation_Dry_bulk_density) / (Hydrogeology_Porosity    'Hydrogeology'!$N:$N)"</definedName>
    <definedName name="Attenuation_N_153Col" hidden="1">35</definedName>
    <definedName name="Attenuation_N_167" hidden="1">"if((Attenuation_Half_Life_Species_5)&lt;&gt;?No Decay?, Ln(2.0) / ((Attenuation_Half_Life_Species_5) * s_per_day) ,0)"</definedName>
    <definedName name="Attenuation_N_167Col" hidden="1">35</definedName>
    <definedName name="Attenuation_N_176" hidden="1">"(Attenuation_Fraction_organic_carbon) * (Contaminants_Organic_carbon_water_partition_coefficient_Koc  Contaminants_Species6)"</definedName>
    <definedName name="Attenuation_N_176Col" hidden="1">35</definedName>
    <definedName name="Attenuation_N_183" hidden="1">"1 + 0.001 * (Attenuation_Partition_Coefficient_Kd_Species_6) * (Attenuation_Dry_bulk_density) / (Hydrogeology_Porosity    'Hydrogeology'!$N:$N)"</definedName>
    <definedName name="Attenuation_N_183Col" hidden="1">35</definedName>
    <definedName name="Attenuation_N_197" hidden="1">"if((Attenuation_Half_Life_Species_6)&lt;&gt;?No Decay?, Ln(2.0) / ((Attenuation_Half_Life_Species_6) * s_per_day) ,0)"</definedName>
    <definedName name="Attenuation_N_197Col" hidden="1">35</definedName>
    <definedName name="Attenuation_N_206" hidden="1">"(Attenuation_Fraction_organic_carbon) * (Contaminants_Organic_carbon_water_partition_coefficient_Koc  Contaminants_Species7)"</definedName>
    <definedName name="Attenuation_N_206Col" hidden="1">35</definedName>
    <definedName name="Attenuation_N_213" hidden="1">"1 + 0.001 * (Attenuation_Partition_Coefficient_Kd_Species_7) * (Attenuation_Dry_bulk_density) / (Hydrogeology_Porosity    'Hydrogeology'!$N:$N)"</definedName>
    <definedName name="Attenuation_N_213Col" hidden="1">35</definedName>
    <definedName name="Attenuation_N_227" hidden="1">"if((Attenuation_Half_Life_Species_7)&lt;&gt;?No Decay?, Ln(2.0) / ((Attenuation_Half_Life_Species_7) * s_per_day) ,0)"</definedName>
    <definedName name="Attenuation_N_227Col" hidden="1">35</definedName>
    <definedName name="Attenuation_N_236" hidden="1">"(Attenuation_Fraction_organic_carbon) * (Contaminants_Organic_carbon_water_partition_coefficient_Koc  Contaminants_Species8)"</definedName>
    <definedName name="Attenuation_N_236Col" hidden="1">35</definedName>
    <definedName name="Attenuation_N_243" hidden="1">"1 + 0.001 * (Attenuation_Partition_Coefficient_Kd_Species_8) * (Attenuation_Dry_bulk_density) / (Hydrogeology_Porosity    'Hydrogeology'!$N:$N)"</definedName>
    <definedName name="Attenuation_N_243Col" hidden="1">35</definedName>
    <definedName name="Attenuation_N_257" hidden="1">"if((Attenuation_Half_Life_Species_8)&lt;&gt;?No Decay?, Ln(2.0) / ((Attenuation_Half_Life_Species_8) * s_per_day) ,0)"</definedName>
    <definedName name="Attenuation_N_257Col" hidden="1">35</definedName>
    <definedName name="Attenuation_N_26" hidden="1">"(Attenuation_Fraction_organic_carbon) * (Contaminants_Organic_carbon_water_partition_coefficient_Koc  Contaminants_Species1)"</definedName>
    <definedName name="Attenuation_N_26Col" hidden="1">35</definedName>
    <definedName name="Attenuation_N_33" hidden="1">"1 + 0.001 * (Attenuation_Partition_Coefficient_Kd_Species_1) * (Attenuation_Dry_bulk_density) / (Hydrogeology_Porosity    'Hydrogeology'!$N:$N)"</definedName>
    <definedName name="Attenuation_N_33Col" hidden="1">35</definedName>
    <definedName name="Attenuation_N_47" hidden="1">"if((Attenuation_Half_Life_Species_1)&lt;&gt;?No Decay?, Ln(2.0) / ((Attenuation_Half_Life_Species_1) * s_per_day) ,0)"</definedName>
    <definedName name="Attenuation_N_47Col" hidden="1">35</definedName>
    <definedName name="Attenuation_N_56" hidden="1">"(Attenuation_Fraction_organic_carbon) * (Contaminants_Organic_carbon_water_partition_coefficient_Koc  Contaminants_Species2)"</definedName>
    <definedName name="Attenuation_N_56Col" hidden="1">35</definedName>
    <definedName name="Attenuation_N_63" hidden="1">"1 + 0.001 * (Attenuation_Partition_Coefficient_Kd_Species_2) * (Attenuation_Dry_bulk_density) / (Hydrogeology_Porosity    'Hydrogeology'!$N:$N)"</definedName>
    <definedName name="Attenuation_N_63Col" hidden="1">35</definedName>
    <definedName name="Attenuation_N_77" hidden="1">"if((Attenuation_Half_Life_Species_2)&lt;&gt;?No Decay?, Ln(2.0) / ((Attenuation_Half_Life_Species_2) * s_per_day) ,0)"</definedName>
    <definedName name="Attenuation_N_77Col" hidden="1">35</definedName>
    <definedName name="Attenuation_N_86" hidden="1">"(Attenuation_Fraction_organic_carbon) * (Contaminants_Organic_carbon_water_partition_coefficient_Koc  Contaminants_Species3)"</definedName>
    <definedName name="Attenuation_N_86Col" hidden="1">35</definedName>
    <definedName name="Attenuation_N_93" hidden="1">"1 + 0.001 * (Attenuation_Partition_Coefficient_Kd_Species_3) * (Attenuation_Dry_bulk_density) / (Hydrogeology_Porosity    'Hydrogeology'!$N:$N)"</definedName>
    <definedName name="Attenuation_N_93Col" hidden="1">35</definedName>
    <definedName name="Attenuation_O_107" hidden="1">"if((Attenuation_Half_Life_Species_3)&lt;&gt;?No Decay?, Ln(2.0) / ((Attenuation_Half_Life_Species_3) * s_per_day) ,0)"</definedName>
    <definedName name="Attenuation_O_107Col" hidden="1">35</definedName>
    <definedName name="Attenuation_O_116" hidden="1">"(Attenuation_Fraction_organic_carbon) * (Contaminants_Organic_carbon_water_partition_coefficient_Koc  Contaminants_Species4)"</definedName>
    <definedName name="Attenuation_O_116Col" hidden="1">35</definedName>
    <definedName name="Attenuation_O_123" hidden="1">"1 + 0.001 * (Attenuation_Partition_Coefficient_Kd_Species_4) * (Attenuation_Dry_bulk_density) / (Hydrogeology_Porosity    'Hydrogeology'!$O:$O)"</definedName>
    <definedName name="Attenuation_O_123Col" hidden="1">35</definedName>
    <definedName name="Attenuation_O_137" hidden="1">"if((Attenuation_Half_Life_Species_4)&lt;&gt;?No Decay?, Ln(2.0) / ((Attenuation_Half_Life_Species_4) * s_per_day) ,0)"</definedName>
    <definedName name="Attenuation_O_137Col" hidden="1">35</definedName>
    <definedName name="Attenuation_O_146" hidden="1">"(Attenuation_Fraction_organic_carbon) * (Contaminants_Organic_carbon_water_partition_coefficient_Koc  Contaminants_Species5)"</definedName>
    <definedName name="Attenuation_O_146Col" hidden="1">35</definedName>
    <definedName name="Attenuation_O_153" hidden="1">"1 + 0.001 * (Attenuation_Partition_Coefficient_Kd_Species_5) * (Attenuation_Dry_bulk_density) / (Hydrogeology_Porosity    'Hydrogeology'!$O:$O)"</definedName>
    <definedName name="Attenuation_O_153Col" hidden="1">35</definedName>
    <definedName name="Attenuation_O_167" hidden="1">"if((Attenuation_Half_Life_Species_5)&lt;&gt;?No Decay?, Ln(2.0) / ((Attenuation_Half_Life_Species_5) * s_per_day) ,0)"</definedName>
    <definedName name="Attenuation_O_167Col" hidden="1">35</definedName>
    <definedName name="Attenuation_O_176" hidden="1">"(Attenuation_Fraction_organic_carbon) * (Contaminants_Organic_carbon_water_partition_coefficient_Koc  Contaminants_Species6)"</definedName>
    <definedName name="Attenuation_O_176Col" hidden="1">35</definedName>
    <definedName name="Attenuation_O_183" hidden="1">"1 + 0.001 * (Attenuation_Partition_Coefficient_Kd_Species_6) * (Attenuation_Dry_bulk_density) / (Hydrogeology_Porosity    'Hydrogeology'!$O:$O)"</definedName>
    <definedName name="Attenuation_O_183Col" hidden="1">35</definedName>
    <definedName name="Attenuation_O_197" hidden="1">"if((Attenuation_Half_Life_Species_6)&lt;&gt;?No Decay?, Ln(2.0) / ((Attenuation_Half_Life_Species_6) * s_per_day) ,0)"</definedName>
    <definedName name="Attenuation_O_197Col" hidden="1">35</definedName>
    <definedName name="Attenuation_O_206" hidden="1">"(Attenuation_Fraction_organic_carbon) * (Contaminants_Organic_carbon_water_partition_coefficient_Koc  Contaminants_Species7)"</definedName>
    <definedName name="Attenuation_O_206Col" hidden="1">35</definedName>
    <definedName name="Attenuation_O_213" hidden="1">"1 + 0.001 * (Attenuation_Partition_Coefficient_Kd_Species_7) * (Attenuation_Dry_bulk_density) / (Hydrogeology_Porosity    'Hydrogeology'!$O:$O)"</definedName>
    <definedName name="Attenuation_O_213Col" hidden="1">35</definedName>
    <definedName name="Attenuation_O_227" hidden="1">"if((Attenuation_Half_Life_Species_7)&lt;&gt;?No Decay?, Ln(2.0) / ((Attenuation_Half_Life_Species_7) * s_per_day) ,0)"</definedName>
    <definedName name="Attenuation_O_227Col" hidden="1">35</definedName>
    <definedName name="Attenuation_O_236" hidden="1">"(Attenuation_Fraction_organic_carbon) * (Contaminants_Organic_carbon_water_partition_coefficient_Koc  Contaminants_Species8)"</definedName>
    <definedName name="Attenuation_O_236Col" hidden="1">35</definedName>
    <definedName name="Attenuation_O_243" hidden="1">"1 + 0.001 * (Attenuation_Partition_Coefficient_Kd_Species_8) * (Attenuation_Dry_bulk_density) / (Hydrogeology_Porosity    'Hydrogeology'!$O:$O)"</definedName>
    <definedName name="Attenuation_O_243Col" hidden="1">35</definedName>
    <definedName name="Attenuation_O_257" hidden="1">"if((Attenuation_Half_Life_Species_8)&lt;&gt;?No Decay?, Ln(2.0) / ((Attenuation_Half_Life_Species_8) * s_per_day) ,0)"</definedName>
    <definedName name="Attenuation_O_257Col" hidden="1">35</definedName>
    <definedName name="Attenuation_O_26" hidden="1">"(Attenuation_Fraction_organic_carbon) * (Contaminants_Organic_carbon_water_partition_coefficient_Koc  Contaminants_Species1)"</definedName>
    <definedName name="Attenuation_O_26Col" hidden="1">35</definedName>
    <definedName name="Attenuation_O_33" hidden="1">"1 + 0.001 * (Attenuation_Partition_Coefficient_Kd_Species_1) * (Attenuation_Dry_bulk_density) / (Hydrogeology_Porosity    'Hydrogeology'!$O:$O)"</definedName>
    <definedName name="Attenuation_O_33Col" hidden="1">35</definedName>
    <definedName name="Attenuation_O_47" hidden="1">"if((Attenuation_Half_Life_Species_1)&lt;&gt;?No Decay?, Ln(2.0) / ((Attenuation_Half_Life_Species_1) * s_per_day) ,0)"</definedName>
    <definedName name="Attenuation_O_47Col" hidden="1">35</definedName>
    <definedName name="Attenuation_O_56" hidden="1">"(Attenuation_Fraction_organic_carbon) * (Contaminants_Organic_carbon_water_partition_coefficient_Koc  Contaminants_Species2)"</definedName>
    <definedName name="Attenuation_O_56Col" hidden="1">35</definedName>
    <definedName name="Attenuation_O_63" hidden="1">"1 + 0.001 * (Attenuation_Partition_Coefficient_Kd_Species_2) * (Attenuation_Dry_bulk_density) / (Hydrogeology_Porosity    'Hydrogeology'!$O:$O)"</definedName>
    <definedName name="Attenuation_O_63Col" hidden="1">35</definedName>
    <definedName name="Attenuation_O_77" hidden="1">"if((Attenuation_Half_Life_Species_2)&lt;&gt;?No Decay?, Ln(2.0) / ((Attenuation_Half_Life_Species_2) * s_per_day) ,0)"</definedName>
    <definedName name="Attenuation_O_77Col" hidden="1">35</definedName>
    <definedName name="Attenuation_O_86" hidden="1">"(Attenuation_Fraction_organic_carbon) * (Contaminants_Organic_carbon_water_partition_coefficient_Koc  Contaminants_Species3)"</definedName>
    <definedName name="Attenuation_O_86Col" hidden="1">35</definedName>
    <definedName name="Attenuation_O_93" hidden="1">"1 + 0.001 * (Attenuation_Partition_Coefficient_Kd_Species_3) * (Attenuation_Dry_bulk_density) / (Hydrogeology_Porosity    'Hydrogeology'!$O:$O)"</definedName>
    <definedName name="Attenuation_O_93Col" hidden="1">35</definedName>
    <definedName name="Attenuation_P_107" hidden="1">"if((Attenuation_Half_Life_Species_3)&lt;&gt;?No Decay?, Ln(2.0) / ((Attenuation_Half_Life_Species_3) * s_per_day) ,0)"</definedName>
    <definedName name="Attenuation_P_107Col" hidden="1">35</definedName>
    <definedName name="Attenuation_P_116" hidden="1">"(Attenuation_Fraction_organic_carbon) * (Contaminants_Organic_carbon_water_partition_coefficient_Koc  Contaminants_Species4)"</definedName>
    <definedName name="Attenuation_P_116Col" hidden="1">35</definedName>
    <definedName name="Attenuation_P_123" hidden="1">"1 + 0.001 * (Attenuation_Partition_Coefficient_Kd_Species_4) * (Attenuation_Dry_bulk_density) / (Hydrogeology_Porosity    'Hydrogeology'!$P:$P)"</definedName>
    <definedName name="Attenuation_P_123Col" hidden="1">35</definedName>
    <definedName name="Attenuation_P_137" hidden="1">"if((Attenuation_Half_Life_Species_4)&lt;&gt;?No Decay?, Ln(2.0) / ((Attenuation_Half_Life_Species_4) * s_per_day) ,0)"</definedName>
    <definedName name="Attenuation_P_137Col" hidden="1">35</definedName>
    <definedName name="Attenuation_P_146" hidden="1">"(Attenuation_Fraction_organic_carbon) * (Contaminants_Organic_carbon_water_partition_coefficient_Koc  Contaminants_Species5)"</definedName>
    <definedName name="Attenuation_P_146Col" hidden="1">35</definedName>
    <definedName name="Attenuation_P_153" hidden="1">"1 + 0.001 * (Attenuation_Partition_Coefficient_Kd_Species_5) * (Attenuation_Dry_bulk_density) / (Hydrogeology_Porosity    'Hydrogeology'!$P:$P)"</definedName>
    <definedName name="Attenuation_P_153Col" hidden="1">35</definedName>
    <definedName name="Attenuation_P_167" hidden="1">"if((Attenuation_Half_Life_Species_5)&lt;&gt;?No Decay?, Ln(2.0) / ((Attenuation_Half_Life_Species_5) * s_per_day) ,0)"</definedName>
    <definedName name="Attenuation_P_167Col" hidden="1">35</definedName>
    <definedName name="Attenuation_P_176" hidden="1">"(Attenuation_Fraction_organic_carbon) * (Contaminants_Organic_carbon_water_partition_coefficient_Koc  Contaminants_Species6)"</definedName>
    <definedName name="Attenuation_P_176Col" hidden="1">35</definedName>
    <definedName name="Attenuation_P_183" hidden="1">"1 + 0.001 * (Attenuation_Partition_Coefficient_Kd_Species_6) * (Attenuation_Dry_bulk_density) / (Hydrogeology_Porosity    'Hydrogeology'!$P:$P)"</definedName>
    <definedName name="Attenuation_P_183Col" hidden="1">35</definedName>
    <definedName name="Attenuation_P_197" hidden="1">"if((Attenuation_Half_Life_Species_6)&lt;&gt;?No Decay?, Ln(2.0) / ((Attenuation_Half_Life_Species_6) * s_per_day) ,0)"</definedName>
    <definedName name="Attenuation_P_197Col" hidden="1">35</definedName>
    <definedName name="Attenuation_P_206" hidden="1">"(Attenuation_Fraction_organic_carbon) * (Contaminants_Organic_carbon_water_partition_coefficient_Koc  Contaminants_Species7)"</definedName>
    <definedName name="Attenuation_P_206Col" hidden="1">35</definedName>
    <definedName name="Attenuation_P_213" hidden="1">"1 + 0.001 * (Attenuation_Partition_Coefficient_Kd_Species_7) * (Attenuation_Dry_bulk_density) / (Hydrogeology_Porosity    'Hydrogeology'!$P:$P)"</definedName>
    <definedName name="Attenuation_P_213Col" hidden="1">35</definedName>
    <definedName name="Attenuation_P_227" hidden="1">"if((Attenuation_Half_Life_Species_7)&lt;&gt;?No Decay?, Ln(2.0) / ((Attenuation_Half_Life_Species_7) * s_per_day) ,0)"</definedName>
    <definedName name="Attenuation_P_227Col" hidden="1">35</definedName>
    <definedName name="Attenuation_P_236" hidden="1">"(Attenuation_Fraction_organic_carbon) * (Contaminants_Organic_carbon_water_partition_coefficient_Koc  Contaminants_Species8)"</definedName>
    <definedName name="Attenuation_P_236Col" hidden="1">35</definedName>
    <definedName name="Attenuation_P_243" hidden="1">"1 + 0.001 * (Attenuation_Partition_Coefficient_Kd_Species_8) * (Attenuation_Dry_bulk_density) / (Hydrogeology_Porosity    'Hydrogeology'!$P:$P)"</definedName>
    <definedName name="Attenuation_P_243Col" hidden="1">35</definedName>
    <definedName name="Attenuation_P_257" hidden="1">"if((Attenuation_Half_Life_Species_8)&lt;&gt;?No Decay?, Ln(2.0) / ((Attenuation_Half_Life_Species_8) * s_per_day) ,0)"</definedName>
    <definedName name="Attenuation_P_257Col" hidden="1">35</definedName>
    <definedName name="Attenuation_P_26" hidden="1">"(Attenuation_Fraction_organic_carbon) * (Contaminants_Organic_carbon_water_partition_coefficient_Koc  Contaminants_Species1)"</definedName>
    <definedName name="Attenuation_P_26Col" hidden="1">35</definedName>
    <definedName name="Attenuation_P_33" hidden="1">"1 + 0.001 * (Attenuation_Partition_Coefficient_Kd_Species_1) * (Attenuation_Dry_bulk_density) / (Hydrogeology_Porosity    'Hydrogeology'!$P:$P)"</definedName>
    <definedName name="Attenuation_P_33Col" hidden="1">35</definedName>
    <definedName name="Attenuation_P_47" hidden="1">"if((Attenuation_Half_Life_Species_1)&lt;&gt;?No Decay?, Ln(2.0) / ((Attenuation_Half_Life_Species_1) * s_per_day) ,0)"</definedName>
    <definedName name="Attenuation_P_47Col" hidden="1">35</definedName>
    <definedName name="Attenuation_P_56" hidden="1">"(Attenuation_Fraction_organic_carbon) * (Contaminants_Organic_carbon_water_partition_coefficient_Koc  Contaminants_Species2)"</definedName>
    <definedName name="Attenuation_P_56Col" hidden="1">35</definedName>
    <definedName name="Attenuation_P_63" hidden="1">"1 + 0.001 * (Attenuation_Partition_Coefficient_Kd_Species_2) * (Attenuation_Dry_bulk_density) / (Hydrogeology_Porosity    'Hydrogeology'!$P:$P)"</definedName>
    <definedName name="Attenuation_P_63Col" hidden="1">35</definedName>
    <definedName name="Attenuation_P_77" hidden="1">"if((Attenuation_Half_Life_Species_2)&lt;&gt;?No Decay?, Ln(2.0) / ((Attenuation_Half_Life_Species_2) * s_per_day) ,0)"</definedName>
    <definedName name="Attenuation_P_77Col" hidden="1">35</definedName>
    <definedName name="Attenuation_P_86" hidden="1">"(Attenuation_Fraction_organic_carbon) * (Contaminants_Organic_carbon_water_partition_coefficient_Koc  Contaminants_Species3)"</definedName>
    <definedName name="Attenuation_P_86Col" hidden="1">35</definedName>
    <definedName name="Attenuation_P_93" hidden="1">"1 + 0.001 * (Attenuation_Partition_Coefficient_Kd_Species_3) * (Attenuation_Dry_bulk_density) / (Hydrogeology_Porosity    'Hydrogeology'!$P:$P)"</definedName>
    <definedName name="Attenuation_P_93Col" hidden="1">35</definedName>
    <definedName name="Attenuation_Partition_Coefficient_Kd_Species_1">'Attenuation'!$26:$26</definedName>
    <definedName name="Attenuation_Partition_Coefficient_Kd_Species_2">'Attenuation'!$56:$56</definedName>
    <definedName name="Attenuation_Partition_Coefficient_Kd_Species_3">'Attenuation'!$86:$86</definedName>
    <definedName name="Attenuation_Partition_Coefficient_Kd_Species_4">'Attenuation'!$116:$116</definedName>
    <definedName name="Attenuation_Partition_Coefficient_Kd_Species_5">'Attenuation'!$146:$146</definedName>
    <definedName name="Attenuation_Partition_Coefficient_Kd_Species_6">'Attenuation'!$176:$176</definedName>
    <definedName name="Attenuation_Partition_Coefficient_Kd_Species_7">'Attenuation'!$206:$206</definedName>
    <definedName name="Attenuation_Partition_Coefficient_Kd_Species_8">'Attenuation'!$236:$236</definedName>
    <definedName name="Attenuation_Q_107" hidden="1">"if((Attenuation_Half_Life_Species_3)&lt;&gt;?No Decay?, Ln(2.0) / ((Attenuation_Half_Life_Species_3) * s_per_day) ,0)"</definedName>
    <definedName name="Attenuation_Q_107Col" hidden="1">35</definedName>
    <definedName name="Attenuation_Q_116" hidden="1">"(Attenuation_Fraction_organic_carbon) * (Contaminants_Organic_carbon_water_partition_coefficient_Koc  Contaminants_Species4)"</definedName>
    <definedName name="Attenuation_Q_116Col" hidden="1">35</definedName>
    <definedName name="Attenuation_Q_123" hidden="1">"1 + 0.001 * (Attenuation_Partition_Coefficient_Kd_Species_4) * (Attenuation_Dry_bulk_density) / (Hydrogeology_Porosity    'Hydrogeology'!$Q:$Q)"</definedName>
    <definedName name="Attenuation_Q_123Col" hidden="1">35</definedName>
    <definedName name="Attenuation_Q_137" hidden="1">"if((Attenuation_Half_Life_Species_4)&lt;&gt;?No Decay?, Ln(2.0) / ((Attenuation_Half_Life_Species_4) * s_per_day) ,0)"</definedName>
    <definedName name="Attenuation_Q_137Col" hidden="1">35</definedName>
    <definedName name="Attenuation_Q_146" hidden="1">"(Attenuation_Fraction_organic_carbon) * (Contaminants_Organic_carbon_water_partition_coefficient_Koc  Contaminants_Species5)"</definedName>
    <definedName name="Attenuation_Q_146Col" hidden="1">35</definedName>
    <definedName name="Attenuation_Q_153" hidden="1">"1 + 0.001 * (Attenuation_Partition_Coefficient_Kd_Species_5) * (Attenuation_Dry_bulk_density) / (Hydrogeology_Porosity    'Hydrogeology'!$Q:$Q)"</definedName>
    <definedName name="Attenuation_Q_153Col" hidden="1">35</definedName>
    <definedName name="Attenuation_Q_167" hidden="1">"if((Attenuation_Half_Life_Species_5)&lt;&gt;?No Decay?, Ln(2.0) / ((Attenuation_Half_Life_Species_5) * s_per_day) ,0)"</definedName>
    <definedName name="Attenuation_Q_167Col" hidden="1">35</definedName>
    <definedName name="Attenuation_Q_176" hidden="1">"(Attenuation_Fraction_organic_carbon) * (Contaminants_Organic_carbon_water_partition_coefficient_Koc  Contaminants_Species6)"</definedName>
    <definedName name="Attenuation_Q_176Col" hidden="1">35</definedName>
    <definedName name="Attenuation_Q_183" hidden="1">"1 + 0.001 * (Attenuation_Partition_Coefficient_Kd_Species_6) * (Attenuation_Dry_bulk_density) / (Hydrogeology_Porosity    'Hydrogeology'!$Q:$Q)"</definedName>
    <definedName name="Attenuation_Q_183Col" hidden="1">35</definedName>
    <definedName name="Attenuation_Q_197" hidden="1">"if((Attenuation_Half_Life_Species_6)&lt;&gt;?No Decay?, Ln(2.0) / ((Attenuation_Half_Life_Species_6) * s_per_day) ,0)"</definedName>
    <definedName name="Attenuation_Q_197Col" hidden="1">35</definedName>
    <definedName name="Attenuation_Q_206" hidden="1">"(Attenuation_Fraction_organic_carbon) * (Contaminants_Organic_carbon_water_partition_coefficient_Koc  Contaminants_Species7)"</definedName>
    <definedName name="Attenuation_Q_206Col" hidden="1">35</definedName>
    <definedName name="Attenuation_Q_213" hidden="1">"1 + 0.001 * (Attenuation_Partition_Coefficient_Kd_Species_7) * (Attenuation_Dry_bulk_density) / (Hydrogeology_Porosity    'Hydrogeology'!$Q:$Q)"</definedName>
    <definedName name="Attenuation_Q_213Col" hidden="1">35</definedName>
    <definedName name="Attenuation_Q_227" hidden="1">"if((Attenuation_Half_Life_Species_7)&lt;&gt;?No Decay?, Ln(2.0) / ((Attenuation_Half_Life_Species_7) * s_per_day) ,0)"</definedName>
    <definedName name="Attenuation_Q_227Col" hidden="1">35</definedName>
    <definedName name="Attenuation_Q_236" hidden="1">"(Attenuation_Fraction_organic_carbon) * (Contaminants_Organic_carbon_water_partition_coefficient_Koc  Contaminants_Species8)"</definedName>
    <definedName name="Attenuation_Q_236Col" hidden="1">35</definedName>
    <definedName name="Attenuation_Q_243" hidden="1">"1 + 0.001 * (Attenuation_Partition_Coefficient_Kd_Species_8) * (Attenuation_Dry_bulk_density) / (Hydrogeology_Porosity    'Hydrogeology'!$Q:$Q)"</definedName>
    <definedName name="Attenuation_Q_243Col" hidden="1">35</definedName>
    <definedName name="Attenuation_Q_257" hidden="1">"if((Attenuation_Half_Life_Species_8)&lt;&gt;?No Decay?, Ln(2.0) / ((Attenuation_Half_Life_Species_8) * s_per_day) ,0)"</definedName>
    <definedName name="Attenuation_Q_257Col" hidden="1">35</definedName>
    <definedName name="Attenuation_Q_26" hidden="1">"(Attenuation_Fraction_organic_carbon) * (Contaminants_Organic_carbon_water_partition_coefficient_Koc  Contaminants_Species1)"</definedName>
    <definedName name="Attenuation_Q_26Col" hidden="1">35</definedName>
    <definedName name="Attenuation_Q_33" hidden="1">"1 + 0.001 * (Attenuation_Partition_Coefficient_Kd_Species_1) * (Attenuation_Dry_bulk_density) / (Hydrogeology_Porosity    'Hydrogeology'!$Q:$Q)"</definedName>
    <definedName name="Attenuation_Q_33Col" hidden="1">35</definedName>
    <definedName name="Attenuation_Q_47" hidden="1">"if((Attenuation_Half_Life_Species_1)&lt;&gt;?No Decay?, Ln(2.0) / ((Attenuation_Half_Life_Species_1) * s_per_day) ,0)"</definedName>
    <definedName name="Attenuation_Q_47Col" hidden="1">35</definedName>
    <definedName name="Attenuation_Q_56" hidden="1">"(Attenuation_Fraction_organic_carbon) * (Contaminants_Organic_carbon_water_partition_coefficient_Koc  Contaminants_Species2)"</definedName>
    <definedName name="Attenuation_Q_56Col" hidden="1">35</definedName>
    <definedName name="Attenuation_Q_63" hidden="1">"1 + 0.001 * (Attenuation_Partition_Coefficient_Kd_Species_2) * (Attenuation_Dry_bulk_density) / (Hydrogeology_Porosity    'Hydrogeology'!$Q:$Q)"</definedName>
    <definedName name="Attenuation_Q_63Col" hidden="1">35</definedName>
    <definedName name="Attenuation_Q_77" hidden="1">"if((Attenuation_Half_Life_Species_2)&lt;&gt;?No Decay?, Ln(2.0) / ((Attenuation_Half_Life_Species_2) * s_per_day) ,0)"</definedName>
    <definedName name="Attenuation_Q_77Col" hidden="1">35</definedName>
    <definedName name="Attenuation_Q_86" hidden="1">"(Attenuation_Fraction_organic_carbon) * (Contaminants_Organic_carbon_water_partition_coefficient_Koc  Contaminants_Species3)"</definedName>
    <definedName name="Attenuation_Q_86Col" hidden="1">35</definedName>
    <definedName name="Attenuation_Q_93" hidden="1">"1 + 0.001 * (Attenuation_Partition_Coefficient_Kd_Species_3) * (Attenuation_Dry_bulk_density) / (Hydrogeology_Porosity    'Hydrogeology'!$Q:$Q)"</definedName>
    <definedName name="Attenuation_Q_93Col" hidden="1">35</definedName>
    <definedName name="Attenuation_R_107" hidden="1">"if((Attenuation_Half_Life_Species_3)&lt;&gt;?No Decay?, Ln(2.0) / ((Attenuation_Half_Life_Species_3) * s_per_day) ,0)"</definedName>
    <definedName name="Attenuation_R_107Col" hidden="1">35</definedName>
    <definedName name="Attenuation_R_116" hidden="1">"(Attenuation_Fraction_organic_carbon) * (Contaminants_Organic_carbon_water_partition_coefficient_Koc  Contaminants_Species4)"</definedName>
    <definedName name="Attenuation_R_116Col" hidden="1">35</definedName>
    <definedName name="Attenuation_R_123" hidden="1">"1 + 0.001 * (Attenuation_Partition_Coefficient_Kd_Species_4) * (Attenuation_Dry_bulk_density) / (Hydrogeology_Porosity    'Hydrogeology'!$R:$R)"</definedName>
    <definedName name="Attenuation_R_123Col" hidden="1">35</definedName>
    <definedName name="Attenuation_R_137" hidden="1">"if((Attenuation_Half_Life_Species_4)&lt;&gt;?No Decay?, Ln(2.0) / ((Attenuation_Half_Life_Species_4) * s_per_day) ,0)"</definedName>
    <definedName name="Attenuation_R_137Col" hidden="1">35</definedName>
    <definedName name="Attenuation_R_146" hidden="1">"(Attenuation_Fraction_organic_carbon) * (Contaminants_Organic_carbon_water_partition_coefficient_Koc  Contaminants_Species5)"</definedName>
    <definedName name="Attenuation_R_146Col" hidden="1">35</definedName>
    <definedName name="Attenuation_R_153" hidden="1">"1 + 0.001 * (Attenuation_Partition_Coefficient_Kd_Species_5) * (Attenuation_Dry_bulk_density) / (Hydrogeology_Porosity    'Hydrogeology'!$R:$R)"</definedName>
    <definedName name="Attenuation_R_153Col" hidden="1">35</definedName>
    <definedName name="Attenuation_R_167" hidden="1">"if((Attenuation_Half_Life_Species_5)&lt;&gt;?No Decay?, Ln(2.0) / ((Attenuation_Half_Life_Species_5) * s_per_day) ,0)"</definedName>
    <definedName name="Attenuation_R_167Col" hidden="1">35</definedName>
    <definedName name="Attenuation_R_176" hidden="1">"(Attenuation_Fraction_organic_carbon) * (Contaminants_Organic_carbon_water_partition_coefficient_Koc  Contaminants_Species6)"</definedName>
    <definedName name="Attenuation_R_176Col" hidden="1">35</definedName>
    <definedName name="Attenuation_R_183" hidden="1">"1 + 0.001 * (Attenuation_Partition_Coefficient_Kd_Species_6) * (Attenuation_Dry_bulk_density) / (Hydrogeology_Porosity    'Hydrogeology'!$R:$R)"</definedName>
    <definedName name="Attenuation_R_183Col" hidden="1">35</definedName>
    <definedName name="Attenuation_R_197" hidden="1">"if((Attenuation_Half_Life_Species_6)&lt;&gt;?No Decay?, Ln(2.0) / ((Attenuation_Half_Life_Species_6) * s_per_day) ,0)"</definedName>
    <definedName name="Attenuation_R_197Col" hidden="1">35</definedName>
    <definedName name="Attenuation_R_206" hidden="1">"(Attenuation_Fraction_organic_carbon) * (Contaminants_Organic_carbon_water_partition_coefficient_Koc  Contaminants_Species7)"</definedName>
    <definedName name="Attenuation_R_206Col" hidden="1">35</definedName>
    <definedName name="Attenuation_R_213" hidden="1">"1 + 0.001 * (Attenuation_Partition_Coefficient_Kd_Species_7) * (Attenuation_Dry_bulk_density) / (Hydrogeology_Porosity    'Hydrogeology'!$R:$R)"</definedName>
    <definedName name="Attenuation_R_213Col" hidden="1">35</definedName>
    <definedName name="Attenuation_R_227" hidden="1">"if((Attenuation_Half_Life_Species_7)&lt;&gt;?No Decay?, Ln(2.0) / ((Attenuation_Half_Life_Species_7) * s_per_day) ,0)"</definedName>
    <definedName name="Attenuation_R_227Col" hidden="1">35</definedName>
    <definedName name="Attenuation_R_236" hidden="1">"(Attenuation_Fraction_organic_carbon) * (Contaminants_Organic_carbon_water_partition_coefficient_Koc  Contaminants_Species8)"</definedName>
    <definedName name="Attenuation_R_236Col" hidden="1">35</definedName>
    <definedName name="Attenuation_R_243" hidden="1">"1 + 0.001 * (Attenuation_Partition_Coefficient_Kd_Species_8) * (Attenuation_Dry_bulk_density) / (Hydrogeology_Porosity    'Hydrogeology'!$R:$R)"</definedName>
    <definedName name="Attenuation_R_243Col" hidden="1">35</definedName>
    <definedName name="Attenuation_R_257" hidden="1">"if((Attenuation_Half_Life_Species_8)&lt;&gt;?No Decay?, Ln(2.0) / ((Attenuation_Half_Life_Species_8) * s_per_day) ,0)"</definedName>
    <definedName name="Attenuation_R_257Col" hidden="1">35</definedName>
    <definedName name="Attenuation_R_26" hidden="1">"(Attenuation_Fraction_organic_carbon) * (Contaminants_Organic_carbon_water_partition_coefficient_Koc  Contaminants_Species1)"</definedName>
    <definedName name="Attenuation_R_26Col" hidden="1">35</definedName>
    <definedName name="Attenuation_R_33" hidden="1">"1 + 0.001 * (Attenuation_Partition_Coefficient_Kd_Species_1) * (Attenuation_Dry_bulk_density) / (Hydrogeology_Porosity    'Hydrogeology'!$R:$R)"</definedName>
    <definedName name="Attenuation_R_33Col" hidden="1">35</definedName>
    <definedName name="Attenuation_R_47" hidden="1">"if((Attenuation_Half_Life_Species_1)&lt;&gt;?No Decay?, Ln(2.0) / ((Attenuation_Half_Life_Species_1) * s_per_day) ,0)"</definedName>
    <definedName name="Attenuation_R_47Col" hidden="1">35</definedName>
    <definedName name="Attenuation_R_56" hidden="1">"(Attenuation_Fraction_organic_carbon) * (Contaminants_Organic_carbon_water_partition_coefficient_Koc  Contaminants_Species2)"</definedName>
    <definedName name="Attenuation_R_56Col" hidden="1">35</definedName>
    <definedName name="Attenuation_R_63" hidden="1">"1 + 0.001 * (Attenuation_Partition_Coefficient_Kd_Species_2) * (Attenuation_Dry_bulk_density) / (Hydrogeology_Porosity    'Hydrogeology'!$R:$R)"</definedName>
    <definedName name="Attenuation_R_63Col" hidden="1">35</definedName>
    <definedName name="Attenuation_R_77" hidden="1">"if((Attenuation_Half_Life_Species_2)&lt;&gt;?No Decay?, Ln(2.0) / ((Attenuation_Half_Life_Species_2) * s_per_day) ,0)"</definedName>
    <definedName name="Attenuation_R_77Col" hidden="1">35</definedName>
    <definedName name="Attenuation_R_86" hidden="1">"(Attenuation_Fraction_organic_carbon) * (Contaminants_Organic_carbon_water_partition_coefficient_Koc  Contaminants_Species3)"</definedName>
    <definedName name="Attenuation_R_86Col" hidden="1">35</definedName>
    <definedName name="Attenuation_R_93" hidden="1">"1 + 0.001 * (Attenuation_Partition_Coefficient_Kd_Species_3) * (Attenuation_Dry_bulk_density) / (Hydrogeology_Porosity    'Hydrogeology'!$R:$R)"</definedName>
    <definedName name="Attenuation_R_93Col" hidden="1">35</definedName>
    <definedName name="Attenuation_Retardation_Species_1">'Attenuation'!$33:$33</definedName>
    <definedName name="Attenuation_Retardation_Species_2">'Attenuation'!$63:$63</definedName>
    <definedName name="Attenuation_Retardation_Species_3">'Attenuation'!$93:$93</definedName>
    <definedName name="Attenuation_Retardation_Species_4">'Attenuation'!$123:$123</definedName>
    <definedName name="Attenuation_Retardation_Species_5">'Attenuation'!$153:$153</definedName>
    <definedName name="Attenuation_Retardation_Species_6">'Attenuation'!$183:$183</definedName>
    <definedName name="Attenuation_Retardation_Species_7">'Attenuation'!$213:$213</definedName>
    <definedName name="Attenuation_Retardation_Species_8">'Attenuation'!$243:$243</definedName>
    <definedName name="Attenuation_SG">'Attenuation'!$D:$D</definedName>
    <definedName name="Calcs_DF_Path1">#REF!</definedName>
    <definedName name="Calcs_pvals_path1">#REF!</definedName>
    <definedName name="Calcs_pvals_path1_species1">#REF!</definedName>
    <definedName name="Calcs_pvals_path1_species2">#REF!</definedName>
    <definedName name="Calcs_pvals_path1_species3">#REF!</definedName>
    <definedName name="Calcs_pvals_path1_species4">#REF!</definedName>
    <definedName name="Calcs_pvals_path1_species5">#REF!</definedName>
    <definedName name="Calcs_pvals_path1_species6">#REF!</definedName>
    <definedName name="Calcs_pvals_path1_species7">#REF!</definedName>
    <definedName name="Calcs_pvals_path1_species8">#REF!</definedName>
    <definedName name="Clay_Liner">'Hydrogeology'!$C:$C</definedName>
    <definedName name="Contaminants_Free_Water_Diffusion_Coefficient">'Contaminants'!$38:$38</definedName>
    <definedName name="Contaminants_Henrys_Law_Constant">'Contaminants'!$24:$24</definedName>
    <definedName name="Contaminants_Organic_Carbon_Water_Partition_Coefficient_Koc">'Contaminants'!$31:$31</definedName>
    <definedName name="Contaminants_Solubility">'Contaminants'!$17:$17</definedName>
    <definedName name="Contaminants_Source_determinand_names">'Contaminants'!$4:$4</definedName>
    <definedName name="Contaminants_Species1">'Contaminants'!$D:$D</definedName>
    <definedName name="Contaminants_Species2">'Contaminants'!$E:$E</definedName>
    <definedName name="Contaminants_Species3">'Contaminants'!$F:$F</definedName>
    <definedName name="Contaminants_Species4">'Contaminants'!$G:$G</definedName>
    <definedName name="Contaminants_Species5">'Contaminants'!$H:$H</definedName>
    <definedName name="Contaminants_Species6">'Contaminants'!$I:$I</definedName>
    <definedName name="Contaminants_Species7">'Contaminants'!$J:$J</definedName>
    <definedName name="Contaminants_Species8">'Contaminants'!$K:$K</definedName>
    <definedName name="converge">1</definedName>
    <definedName name="Det_Pathway_1_AF">#REF!</definedName>
    <definedName name="Det_Pathway_1_DF">#REF!</definedName>
    <definedName name="Det_Recept_BH11">#REF!</definedName>
    <definedName name="Det_Source_Inert">#REF!</definedName>
    <definedName name="Effective_Rainfall">'WaterBalance'!$D$8</definedName>
    <definedName name="Formula0" hidden="1">'Inert'!$B$21</definedName>
    <definedName name="Formula1" hidden="1">'Inert'!$B$23</definedName>
    <definedName name="Formula10" hidden="1">'Inert'!$J$73</definedName>
    <definedName name="Formula100" hidden="1">'Attenuation'!$L$26</definedName>
    <definedName name="Formula101" hidden="1">'Attenuation'!$M$26</definedName>
    <definedName name="Formula102" hidden="1">'Attenuation'!$N$26</definedName>
    <definedName name="Formula103" hidden="1">'Attenuation'!$O$26</definedName>
    <definedName name="Formula104" hidden="1">'Attenuation'!$P$26</definedName>
    <definedName name="Formula105" hidden="1">'Attenuation'!$Q$26</definedName>
    <definedName name="Formula106" hidden="1">'Attenuation'!$R$26</definedName>
    <definedName name="Formula107" hidden="1">'Attenuation'!$A$24</definedName>
    <definedName name="Formula108" hidden="1">'Attenuation'!$C$33</definedName>
    <definedName name="Formula109" hidden="1">'Attenuation'!$D$33</definedName>
    <definedName name="Formula11" hidden="1">'Inert'!$C$96</definedName>
    <definedName name="Formula110" hidden="1">'Attenuation'!$E$33</definedName>
    <definedName name="Formula111" hidden="1">'Attenuation'!$F$33</definedName>
    <definedName name="Formula112" hidden="1">'Attenuation'!$G$33</definedName>
    <definedName name="Formula113" hidden="1">'Attenuation'!$H$33</definedName>
    <definedName name="Formula114" hidden="1">'Attenuation'!$I$33</definedName>
    <definedName name="Formula115" hidden="1">'Attenuation'!$J$33</definedName>
    <definedName name="Formula116" hidden="1">'Attenuation'!$K$33</definedName>
    <definedName name="Formula117" hidden="1">'Attenuation'!$L$33</definedName>
    <definedName name="Formula118" hidden="1">'Attenuation'!$M$33</definedName>
    <definedName name="Formula119" hidden="1">'Attenuation'!$N$33</definedName>
    <definedName name="Formula12" hidden="1">'Inert'!$D$96</definedName>
    <definedName name="Formula120" hidden="1">'Attenuation'!$O$33</definedName>
    <definedName name="Formula121" hidden="1">'Attenuation'!$P$33</definedName>
    <definedName name="Formula122" hidden="1">'Attenuation'!$Q$33</definedName>
    <definedName name="Formula123" hidden="1">'Attenuation'!$R$33</definedName>
    <definedName name="Formula124" hidden="1">'Attenuation'!$C$47</definedName>
    <definedName name="Formula125" hidden="1">'Attenuation'!$D$47</definedName>
    <definedName name="Formula126" hidden="1">'Attenuation'!$E$47</definedName>
    <definedName name="Formula127" hidden="1">'Attenuation'!$F$47</definedName>
    <definedName name="Formula128" hidden="1">'Attenuation'!$G$47</definedName>
    <definedName name="Formula129" hidden="1">'Attenuation'!$H$47</definedName>
    <definedName name="Formula13" hidden="1">'Inert'!$E$96</definedName>
    <definedName name="Formula130" hidden="1">'Attenuation'!$I$47</definedName>
    <definedName name="Formula131" hidden="1">'Attenuation'!$J$47</definedName>
    <definedName name="Formula132" hidden="1">'Attenuation'!$K$47</definedName>
    <definedName name="Formula133" hidden="1">'Attenuation'!$L$47</definedName>
    <definedName name="Formula134" hidden="1">'Attenuation'!$M$47</definedName>
    <definedName name="Formula135" hidden="1">'Attenuation'!$N$47</definedName>
    <definedName name="Formula136" hidden="1">'Attenuation'!$O$47</definedName>
    <definedName name="Formula137" hidden="1">'Attenuation'!$P$47</definedName>
    <definedName name="Formula138" hidden="1">'Attenuation'!$Q$47</definedName>
    <definedName name="Formula139" hidden="1">'Attenuation'!$R$47</definedName>
    <definedName name="Formula14" hidden="1">'Inert'!$F$96</definedName>
    <definedName name="Formula140" hidden="1">'Attenuation'!$C$56</definedName>
    <definedName name="Formula141" hidden="1">'Attenuation'!$D$56</definedName>
    <definedName name="Formula142" hidden="1">'Attenuation'!$E$56</definedName>
    <definedName name="Formula143" hidden="1">'Attenuation'!$F$56</definedName>
    <definedName name="Formula144" hidden="1">'Attenuation'!$G$56</definedName>
    <definedName name="Formula145" hidden="1">'Attenuation'!$H$56</definedName>
    <definedName name="Formula146" hidden="1">'Attenuation'!$I$56</definedName>
    <definedName name="Formula147" hidden="1">'Attenuation'!$J$56</definedName>
    <definedName name="Formula148" hidden="1">'Attenuation'!$K$56</definedName>
    <definedName name="Formula149" hidden="1">'Attenuation'!$L$56</definedName>
    <definedName name="Formula15" hidden="1">'Inert'!$G$96</definedName>
    <definedName name="Formula150" hidden="1">'Attenuation'!$M$56</definedName>
    <definedName name="Formula151" hidden="1">'Attenuation'!$N$56</definedName>
    <definedName name="Formula152" hidden="1">'Attenuation'!$O$56</definedName>
    <definedName name="Formula153" hidden="1">'Attenuation'!$P$56</definedName>
    <definedName name="Formula154" hidden="1">'Attenuation'!$Q$56</definedName>
    <definedName name="Formula155" hidden="1">'Attenuation'!$R$56</definedName>
    <definedName name="Formula156" hidden="1">'Attenuation'!$A$54</definedName>
    <definedName name="Formula157" hidden="1">'Attenuation'!$C$63</definedName>
    <definedName name="Formula158" hidden="1">'Attenuation'!$D$63</definedName>
    <definedName name="Formula159" hidden="1">'Attenuation'!$E$63</definedName>
    <definedName name="Formula16" hidden="1">'Inert'!$H$96</definedName>
    <definedName name="Formula160" hidden="1">'Attenuation'!$F$63</definedName>
    <definedName name="Formula161" hidden="1">'Attenuation'!$G$63</definedName>
    <definedName name="Formula162" hidden="1">'Attenuation'!$H$63</definedName>
    <definedName name="Formula163" hidden="1">'Attenuation'!$I$63</definedName>
    <definedName name="Formula164" hidden="1">'Attenuation'!$J$63</definedName>
    <definedName name="Formula165" hidden="1">'Attenuation'!$K$63</definedName>
    <definedName name="Formula166" hidden="1">'Attenuation'!$L$63</definedName>
    <definedName name="Formula167" hidden="1">'Attenuation'!$M$63</definedName>
    <definedName name="Formula168" hidden="1">'Attenuation'!$N$63</definedName>
    <definedName name="Formula169" hidden="1">'Attenuation'!$O$63</definedName>
    <definedName name="Formula17" hidden="1">'Inert'!$I$96</definedName>
    <definedName name="Formula170" hidden="1">'Attenuation'!$P$63</definedName>
    <definedName name="Formula171" hidden="1">'Attenuation'!$Q$63</definedName>
    <definedName name="Formula172" hidden="1">'Attenuation'!$R$63</definedName>
    <definedName name="Formula173" hidden="1">'Attenuation'!$C$77</definedName>
    <definedName name="Formula174" hidden="1">'Attenuation'!$D$77</definedName>
    <definedName name="Formula175" hidden="1">'Attenuation'!$E$77</definedName>
    <definedName name="Formula176" hidden="1">'Attenuation'!$F$77</definedName>
    <definedName name="Formula177" hidden="1">'Attenuation'!$G$77</definedName>
    <definedName name="Formula178" hidden="1">'Attenuation'!$H$77</definedName>
    <definedName name="Formula179" hidden="1">'Attenuation'!$I$77</definedName>
    <definedName name="Formula18" hidden="1">'Inert'!$J$96</definedName>
    <definedName name="Formula180" hidden="1">'Attenuation'!$J$77</definedName>
    <definedName name="Formula181" hidden="1">'Attenuation'!$K$77</definedName>
    <definedName name="Formula182" hidden="1">'Attenuation'!$L$77</definedName>
    <definedName name="Formula183" hidden="1">'Attenuation'!$M$77</definedName>
    <definedName name="Formula184" hidden="1">'Attenuation'!$N$77</definedName>
    <definedName name="Formula185" hidden="1">'Attenuation'!$O$77</definedName>
    <definedName name="Formula186" hidden="1">'Attenuation'!$P$77</definedName>
    <definedName name="Formula187" hidden="1">'Attenuation'!$Q$77</definedName>
    <definedName name="Formula188" hidden="1">'Attenuation'!$R$77</definedName>
    <definedName name="Formula189" hidden="1">'Attenuation'!$C$86</definedName>
    <definedName name="Formula19" hidden="1">'Inert'!$C$103</definedName>
    <definedName name="Formula190" hidden="1">'Attenuation'!$D$86</definedName>
    <definedName name="Formula191" hidden="1">'Attenuation'!$E$86</definedName>
    <definedName name="Formula192" hidden="1">'Attenuation'!$F$86</definedName>
    <definedName name="Formula193" hidden="1">'Attenuation'!$G$86</definedName>
    <definedName name="Formula194" hidden="1">'Attenuation'!$H$86</definedName>
    <definedName name="Formula195" hidden="1">'Attenuation'!$I$86</definedName>
    <definedName name="Formula196" hidden="1">'Attenuation'!$J$86</definedName>
    <definedName name="Formula197" hidden="1">'Attenuation'!$K$86</definedName>
    <definedName name="Formula198" hidden="1">'Attenuation'!$L$86</definedName>
    <definedName name="Formula199" hidden="1">'Attenuation'!$M$86</definedName>
    <definedName name="Formula2" hidden="1">'Inert'!$C$49</definedName>
    <definedName name="Formula20" hidden="1">'Inert'!$D$103</definedName>
    <definedName name="Formula200" hidden="1">'Attenuation'!$N$86</definedName>
    <definedName name="Formula201" hidden="1">'Attenuation'!$O$86</definedName>
    <definedName name="Formula202" hidden="1">'Attenuation'!$P$86</definedName>
    <definedName name="Formula203" hidden="1">'Attenuation'!$Q$86</definedName>
    <definedName name="Formula204" hidden="1">'Attenuation'!$R$86</definedName>
    <definedName name="Formula205" hidden="1">'Attenuation'!$A$84</definedName>
    <definedName name="Formula206" hidden="1">'Attenuation'!$C$93</definedName>
    <definedName name="Formula207" hidden="1">'Attenuation'!$D$93</definedName>
    <definedName name="Formula208" hidden="1">'Attenuation'!$E$93</definedName>
    <definedName name="Formula209" hidden="1">'Attenuation'!$F$93</definedName>
    <definedName name="Formula21" hidden="1">'Inert'!$E$103</definedName>
    <definedName name="Formula210" hidden="1">'Attenuation'!$G$93</definedName>
    <definedName name="Formula211" hidden="1">'Attenuation'!$H$93</definedName>
    <definedName name="Formula212" hidden="1">'Attenuation'!$I$93</definedName>
    <definedName name="Formula213" hidden="1">'Attenuation'!$J$93</definedName>
    <definedName name="Formula214" hidden="1">'Attenuation'!$K$93</definedName>
    <definedName name="Formula215" hidden="1">'Attenuation'!$L$93</definedName>
    <definedName name="Formula216" hidden="1">'Attenuation'!$M$93</definedName>
    <definedName name="Formula217" hidden="1">'Attenuation'!$N$93</definedName>
    <definedName name="Formula218" hidden="1">'Attenuation'!$O$93</definedName>
    <definedName name="Formula219" hidden="1">'Attenuation'!$P$93</definedName>
    <definedName name="Formula22" hidden="1">'Inert'!$F$103</definedName>
    <definedName name="Formula220" hidden="1">'Attenuation'!$Q$93</definedName>
    <definedName name="Formula221" hidden="1">'Attenuation'!$R$93</definedName>
    <definedName name="Formula222" hidden="1">'Attenuation'!$C$107</definedName>
    <definedName name="Formula223" hidden="1">'Attenuation'!$D$107</definedName>
    <definedName name="Formula224" hidden="1">'Attenuation'!$E$107</definedName>
    <definedName name="Formula225" hidden="1">'Attenuation'!$F$107</definedName>
    <definedName name="Formula226" hidden="1">'Attenuation'!$G$107</definedName>
    <definedName name="Formula227" hidden="1">'Attenuation'!$H$107</definedName>
    <definedName name="Formula228" hidden="1">'Attenuation'!$I$107</definedName>
    <definedName name="Formula229" hidden="1">'Attenuation'!$J$107</definedName>
    <definedName name="Formula23" hidden="1">'Inert'!$G$103</definedName>
    <definedName name="Formula230" hidden="1">'Attenuation'!$K$107</definedName>
    <definedName name="Formula231" hidden="1">'Attenuation'!$L$107</definedName>
    <definedName name="Formula232" hidden="1">'Attenuation'!$M$107</definedName>
    <definedName name="Formula233" hidden="1">'Attenuation'!$N$107</definedName>
    <definedName name="Formula234" hidden="1">'Attenuation'!$O$107</definedName>
    <definedName name="Formula235" hidden="1">'Attenuation'!$P$107</definedName>
    <definedName name="Formula236" hidden="1">'Attenuation'!$Q$107</definedName>
    <definedName name="Formula237" hidden="1">'Attenuation'!$R$107</definedName>
    <definedName name="Formula238" hidden="1">'Attenuation'!$C$116</definedName>
    <definedName name="Formula239" hidden="1">'Attenuation'!$D$116</definedName>
    <definedName name="Formula24" hidden="1">'Inert'!$H$103</definedName>
    <definedName name="Formula240" hidden="1">'Attenuation'!$E$116</definedName>
    <definedName name="Formula241" hidden="1">'Attenuation'!$F$116</definedName>
    <definedName name="Formula242" hidden="1">'Attenuation'!$G$116</definedName>
    <definedName name="Formula243" hidden="1">'Attenuation'!$H$116</definedName>
    <definedName name="Formula244" hidden="1">'Attenuation'!$I$116</definedName>
    <definedName name="Formula245" hidden="1">'Attenuation'!$J$116</definedName>
    <definedName name="Formula246" hidden="1">'Attenuation'!$K$116</definedName>
    <definedName name="Formula247" hidden="1">'Attenuation'!$L$116</definedName>
    <definedName name="Formula248" hidden="1">'Attenuation'!$M$116</definedName>
    <definedName name="Formula249" hidden="1">'Attenuation'!$N$116</definedName>
    <definedName name="Formula25" hidden="1">'Inert'!$I$103</definedName>
    <definedName name="Formula250" hidden="1">'Attenuation'!$O$116</definedName>
    <definedName name="Formula251" hidden="1">'Attenuation'!$P$116</definedName>
    <definedName name="Formula252" hidden="1">'Attenuation'!$Q$116</definedName>
    <definedName name="Formula253" hidden="1">'Attenuation'!$R$116</definedName>
    <definedName name="Formula254" hidden="1">'Attenuation'!$A$114</definedName>
    <definedName name="Formula255" hidden="1">'Attenuation'!$C$123</definedName>
    <definedName name="Formula256" hidden="1">'Attenuation'!$D$123</definedName>
    <definedName name="Formula257" hidden="1">'Attenuation'!$E$123</definedName>
    <definedName name="Formula258" hidden="1">'Attenuation'!$F$123</definedName>
    <definedName name="Formula259" hidden="1">'Attenuation'!$G$123</definedName>
    <definedName name="Formula26" hidden="1">'Inert'!$J$103</definedName>
    <definedName name="Formula260" hidden="1">'Attenuation'!$H$123</definedName>
    <definedName name="Formula261" hidden="1">'Attenuation'!$I$123</definedName>
    <definedName name="Formula262" hidden="1">'Attenuation'!$J$123</definedName>
    <definedName name="Formula263" hidden="1">'Attenuation'!$K$123</definedName>
    <definedName name="Formula264" hidden="1">'Attenuation'!$L$123</definedName>
    <definedName name="Formula265" hidden="1">'Attenuation'!$M$123</definedName>
    <definedName name="Formula266" hidden="1">'Attenuation'!$N$123</definedName>
    <definedName name="Formula267" hidden="1">'Attenuation'!$O$123</definedName>
    <definedName name="Formula268" hidden="1">'Attenuation'!$P$123</definedName>
    <definedName name="Formula269" hidden="1">'Attenuation'!$Q$123</definedName>
    <definedName name="Formula27" hidden="1">'Inert'!$C$124</definedName>
    <definedName name="Formula270" hidden="1">'Attenuation'!$R$123</definedName>
    <definedName name="Formula271" hidden="1">'Attenuation'!$C$137</definedName>
    <definedName name="Formula272" hidden="1">'Attenuation'!$D$137</definedName>
    <definedName name="Formula273" hidden="1">'Attenuation'!$E$137</definedName>
    <definedName name="Formula274" hidden="1">'Attenuation'!$F$137</definedName>
    <definedName name="Formula275" hidden="1">'Attenuation'!$G$137</definedName>
    <definedName name="Formula276" hidden="1">'Attenuation'!$H$137</definedName>
    <definedName name="Formula277" hidden="1">'Attenuation'!$I$137</definedName>
    <definedName name="Formula278" hidden="1">'Attenuation'!$J$137</definedName>
    <definedName name="Formula279" hidden="1">'Attenuation'!$K$137</definedName>
    <definedName name="Formula28" hidden="1">'Inert'!$D$124</definedName>
    <definedName name="Formula280" hidden="1">'Attenuation'!$L$137</definedName>
    <definedName name="Formula281" hidden="1">'Attenuation'!$M$137</definedName>
    <definedName name="Formula282" hidden="1">'Attenuation'!$N$137</definedName>
    <definedName name="Formula283" hidden="1">'Attenuation'!$O$137</definedName>
    <definedName name="Formula284" hidden="1">'Attenuation'!$P$137</definedName>
    <definedName name="Formula285" hidden="1">'Attenuation'!$Q$137</definedName>
    <definedName name="Formula286" hidden="1">'Attenuation'!$R$137</definedName>
    <definedName name="Formula287" hidden="1">'Attenuation'!$C$146</definedName>
    <definedName name="Formula288" hidden="1">'Attenuation'!$D$146</definedName>
    <definedName name="Formula289" hidden="1">'Attenuation'!$E$146</definedName>
    <definedName name="Formula29" hidden="1">'Inert'!$E$124</definedName>
    <definedName name="Formula290" hidden="1">'Attenuation'!$F$146</definedName>
    <definedName name="Formula291" hidden="1">'Attenuation'!$G$146</definedName>
    <definedName name="Formula292" hidden="1">'Attenuation'!$H$146</definedName>
    <definedName name="Formula293" hidden="1">'Attenuation'!$I$146</definedName>
    <definedName name="Formula294" hidden="1">'Attenuation'!$J$146</definedName>
    <definedName name="Formula295" hidden="1">'Attenuation'!$K$146</definedName>
    <definedName name="Formula296" hidden="1">'Attenuation'!$L$146</definedName>
    <definedName name="Formula297" hidden="1">'Attenuation'!$M$146</definedName>
    <definedName name="Formula298" hidden="1">'Attenuation'!$N$146</definedName>
    <definedName name="Formula299" hidden="1">'Attenuation'!$O$146</definedName>
    <definedName name="Formula3" hidden="1">'Inert'!$C$73</definedName>
    <definedName name="Formula30" hidden="1">'Inert'!$F$124</definedName>
    <definedName name="Formula300" hidden="1">'Attenuation'!$P$146</definedName>
    <definedName name="Formula301" hidden="1">'Attenuation'!$Q$146</definedName>
    <definedName name="Formula302" hidden="1">'Attenuation'!$R$146</definedName>
    <definedName name="Formula303" hidden="1">'Attenuation'!$A$144</definedName>
    <definedName name="Formula304" hidden="1">'Attenuation'!$C$153</definedName>
    <definedName name="Formula305" hidden="1">'Attenuation'!$D$153</definedName>
    <definedName name="Formula306" hidden="1">'Attenuation'!$E$153</definedName>
    <definedName name="Formula307" hidden="1">'Attenuation'!$F$153</definedName>
    <definedName name="Formula308" hidden="1">'Attenuation'!$G$153</definedName>
    <definedName name="Formula309" hidden="1">'Attenuation'!$H$153</definedName>
    <definedName name="Formula31" hidden="1">'Inert'!$G$124</definedName>
    <definedName name="Formula310" hidden="1">'Attenuation'!$I$153</definedName>
    <definedName name="Formula311" hidden="1">'Attenuation'!$J$153</definedName>
    <definedName name="Formula312" hidden="1">'Attenuation'!$K$153</definedName>
    <definedName name="Formula313" hidden="1">'Attenuation'!$L$153</definedName>
    <definedName name="Formula314" hidden="1">'Attenuation'!$M$153</definedName>
    <definedName name="Formula315" hidden="1">'Attenuation'!$N$153</definedName>
    <definedName name="Formula316" hidden="1">'Attenuation'!$O$153</definedName>
    <definedName name="Formula317" hidden="1">'Attenuation'!$P$153</definedName>
    <definedName name="Formula318" hidden="1">'Attenuation'!$Q$153</definedName>
    <definedName name="Formula319" hidden="1">'Attenuation'!$R$153</definedName>
    <definedName name="Formula32" hidden="1">'Inert'!$H$124</definedName>
    <definedName name="Formula320" hidden="1">'Attenuation'!$C$167</definedName>
    <definedName name="Formula321" hidden="1">'Attenuation'!$D$167</definedName>
    <definedName name="Formula322" hidden="1">'Attenuation'!$E$167</definedName>
    <definedName name="Formula323" hidden="1">'Attenuation'!$F$167</definedName>
    <definedName name="Formula324" hidden="1">'Attenuation'!$G$167</definedName>
    <definedName name="Formula325" hidden="1">'Attenuation'!$H$167</definedName>
    <definedName name="Formula326" hidden="1">'Attenuation'!$I$167</definedName>
    <definedName name="Formula327" hidden="1">'Attenuation'!$J$167</definedName>
    <definedName name="Formula328" hidden="1">'Attenuation'!$K$167</definedName>
    <definedName name="Formula329" hidden="1">'Attenuation'!$L$167</definedName>
    <definedName name="Formula33" hidden="1">'Inert'!$I$124</definedName>
    <definedName name="Formula330" hidden="1">'Attenuation'!$M$167</definedName>
    <definedName name="Formula331" hidden="1">'Attenuation'!$N$167</definedName>
    <definedName name="Formula332" hidden="1">'Attenuation'!$O$167</definedName>
    <definedName name="Formula333" hidden="1">'Attenuation'!$P$167</definedName>
    <definedName name="Formula334" hidden="1">'Attenuation'!$Q$167</definedName>
    <definedName name="Formula335" hidden="1">'Attenuation'!$R$167</definedName>
    <definedName name="Formula336" hidden="1">'Attenuation'!$C$176</definedName>
    <definedName name="Formula337" hidden="1">'Attenuation'!$D$176</definedName>
    <definedName name="Formula338" hidden="1">'Attenuation'!$E$176</definedName>
    <definedName name="Formula339" hidden="1">'Attenuation'!$F$176</definedName>
    <definedName name="Formula34" hidden="1">'Inert'!$J$124</definedName>
    <definedName name="Formula340" hidden="1">'Attenuation'!$G$176</definedName>
    <definedName name="Formula341" hidden="1">'Attenuation'!$H$176</definedName>
    <definedName name="Formula342" hidden="1">'Attenuation'!$I$176</definedName>
    <definedName name="Formula343" hidden="1">'Attenuation'!$J$176</definedName>
    <definedName name="Formula344" hidden="1">'Attenuation'!$K$176</definedName>
    <definedName name="Formula345" hidden="1">'Attenuation'!$L$176</definedName>
    <definedName name="Formula346" hidden="1">'Attenuation'!$M$176</definedName>
    <definedName name="Formula347" hidden="1">'Attenuation'!$N$176</definedName>
    <definedName name="Formula348" hidden="1">'Attenuation'!$O$176</definedName>
    <definedName name="Formula349" hidden="1">'Attenuation'!$P$176</definedName>
    <definedName name="Formula35" hidden="1">'Inert'!$C$131</definedName>
    <definedName name="Formula350" hidden="1">'Attenuation'!$Q$176</definedName>
    <definedName name="Formula351" hidden="1">'Attenuation'!$R$176</definedName>
    <definedName name="Formula352" hidden="1">'Attenuation'!$A$174</definedName>
    <definedName name="Formula353" hidden="1">'Attenuation'!$C$183</definedName>
    <definedName name="Formula354" hidden="1">'Attenuation'!$D$183</definedName>
    <definedName name="Formula355" hidden="1">'Attenuation'!$E$183</definedName>
    <definedName name="Formula356" hidden="1">'Attenuation'!$F$183</definedName>
    <definedName name="Formula357" hidden="1">'Attenuation'!$G$183</definedName>
    <definedName name="Formula358" hidden="1">'Attenuation'!$H$183</definedName>
    <definedName name="Formula359" hidden="1">'Attenuation'!$I$183</definedName>
    <definedName name="Formula36" hidden="1">'Inert'!$D$131</definedName>
    <definedName name="Formula360" hidden="1">'Attenuation'!$J$183</definedName>
    <definedName name="Formula361" hidden="1">'Attenuation'!$K$183</definedName>
    <definedName name="Formula362" hidden="1">'Attenuation'!$L$183</definedName>
    <definedName name="Formula363" hidden="1">'Attenuation'!$M$183</definedName>
    <definedName name="Formula364" hidden="1">'Attenuation'!$N$183</definedName>
    <definedName name="Formula365" hidden="1">'Attenuation'!$O$183</definedName>
    <definedName name="Formula366" hidden="1">'Attenuation'!$P$183</definedName>
    <definedName name="Formula367" hidden="1">'Attenuation'!$Q$183</definedName>
    <definedName name="Formula368" hidden="1">'Attenuation'!$R$183</definedName>
    <definedName name="Formula369" hidden="1">'Attenuation'!$C$197</definedName>
    <definedName name="Formula37" hidden="1">'Inert'!$E$131</definedName>
    <definedName name="Formula370" hidden="1">'Attenuation'!$D$197</definedName>
    <definedName name="Formula371" hidden="1">'Attenuation'!$E$197</definedName>
    <definedName name="Formula372" hidden="1">'Attenuation'!$F$197</definedName>
    <definedName name="Formula373" hidden="1">'Attenuation'!$G$197</definedName>
    <definedName name="Formula374" hidden="1">'Attenuation'!$H$197</definedName>
    <definedName name="Formula375" hidden="1">'Attenuation'!$I$197</definedName>
    <definedName name="Formula376" hidden="1">'Attenuation'!$J$197</definedName>
    <definedName name="Formula377" hidden="1">'Attenuation'!$K$197</definedName>
    <definedName name="Formula378" hidden="1">'Attenuation'!$L$197</definedName>
    <definedName name="Formula379" hidden="1">'Attenuation'!$M$197</definedName>
    <definedName name="Formula38" hidden="1">'Inert'!$F$131</definedName>
    <definedName name="Formula380" hidden="1">'Attenuation'!$N$197</definedName>
    <definedName name="Formula381" hidden="1">'Attenuation'!$O$197</definedName>
    <definedName name="Formula382" hidden="1">'Attenuation'!$P$197</definedName>
    <definedName name="Formula383" hidden="1">'Attenuation'!$Q$197</definedName>
    <definedName name="Formula384" hidden="1">'Attenuation'!$R$197</definedName>
    <definedName name="Formula385" hidden="1">'Attenuation'!$C$206</definedName>
    <definedName name="Formula386" hidden="1">'Attenuation'!$D$206</definedName>
    <definedName name="Formula387" hidden="1">'Attenuation'!$E$206</definedName>
    <definedName name="Formula388" hidden="1">'Attenuation'!$F$206</definedName>
    <definedName name="Formula389" hidden="1">'Attenuation'!$G$206</definedName>
    <definedName name="Formula39" hidden="1">'Inert'!$G$131</definedName>
    <definedName name="Formula390" hidden="1">'Attenuation'!$H$206</definedName>
    <definedName name="Formula391" hidden="1">'Attenuation'!$I$206</definedName>
    <definedName name="Formula392" hidden="1">'Attenuation'!$J$206</definedName>
    <definedName name="Formula393" hidden="1">'Attenuation'!$K$206</definedName>
    <definedName name="Formula394" hidden="1">'Attenuation'!$L$206</definedName>
    <definedName name="Formula395" hidden="1">'Attenuation'!$M$206</definedName>
    <definedName name="Formula396" hidden="1">'Attenuation'!$N$206</definedName>
    <definedName name="Formula397" hidden="1">'Attenuation'!$O$206</definedName>
    <definedName name="Formula398" hidden="1">'Attenuation'!$P$206</definedName>
    <definedName name="Formula399" hidden="1">'Attenuation'!$Q$206</definedName>
    <definedName name="Formula4" hidden="1">'Inert'!$D$73</definedName>
    <definedName name="Formula40" hidden="1">'Inert'!$H$131</definedName>
    <definedName name="Formula400" hidden="1">'Attenuation'!$R$206</definedName>
    <definedName name="Formula401" hidden="1">'Attenuation'!$A$204</definedName>
    <definedName name="Formula402" hidden="1">'Attenuation'!$C$213</definedName>
    <definedName name="Formula403" hidden="1">'Attenuation'!$D$213</definedName>
    <definedName name="Formula404" hidden="1">'Attenuation'!$E$213</definedName>
    <definedName name="Formula405" hidden="1">'Attenuation'!$F$213</definedName>
    <definedName name="Formula406" hidden="1">'Attenuation'!$G$213</definedName>
    <definedName name="Formula407" hidden="1">'Attenuation'!$H$213</definedName>
    <definedName name="Formula408" hidden="1">'Attenuation'!$I$213</definedName>
    <definedName name="Formula409" hidden="1">'Attenuation'!$J$213</definedName>
    <definedName name="Formula41" hidden="1">'Inert'!$I$131</definedName>
    <definedName name="Formula410" hidden="1">'Attenuation'!$K$213</definedName>
    <definedName name="Formula411" hidden="1">'Attenuation'!$L$213</definedName>
    <definedName name="Formula412" hidden="1">'Attenuation'!$M$213</definedName>
    <definedName name="Formula413" hidden="1">'Attenuation'!$N$213</definedName>
    <definedName name="Formula414" hidden="1">'Attenuation'!$O$213</definedName>
    <definedName name="Formula415" hidden="1">'Attenuation'!$P$213</definedName>
    <definedName name="Formula416" hidden="1">'Attenuation'!$Q$213</definedName>
    <definedName name="Formula417" hidden="1">'Attenuation'!$R$213</definedName>
    <definedName name="Formula418" hidden="1">'Attenuation'!$C$227</definedName>
    <definedName name="Formula419" hidden="1">'Attenuation'!$D$227</definedName>
    <definedName name="Formula42" hidden="1">'Inert'!$J$131</definedName>
    <definedName name="Formula420" hidden="1">'Attenuation'!$E$227</definedName>
    <definedName name="Formula421" hidden="1">'Attenuation'!$F$227</definedName>
    <definedName name="Formula422" hidden="1">'Attenuation'!$G$227</definedName>
    <definedName name="Formula423" hidden="1">'Attenuation'!$H$227</definedName>
    <definedName name="Formula424" hidden="1">'Attenuation'!$I$227</definedName>
    <definedName name="Formula425" hidden="1">'Attenuation'!$J$227</definedName>
    <definedName name="Formula426" hidden="1">'Attenuation'!$K$227</definedName>
    <definedName name="Formula427" hidden="1">'Attenuation'!$L$227</definedName>
    <definedName name="Formula428" hidden="1">'Attenuation'!$M$227</definedName>
    <definedName name="Formula429" hidden="1">'Attenuation'!$N$227</definedName>
    <definedName name="Formula43" hidden="1">'Inert'!$C$103</definedName>
    <definedName name="Formula430" hidden="1">'Attenuation'!$O$227</definedName>
    <definedName name="Formula431" hidden="1">'Attenuation'!$P$227</definedName>
    <definedName name="Formula432" hidden="1">'Attenuation'!$Q$227</definedName>
    <definedName name="Formula433" hidden="1">'Attenuation'!$R$227</definedName>
    <definedName name="Formula434" hidden="1">'Attenuation'!$C$236</definedName>
    <definedName name="Formula435" hidden="1">'Attenuation'!$D$236</definedName>
    <definedName name="Formula436" hidden="1">'Attenuation'!$E$236</definedName>
    <definedName name="Formula437" hidden="1">'Attenuation'!$F$236</definedName>
    <definedName name="Formula438" hidden="1">'Attenuation'!$G$236</definedName>
    <definedName name="Formula439" hidden="1">'Attenuation'!$H$236</definedName>
    <definedName name="Formula44" hidden="1">'Inert'!$D$103</definedName>
    <definedName name="Formula440" hidden="1">'Attenuation'!$I$236</definedName>
    <definedName name="Formula441" hidden="1">'Attenuation'!$J$236</definedName>
    <definedName name="Formula442" hidden="1">'Attenuation'!$K$236</definedName>
    <definedName name="Formula443" hidden="1">'Attenuation'!$L$236</definedName>
    <definedName name="Formula444" hidden="1">'Attenuation'!$M$236</definedName>
    <definedName name="Formula445" hidden="1">'Attenuation'!$N$236</definedName>
    <definedName name="Formula446" hidden="1">'Attenuation'!$O$236</definedName>
    <definedName name="Formula447" hidden="1">'Attenuation'!$P$236</definedName>
    <definedName name="Formula448" hidden="1">'Attenuation'!$Q$236</definedName>
    <definedName name="Formula449" hidden="1">'Attenuation'!$R$236</definedName>
    <definedName name="Formula45" hidden="1">'Inert'!$E$103</definedName>
    <definedName name="Formula450" hidden="1">'Attenuation'!$A$234</definedName>
    <definedName name="Formula451" hidden="1">'Attenuation'!$C$243</definedName>
    <definedName name="Formula452" hidden="1">'Attenuation'!$D$243</definedName>
    <definedName name="Formula453" hidden="1">'Attenuation'!$E$243</definedName>
    <definedName name="Formula454" hidden="1">'Attenuation'!$F$243</definedName>
    <definedName name="Formula455" hidden="1">'Attenuation'!$G$243</definedName>
    <definedName name="Formula456" hidden="1">'Attenuation'!$H$243</definedName>
    <definedName name="Formula457" hidden="1">'Attenuation'!$I$243</definedName>
    <definedName name="Formula458" hidden="1">'Attenuation'!$J$243</definedName>
    <definedName name="Formula459" hidden="1">'Attenuation'!$K$243</definedName>
    <definedName name="Formula46" hidden="1">'Inert'!$F$103</definedName>
    <definedName name="Formula460" hidden="1">'Attenuation'!$L$243</definedName>
    <definedName name="Formula461" hidden="1">'Attenuation'!$M$243</definedName>
    <definedName name="Formula462" hidden="1">'Attenuation'!$N$243</definedName>
    <definedName name="Formula463" hidden="1">'Attenuation'!$O$243</definedName>
    <definedName name="Formula464" hidden="1">'Attenuation'!$P$243</definedName>
    <definedName name="Formula465" hidden="1">'Attenuation'!$Q$243</definedName>
    <definedName name="Formula466" hidden="1">'Attenuation'!$R$243</definedName>
    <definedName name="Formula467" hidden="1">'Attenuation'!$C$257</definedName>
    <definedName name="Formula468" hidden="1">'Attenuation'!$D$257</definedName>
    <definedName name="Formula469" hidden="1">'Attenuation'!$E$257</definedName>
    <definedName name="Formula47" hidden="1">'Inert'!$G$103</definedName>
    <definedName name="Formula470" hidden="1">'Attenuation'!$F$257</definedName>
    <definedName name="Formula471" hidden="1">'Attenuation'!$G$257</definedName>
    <definedName name="Formula472" hidden="1">'Attenuation'!$H$257</definedName>
    <definedName name="Formula473" hidden="1">'Attenuation'!$I$257</definedName>
    <definedName name="Formula474" hidden="1">'Attenuation'!$J$257</definedName>
    <definedName name="Formula475" hidden="1">'Attenuation'!$K$257</definedName>
    <definedName name="Formula476" hidden="1">'Attenuation'!$L$257</definedName>
    <definedName name="Formula477" hidden="1">'Attenuation'!$M$257</definedName>
    <definedName name="Formula478" hidden="1">'Attenuation'!$N$257</definedName>
    <definedName name="Formula479" hidden="1">'Attenuation'!$O$257</definedName>
    <definedName name="Formula48" hidden="1">'Inert'!$H$103</definedName>
    <definedName name="Formula480" hidden="1">'Attenuation'!$P$257</definedName>
    <definedName name="Formula481" hidden="1">'Attenuation'!$Q$257</definedName>
    <definedName name="Formula482" hidden="1">'Attenuation'!$R$257</definedName>
    <definedName name="Formula483" hidden="1">'WaterBalance'!$D$10</definedName>
    <definedName name="Formula484" hidden="1">'WaterBalance'!$D$11</definedName>
    <definedName name="Formula485" hidden="1">'WaterBalance'!$D$13</definedName>
    <definedName name="Formula486" hidden="1">'Pathways'!$C$10</definedName>
    <definedName name="Formula487" hidden="1">'Pathways'!$E$13</definedName>
    <definedName name="Formula488" hidden="1">'Pathways'!$E$8</definedName>
    <definedName name="Formula489" hidden="1">'Pathways'!$G$13</definedName>
    <definedName name="Formula49" hidden="1">'Inert'!$I$103</definedName>
    <definedName name="Formula490" hidden="1">'Pathways'!$G$8</definedName>
    <definedName name="Formula491" hidden="1">'Simulation'!$L$5</definedName>
    <definedName name="Formula492" hidden="1">'Simulation'!$L$6</definedName>
    <definedName name="Formula493" hidden="1">'Inert'!$C$131</definedName>
    <definedName name="Formula494" hidden="1">'Inert'!$D$131</definedName>
    <definedName name="Formula495" hidden="1">'Inert'!$E$131</definedName>
    <definedName name="Formula496" hidden="1">'Inert'!$F$131</definedName>
    <definedName name="Formula497" hidden="1">'Inert'!$G$131</definedName>
    <definedName name="Formula498" hidden="1">'Inert'!$H$131</definedName>
    <definedName name="Formula499" hidden="1">'Inert'!$I$131</definedName>
    <definedName name="Formula5" hidden="1">'Inert'!$E$73</definedName>
    <definedName name="Formula50" hidden="1">'Inert'!$J$103</definedName>
    <definedName name="Formula500" hidden="1">'Inert'!$J$131</definedName>
    <definedName name="Formula501" hidden="1">'Inert'!$C$103</definedName>
    <definedName name="Formula502" hidden="1">'Inert'!$D$103</definedName>
    <definedName name="Formula503" hidden="1">'Inert'!$E$103</definedName>
    <definedName name="Formula504" hidden="1">'Inert'!$F$103</definedName>
    <definedName name="Formula505" hidden="1">'Inert'!$G$103</definedName>
    <definedName name="Formula506" hidden="1">'Inert'!$H$103</definedName>
    <definedName name="Formula507" hidden="1">'Inert'!$I$103</definedName>
    <definedName name="Formula508" hidden="1">'Inert'!$J$103</definedName>
    <definedName name="Formula509" hidden="1">'Inert'!$C$103</definedName>
    <definedName name="Formula51" hidden="1">'Inert'!$C$103</definedName>
    <definedName name="Formula510" hidden="1">'Inert'!$D$103</definedName>
    <definedName name="Formula511" hidden="1">'Inert'!$E$103</definedName>
    <definedName name="Formula512" hidden="1">'Inert'!$F$103</definedName>
    <definedName name="Formula513" hidden="1">'Inert'!$G$103</definedName>
    <definedName name="Formula514" hidden="1">'Inert'!$H$103</definedName>
    <definedName name="Formula515" hidden="1">'Inert'!$I$103</definedName>
    <definedName name="Formula516" hidden="1">'Inert'!$J$103</definedName>
    <definedName name="Formula517" hidden="1">'Pathways'!$C$11</definedName>
    <definedName name="Formula518" hidden="1">'Pathways'!$E$13</definedName>
    <definedName name="Formula519" hidden="1">'Pathways'!$E$8</definedName>
    <definedName name="Formula52" hidden="1">'Inert'!$D$103</definedName>
    <definedName name="Formula53" hidden="1">'Inert'!$E$103</definedName>
    <definedName name="Formula54" hidden="1">'Inert'!$F$103</definedName>
    <definedName name="Formula55" hidden="1">'Inert'!$G$103</definedName>
    <definedName name="Formula56" hidden="1">'Inert'!$H$103</definedName>
    <definedName name="Formula57" hidden="1">'Inert'!$I$103</definedName>
    <definedName name="Formula58" hidden="1">'Inert'!$J$103</definedName>
    <definedName name="Formula59" hidden="1">'Hydrogeology'!$C$19</definedName>
    <definedName name="Formula6" hidden="1">'Inert'!$F$73</definedName>
    <definedName name="Formula60" hidden="1">'Hydrogeology'!$D$19</definedName>
    <definedName name="Formula61" hidden="1">'Hydrogeology'!$E$19</definedName>
    <definedName name="Formula62" hidden="1">'Hydrogeology'!$F$19</definedName>
    <definedName name="Formula63" hidden="1">'Hydrogeology'!$G$19</definedName>
    <definedName name="Formula64" hidden="1">'Hydrogeology'!$H$19</definedName>
    <definedName name="Formula65" hidden="1">'Hydrogeology'!$I$19</definedName>
    <definedName name="Formula66" hidden="1">'Hydrogeology'!$J$19</definedName>
    <definedName name="Formula67" hidden="1">'Hydrogeology'!$K$19</definedName>
    <definedName name="Formula68" hidden="1">'Hydrogeology'!$L$19</definedName>
    <definedName name="Formula69" hidden="1">'Hydrogeology'!$M$19</definedName>
    <definedName name="Formula7" hidden="1">'Inert'!$G$73</definedName>
    <definedName name="Formula70" hidden="1">'Hydrogeology'!$N$19</definedName>
    <definedName name="Formula71" hidden="1">'Hydrogeology'!$O$19</definedName>
    <definedName name="Formula72" hidden="1">'Hydrogeology'!$P$19</definedName>
    <definedName name="Formula73" hidden="1">'Hydrogeology'!$Q$19</definedName>
    <definedName name="Formula74" hidden="1">'Hydrogeology'!$R$19</definedName>
    <definedName name="Formula75" hidden="1">'Hydrogeology'!$C$47</definedName>
    <definedName name="Formula76" hidden="1">'Hydrogeology'!$D$47</definedName>
    <definedName name="Formula77" hidden="1">'Hydrogeology'!$E$47</definedName>
    <definedName name="Formula78" hidden="1">'Hydrogeology'!$F$47</definedName>
    <definedName name="Formula79" hidden="1">'Hydrogeology'!$G$47</definedName>
    <definedName name="Formula8" hidden="1">'Inert'!$H$73</definedName>
    <definedName name="Formula80" hidden="1">'Hydrogeology'!$H$47</definedName>
    <definedName name="Formula81" hidden="1">'Hydrogeology'!$I$47</definedName>
    <definedName name="Formula82" hidden="1">'Hydrogeology'!$J$47</definedName>
    <definedName name="Formula83" hidden="1">'Hydrogeology'!$K$47</definedName>
    <definedName name="Formula84" hidden="1">'Hydrogeology'!$L$47</definedName>
    <definedName name="Formula85" hidden="1">'Hydrogeology'!$M$47</definedName>
    <definedName name="Formula86" hidden="1">'Hydrogeology'!$N$47</definedName>
    <definedName name="Formula87" hidden="1">'Hydrogeology'!$O$47</definedName>
    <definedName name="Formula88" hidden="1">'Hydrogeology'!$P$47</definedName>
    <definedName name="Formula89" hidden="1">'Hydrogeology'!$Q$47</definedName>
    <definedName name="Formula9" hidden="1">'Inert'!$I$73</definedName>
    <definedName name="Formula90" hidden="1">'Hydrogeology'!$R$47</definedName>
    <definedName name="Formula91" hidden="1">'Attenuation'!$C$26</definedName>
    <definedName name="Formula92" hidden="1">'Attenuation'!$D$26</definedName>
    <definedName name="Formula93" hidden="1">'Attenuation'!$E$26</definedName>
    <definedName name="Formula94" hidden="1">'Attenuation'!$F$26</definedName>
    <definedName name="Formula95" hidden="1">'Attenuation'!$G$26</definedName>
    <definedName name="Formula96" hidden="1">'Attenuation'!$H$26</definedName>
    <definedName name="Formula97" hidden="1">'Attenuation'!$I$26</definedName>
    <definedName name="Formula98" hidden="1">'Attenuation'!$J$26</definedName>
    <definedName name="Formula99" hidden="1">'Attenuation'!$K$26</definedName>
    <definedName name="Hydrogeological_Units">'Hydrogeology'!$3:$3</definedName>
    <definedName name="Hydrogeology_C_19" hidden="1">"Power(10, (Hydrogeology_Log_Hydraulic_Conductivity))"</definedName>
    <definedName name="Hydrogeology_C_19Col" hidden="1">35</definedName>
    <definedName name="Hydrogeology_C_47" hidden="1">"(Hydrogeology_Hydraulic_Conductivity) * (Hydrogeology_Hydraulic_Gradient) / (Hydrogeology_Porosity)"</definedName>
    <definedName name="Hydrogeology_C_47Col" hidden="1">35</definedName>
    <definedName name="Hydrogeology_D_19" hidden="1">"Power(10, (Hydrogeology_Log_Hydraulic_Conductivity))"</definedName>
    <definedName name="Hydrogeology_D_19Col" hidden="1">35</definedName>
    <definedName name="Hydrogeology_D_47" hidden="1">"(Hydrogeology_Hydraulic_Conductivity) * (Hydrogeology_Hydraulic_Gradient) / (Hydrogeology_Porosity)"</definedName>
    <definedName name="Hydrogeology_D_47Col" hidden="1">35</definedName>
    <definedName name="Hydrogeology_E_19" hidden="1">"Power(10, (Hydrogeology_Log_Hydraulic_Conductivity))"</definedName>
    <definedName name="Hydrogeology_E_19Col" hidden="1">35</definedName>
    <definedName name="Hydrogeology_E_47" hidden="1">"(Hydrogeology_Hydraulic_Conductivity) * (Hydrogeology_Hydraulic_Gradient) / (Hydrogeology_Porosity)"</definedName>
    <definedName name="Hydrogeology_E_47Col" hidden="1">35</definedName>
    <definedName name="Hydrogeology_F_19" hidden="1">"Power(10, (Hydrogeology_Log_Hydraulic_Conductivity))"</definedName>
    <definedName name="Hydrogeology_F_19Col" hidden="1">35</definedName>
    <definedName name="Hydrogeology_F_47" hidden="1">"(Hydrogeology_Hydraulic_Conductivity) * (Hydrogeology_Hydraulic_Gradient) / (Hydrogeology_Porosity)"</definedName>
    <definedName name="Hydrogeology_F_47Col" hidden="1">35</definedName>
    <definedName name="Hydrogeology_G_19" hidden="1">"Power(10, (Hydrogeology_Log_Hydraulic_Conductivity))"</definedName>
    <definedName name="Hydrogeology_G_19Col" hidden="1">35</definedName>
    <definedName name="Hydrogeology_G_47" hidden="1">"(Hydrogeology_Hydraulic_Conductivity) * (Hydrogeology_Hydraulic_Gradient) / (Hydrogeology_Porosity)"</definedName>
    <definedName name="Hydrogeology_G_47Col" hidden="1">35</definedName>
    <definedName name="Hydrogeology_H_19" hidden="1">"Power(10, (Hydrogeology_Log_Hydraulic_Conductivity))"</definedName>
    <definedName name="Hydrogeology_H_19Col" hidden="1">35</definedName>
    <definedName name="Hydrogeology_H_47" hidden="1">"(Hydrogeology_Hydraulic_Conductivity) * (Hydrogeology_Hydraulic_Gradient) / (Hydrogeology_Porosity)"</definedName>
    <definedName name="Hydrogeology_H_47Col" hidden="1">35</definedName>
    <definedName name="Hydrogeology_Head">'Hydrogeology'!$26:$26</definedName>
    <definedName name="Hydrogeology_Hydraulic_Conductivity">'Hydrogeology'!$19:$19</definedName>
    <definedName name="Hydrogeology_Hydraulic_Gradient">'Hydrogeology'!$33:$33</definedName>
    <definedName name="Hydrogeology_I_19" hidden="1">"Power(10, (Hydrogeology_Log_Hydraulic_Conductivity))"</definedName>
    <definedName name="Hydrogeology_I_19Col" hidden="1">35</definedName>
    <definedName name="Hydrogeology_I_47" hidden="1">"(Hydrogeology_Hydraulic_Conductivity) * (Hydrogeology_Hydraulic_Gradient) / (Hydrogeology_Porosity)"</definedName>
    <definedName name="Hydrogeology_I_47Col" hidden="1">35</definedName>
    <definedName name="Hydrogeology_J_19" hidden="1">"Power(10, (Hydrogeology_Log_Hydraulic_Conductivity))"</definedName>
    <definedName name="Hydrogeology_J_19Col" hidden="1">35</definedName>
    <definedName name="Hydrogeology_J_47" hidden="1">"(Hydrogeology_Hydraulic_Conductivity) * (Hydrogeology_Hydraulic_Gradient) / (Hydrogeology_Porosity)"</definedName>
    <definedName name="Hydrogeology_J_47Col" hidden="1">35</definedName>
    <definedName name="Hydrogeology_K_19" hidden="1">"Power(10, (Hydrogeology_Log_Hydraulic_Conductivity))"</definedName>
    <definedName name="Hydrogeology_K_19Col" hidden="1">35</definedName>
    <definedName name="Hydrogeology_K_47" hidden="1">"(Hydrogeology_Hydraulic_Conductivity) * (Hydrogeology_Hydraulic_Gradient) / (Hydrogeology_Porosity)"</definedName>
    <definedName name="Hydrogeology_K_47Col" hidden="1">35</definedName>
    <definedName name="Hydrogeology_L_19" hidden="1">"Power(10, (Hydrogeology_Log_Hydraulic_Conductivity))"</definedName>
    <definedName name="Hydrogeology_L_19Col" hidden="1">35</definedName>
    <definedName name="Hydrogeology_L_47" hidden="1">"(Hydrogeology_Hydraulic_Conductivity) * (Hydrogeology_Hydraulic_Gradient) / (Hydrogeology_Porosity)"</definedName>
    <definedName name="Hydrogeology_L_47Col" hidden="1">35</definedName>
    <definedName name="Hydrogeology_Log_Hydraulic_Conductivity">'Hydrogeology'!$12:$12</definedName>
    <definedName name="Hydrogeology_M_19" hidden="1">"Power(10, (Hydrogeology_Log_Hydraulic_Conductivity))"</definedName>
    <definedName name="Hydrogeology_M_19Col" hidden="1">35</definedName>
    <definedName name="Hydrogeology_M_47" hidden="1">"(Hydrogeology_Hydraulic_Conductivity) * (Hydrogeology_Hydraulic_Gradient) / (Hydrogeology_Porosity)"</definedName>
    <definedName name="Hydrogeology_M_47Col" hidden="1">35</definedName>
    <definedName name="Hydrogeology_N_19" hidden="1">"Power(10, (Hydrogeology_Log_Hydraulic_Conductivity))"</definedName>
    <definedName name="Hydrogeology_N_19Col" hidden="1">35</definedName>
    <definedName name="Hydrogeology_N_47" hidden="1">"(Hydrogeology_Hydraulic_Conductivity) * (Hydrogeology_Hydraulic_Gradient) / (Hydrogeology_Porosity)"</definedName>
    <definedName name="Hydrogeology_N_47Col" hidden="1">35</definedName>
    <definedName name="Hydrogeology_O_19" hidden="1">"Power(10, (Hydrogeology_Log_Hydraulic_Conductivity))"</definedName>
    <definedName name="Hydrogeology_O_19Col" hidden="1">35</definedName>
    <definedName name="Hydrogeology_O_47" hidden="1">"(Hydrogeology_Hydraulic_Conductivity) * (Hydrogeology_Hydraulic_Gradient) / (Hydrogeology_Porosity)"</definedName>
    <definedName name="Hydrogeology_O_47Col" hidden="1">35</definedName>
    <definedName name="Hydrogeology_P_19" hidden="1">"Power(10, (Hydrogeology_Log_Hydraulic_Conductivity))"</definedName>
    <definedName name="Hydrogeology_P_19Col" hidden="1">35</definedName>
    <definedName name="Hydrogeology_P_47" hidden="1">"(Hydrogeology_Hydraulic_Conductivity) * (Hydrogeology_Hydraulic_Gradient) / (Hydrogeology_Porosity)"</definedName>
    <definedName name="Hydrogeology_P_47Col" hidden="1">35</definedName>
    <definedName name="Hydrogeology_Porosity">'Hydrogeology'!$40:$40</definedName>
    <definedName name="Hydrogeology_Q_19" hidden="1">"Power(10, (Hydrogeology_Log_Hydraulic_Conductivity))"</definedName>
    <definedName name="Hydrogeology_Q_19Col" hidden="1">35</definedName>
    <definedName name="Hydrogeology_Q_47" hidden="1">"(Hydrogeology_Hydraulic_Conductivity) * (Hydrogeology_Hydraulic_Gradient) / (Hydrogeology_Porosity)"</definedName>
    <definedName name="Hydrogeology_Q_47Col" hidden="1">35</definedName>
    <definedName name="Hydrogeology_R_19" hidden="1">"Power(10, (Hydrogeology_Log_Hydraulic_Conductivity))"</definedName>
    <definedName name="Hydrogeology_R_19Col" hidden="1">35</definedName>
    <definedName name="Hydrogeology_R_47" hidden="1">"(Hydrogeology_Hydraulic_Conductivity) * (Hydrogeology_Hydraulic_Gradient) / (Hydrogeology_Porosity)"</definedName>
    <definedName name="Hydrogeology_R_47Col" hidden="1">35</definedName>
    <definedName name="Hydrogeology_Tortuosity">'Hydrogeology'!$54:$54</definedName>
    <definedName name="Hydrogeology_Unit_Thickness">'Hydrogeology'!$5:$5</definedName>
    <definedName name="Hydrogeology_Velocity">'Hydrogeology'!$47:$47</definedName>
    <definedName name="Inert_B_21" hidden="1">"Inert_Source_length * Inert_Source_width"</definedName>
    <definedName name="Inert_B_21Col" hidden="1">35</definedName>
    <definedName name="Inert_B_23" hidden="1">" Inert_Source_area * Inert_Source_thickness"</definedName>
    <definedName name="Inert_B_23Col" hidden="1">35</definedName>
    <definedName name="Inert_C_103" hidden="1">"0.001 * (Inert_Leaching_test_concentration) * (Inert_Source_field_capacity) * (Inert_Source_volume)"</definedName>
    <definedName name="Inert_C_103Col" hidden="1">35</definedName>
    <definedName name="Inert_C_124" hidden="1">"array"</definedName>
    <definedName name="Inert_C_124array" hidden="1">2</definedName>
    <definedName name="Inert_C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C_124array2" hidden="1">",??),?Not-used?)"</definedName>
    <definedName name="Inert_C_124Col" hidden="1">35</definedName>
    <definedName name="Inert_C_131" hidden="1">"(Inert_Leaching_test_concentration)"</definedName>
    <definedName name="Inert_C_131Col" hidden="1">38</definedName>
    <definedName name="Inert_C_49" hidden="1">"Inert_Source_porosity_total - Inert_Source_porosity_water_filled"</definedName>
    <definedName name="Inert_C_49Col" hidden="1">35</definedName>
    <definedName name="Inert_C_73" hidden="1">" If( ISTEXT( (Contaminants_Source_determinand_names Contaminants_Species1)), (Contaminants_Source_determinand_names Contaminants_Species1), ?Undefined? )"</definedName>
    <definedName name="Inert_C_73Col" hidden="1">38</definedName>
    <definedName name="Inert_C_96" hidden="1">"(Contaminants_Organic_Carbon_Water_Partition_Coefficient_Koc  Contaminants_Species1) * ( Inert_Source_fraction_organic_carbon)"</definedName>
    <definedName name="Inert_C_96Col" hidden="1">35</definedName>
    <definedName name="Inert_D_103" hidden="1">"0.001 * (Inert_Leaching_test_concentration) * (Inert_Source_field_capacity) * (Inert_Source_volume)"</definedName>
    <definedName name="Inert_D_103Col" hidden="1">35</definedName>
    <definedName name="Inert_D_124" hidden="1">"array"</definedName>
    <definedName name="Inert_D_124array" hidden="1">2</definedName>
    <definedName name="Inert_D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D_124array2" hidden="1">",??),?Not-used?)"</definedName>
    <definedName name="Inert_D_124Col" hidden="1">35</definedName>
    <definedName name="Inert_D_131" hidden="1">"(Inert_Leaching_test_concentration)"</definedName>
    <definedName name="Inert_D_131Col" hidden="1">38</definedName>
    <definedName name="Inert_D_73" hidden="1">" If( ISTEXT( (Contaminants_Source_determinand_names Contaminants_Species2)), (Contaminants_Source_determinand_names Contaminants_Species2), ?Undefined? )"</definedName>
    <definedName name="Inert_D_73Col" hidden="1">38</definedName>
    <definedName name="Inert_D_96" hidden="1">"(Contaminants_Organic_Carbon_Water_Partition_Coefficient_Koc  Contaminants_Species2) * ( Inert_Source_fraction_organic_carbon)"</definedName>
    <definedName name="Inert_D_96Col" hidden="1">35</definedName>
    <definedName name="Inert_E_103" hidden="1">"0.001 * (Inert_Leaching_test_concentration) * (Inert_Source_field_capacity) * (Inert_Source_volume)"</definedName>
    <definedName name="Inert_E_103Col" hidden="1">35</definedName>
    <definedName name="Inert_E_124" hidden="1">"array"</definedName>
    <definedName name="Inert_E_124array" hidden="1">2</definedName>
    <definedName name="Inert_E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E_124array2" hidden="1">",??),?Not-used?)"</definedName>
    <definedName name="Inert_E_124Col" hidden="1">35</definedName>
    <definedName name="Inert_E_131" hidden="1">"(Inert_Leaching_test_concentration)"</definedName>
    <definedName name="Inert_E_131Col" hidden="1">38</definedName>
    <definedName name="Inert_E_73" hidden="1">" If( ISTEXT( (Contaminants_Source_determinand_names Contaminants_Species3)), (Contaminants_Source_determinand_names Contaminants_Species3), ?Undefined? )"</definedName>
    <definedName name="Inert_E_73Col" hidden="1">38</definedName>
    <definedName name="Inert_E_96" hidden="1">"(Contaminants_Organic_Carbon_Water_Partition_Coefficient_Koc  Contaminants_Species3) * ( Inert_Source_fraction_organic_carbon)"</definedName>
    <definedName name="Inert_E_96Col" hidden="1">35</definedName>
    <definedName name="Inert_F_103" hidden="1">"0.001 * (Inert_Leaching_test_concentration) * (Inert_Source_field_capacity) * (Inert_Source_volume)"</definedName>
    <definedName name="Inert_F_103Col" hidden="1">35</definedName>
    <definedName name="Inert_F_124" hidden="1">"array"</definedName>
    <definedName name="Inert_F_124array" hidden="1">2</definedName>
    <definedName name="Inert_F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F_124array2" hidden="1">",??),?Not-used?)"</definedName>
    <definedName name="Inert_F_124Col" hidden="1">35</definedName>
    <definedName name="Inert_F_131" hidden="1">"(Inert_Leaching_test_concentration)"</definedName>
    <definedName name="Inert_F_131Col" hidden="1">38</definedName>
    <definedName name="Inert_F_73" hidden="1">" If( ISTEXT( (Contaminants_Source_determinand_names Contaminants_Species4)), (Contaminants_Source_determinand_names Contaminants_Species4), ?Undefined? )"</definedName>
    <definedName name="Inert_F_73Col" hidden="1">38</definedName>
    <definedName name="Inert_F_96" hidden="1">"(Contaminants_Organic_Carbon_Water_Partition_Coefficient_Koc  Contaminants_Species4) * ( Inert_Source_fraction_organic_carbon)"</definedName>
    <definedName name="Inert_F_96Col" hidden="1">35</definedName>
    <definedName name="Inert_G_103" hidden="1">"0.001 * (Inert_Leaching_test_concentration) * (Inert_Source_field_capacity) * (Inert_Source_volume)"</definedName>
    <definedName name="Inert_G_103Col" hidden="1">35</definedName>
    <definedName name="Inert_G_124" hidden="1">"array"</definedName>
    <definedName name="Inert_G_124array" hidden="1">2</definedName>
    <definedName name="Inert_G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G_124array2" hidden="1">",??),?Not-used?)"</definedName>
    <definedName name="Inert_G_124Col" hidden="1">35</definedName>
    <definedName name="Inert_G_131" hidden="1">"(Inert_Leaching_test_concentration)"</definedName>
    <definedName name="Inert_G_131Col" hidden="1">38</definedName>
    <definedName name="Inert_G_73" hidden="1">" If( ISTEXT( (Contaminants_Source_determinand_names Contaminants_Species5)), (Contaminants_Source_determinand_names Contaminants_Species5), ?Undefined? )"</definedName>
    <definedName name="Inert_G_73Col" hidden="1">38</definedName>
    <definedName name="Inert_G_96" hidden="1">"(Contaminants_Organic_Carbon_Water_Partition_Coefficient_Koc  Contaminants_Species5) * ( Inert_Source_fraction_organic_carbon)"</definedName>
    <definedName name="Inert_G_96Col" hidden="1">35</definedName>
    <definedName name="Inert_H_103" hidden="1">"0.001 * (Inert_Leaching_test_concentration) * (Inert_Source_field_capacity) * (Inert_Source_volume)"</definedName>
    <definedName name="Inert_H_103Col" hidden="1">35</definedName>
    <definedName name="Inert_H_124" hidden="1">"array"</definedName>
    <definedName name="Inert_H_124array" hidden="1">2</definedName>
    <definedName name="Inert_H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H_124array2" hidden="1">",??),?Not-used?)"</definedName>
    <definedName name="Inert_H_124Col" hidden="1">35</definedName>
    <definedName name="Inert_H_131" hidden="1">"(Inert_Leaching_test_concentration)"</definedName>
    <definedName name="Inert_H_131Col" hidden="1">38</definedName>
    <definedName name="Inert_H_73" hidden="1">" If( ISTEXT( (Contaminants_Source_determinand_names Contaminants_Species6)), (Contaminants_Source_determinand_names Contaminants_Species6), ?Undefined? )"</definedName>
    <definedName name="Inert_H_73Col" hidden="1">38</definedName>
    <definedName name="Inert_H_96" hidden="1">"(Contaminants_Organic_Carbon_Water_Partition_Coefficient_Koc  Contaminants_Species6) * ( Inert_Source_fraction_organic_carbon)"</definedName>
    <definedName name="Inert_H_96Col" hidden="1">35</definedName>
    <definedName name="Inert_I_103" hidden="1">"0.001 * (Inert_Leaching_test_concentration) * (Inert_Source_field_capacity) * (Inert_Source_volume)"</definedName>
    <definedName name="Inert_I_103Col" hidden="1">35</definedName>
    <definedName name="Inert_I_124" hidden="1">"array"</definedName>
    <definedName name="Inert_I_124array" hidden="1">2</definedName>
    <definedName name="Inert_I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I_124array2" hidden="1">",??),?Not-used?)"</definedName>
    <definedName name="Inert_I_124Col" hidden="1">35</definedName>
    <definedName name="Inert_I_131" hidden="1">"(Inert_Leaching_test_concentration)"</definedName>
    <definedName name="Inert_I_131Col" hidden="1">38</definedName>
    <definedName name="Inert_I_73" hidden="1">" If( ISTEXT( (Contaminants_Source_determinand_names Contaminants_Species7)), (Contaminants_Source_determinand_names Contaminants_Species7), ?Undefined? )"</definedName>
    <definedName name="Inert_I_73Col" hidden="1">38</definedName>
    <definedName name="Inert_I_96" hidden="1">"(Contaminants_Organic_Carbon_Water_Partition_Coefficient_Koc  Contaminants_Species7) * ( Inert_Source_fraction_organic_carbon)"</definedName>
    <definedName name="Inert_I_96Col" hidden="1">35</definedName>
    <definedName name="Inert_Initial_inventory">'Inert'!$103:$103</definedName>
    <definedName name="Inert_Input_concentration">'Inert'!$131:$131</definedName>
    <definedName name="Inert_J_103" hidden="1">"0.001 * (Inert_Leaching_test_concentration) * (Inert_Source_field_capacity) * (Inert_Source_volume)"</definedName>
    <definedName name="Inert_J_103Col" hidden="1">35</definedName>
    <definedName name="Inert_J_124" hidden="1">"array"</definedName>
    <definedName name="Inert_J_124array" hidden="1">2</definedName>
    <definedName name="Inert_J_124array1" hidden="1">"if(and(isnumber(Inert_Kappa_slope_value_m),isnumber(Inert_Kappa_intercept_value_c),isnumber(Inert_Input_concentration)), if(Inert_Input_concentration&gt;0,MAX(0,Inert_Kappa_slope_value_m * Ln(1000 * Inert_Input_concentration) + Inert_Kappa_intercept_value_c)"</definedName>
    <definedName name="Inert_J_124array2" hidden="1">",??),?Not-used?)"</definedName>
    <definedName name="Inert_J_124Col" hidden="1">35</definedName>
    <definedName name="Inert_J_131" hidden="1">"(Inert_Leaching_test_concentration)"</definedName>
    <definedName name="Inert_J_131Col" hidden="1">38</definedName>
    <definedName name="Inert_J_73" hidden="1">" If( ISTEXT( (Contaminants_Source_determinand_names Contaminants_Species8)), (Contaminants_Source_determinand_names Contaminants_Species8), ?Undefined? )"</definedName>
    <definedName name="Inert_J_73Col" hidden="1">38</definedName>
    <definedName name="Inert_J_96" hidden="1">"(Contaminants_Organic_Carbon_Water_Partition_Coefficient_Koc  Contaminants_Species8) * ( Inert_Source_fraction_organic_carbon)"</definedName>
    <definedName name="Inert_J_96Col" hidden="1">35</definedName>
    <definedName name="Inert_Kappa_intercept_value_c">'Inert'!$117:$117</definedName>
    <definedName name="Inert_Kappa_slope_value_m">'Inert'!$110:$110</definedName>
    <definedName name="Inert_Kappa_Value">'Inert'!$124:$124</definedName>
    <definedName name="Inert_Leaching_test_concentration">'Inert'!$82:$82</definedName>
    <definedName name="Inert_Pore_water_concentration">'Inert'!$75:$75</definedName>
    <definedName name="Inert_Soil_contaminant_concentration">'Inert'!$89:$89</definedName>
    <definedName name="Inert_Source_area">'Inert'!$B$21</definedName>
    <definedName name="Inert_Source_determinand_names">'Inert'!$73:$73</definedName>
    <definedName name="Inert_Source_dry_bulk_density">'Inert'!$C$56</definedName>
    <definedName name="Inert_Source_field_capacity">'Inert'!$C$28</definedName>
    <definedName name="Inert_Source_fraction_organic_carbon">'Inert'!$C$63</definedName>
    <definedName name="Inert_Source_length">'Inert'!$B$19</definedName>
    <definedName name="Inert_Source_porosity_air_filled">'Inert'!$C$49</definedName>
    <definedName name="Inert_Source_porosity_total">'Inert'!$C$35</definedName>
    <definedName name="Inert_Source_porosity_water_filled">'Inert'!$C$42</definedName>
    <definedName name="Inert_Source_solid_water_partitioning_coefficient_Kd">'Inert'!$96:$96</definedName>
    <definedName name="Inert_Source_thickness">'Inert'!$B$22</definedName>
    <definedName name="Inert_Source_volume">'Inert'!$B$23</definedName>
    <definedName name="Inert_Source_width">'Inert'!$B$20</definedName>
    <definedName name="Inert_Species1">'Inert'!$C:$C</definedName>
    <definedName name="Inert_Species2">'Inert'!$D:$D</definedName>
    <definedName name="Inert_Species3">'Inert'!$E:$E</definedName>
    <definedName name="Inert_Species4">'Inert'!$F:$F</definedName>
    <definedName name="Inert_Species5">'Inert'!$G:$G</definedName>
    <definedName name="Inert_Species6">'Inert'!$H:$H</definedName>
    <definedName name="Inert_Species7">'Inert'!$I:$I</definedName>
    <definedName name="Inert_Species8">'Inert'!$J:$J</definedName>
    <definedName name="Infiltration_Area">'WaterBalance'!$D$11</definedName>
    <definedName name="Infiltration_Factor">'WaterBalance'!$D$9</definedName>
    <definedName name="Infiltration_Rate">'WaterBalance'!$D$10</definedName>
    <definedName name="initial_seed">'Simulation'!$F$9</definedName>
    <definedName name="nsum">'Simulation'!$L$13</definedName>
    <definedName name="nu">'Simulation'!$L$12</definedName>
    <definedName name="num_simulations">'Simulation'!$F$6</definedName>
    <definedName name="num_timeslices">'Simulation'!$G$22</definedName>
    <definedName name="numFormula" hidden="1">520</definedName>
    <definedName name="NumPaths" hidden="1">1</definedName>
    <definedName name="OldTier" hidden="1">3</definedName>
    <definedName name="omega">'Simulation'!$L$14</definedName>
    <definedName name="Path1_Name">'Pathways'!$5:$5</definedName>
    <definedName name="Path1_Param1">'Pathways'!$8:$8</definedName>
    <definedName name="Path1_Param2">'Pathways'!$9:$9</definedName>
    <definedName name="Path1_Param3">'Pathways'!$10:$10</definedName>
    <definedName name="Path1_Param4">'Pathways'!$11:$11</definedName>
    <definedName name="Path1_Param5">'Pathways'!$12:$12</definedName>
    <definedName name="Path1_Param6">'Pathways'!$13:$13</definedName>
    <definedName name="Path1_Process">'Pathways'!$6:$6</definedName>
    <definedName name="Path1_Standards">'Pathways'!$7:$7</definedName>
    <definedName name="Pathways_C_10" hidden="1">"Q_infiltration"</definedName>
    <definedName name="Pathways_C_10Col" hidden="1">38</definedName>
    <definedName name="Pathways_C_11" hidden="1">"Q_infiltration"</definedName>
    <definedName name="Pathways_C_11Col" hidden="1">38</definedName>
    <definedName name="Pathways_E_13" hidden="1">"Path1_Param5*Path1_Param4*(Clay_Liner   Hydrogeology_Hydraulic_Conductivity)*(Clay_Liner   Hydrogeology_Hydraulic_Gradient)"</definedName>
    <definedName name="Pathways_E_13Col" hidden="1">35</definedName>
    <definedName name="Pathways_E_8" hidden="1">"(Clay_Liner   Hydrogeology_Velocity)"</definedName>
    <definedName name="Pathways_E_8Col" hidden="1">35</definedName>
    <definedName name="Pathways_G_13" hidden="1">"Path1_Param5*Path1_Param4*(SG   Hydrogeology_Hydraulic_Conductivity)*(SG   Hydrogeology_Hydraulic_Gradient)"</definedName>
    <definedName name="Pathways_G_13Col" hidden="1">35</definedName>
    <definedName name="Pathways_G_8" hidden="1">"(SG   Hydrogeology_Velocity)"</definedName>
    <definedName name="Pathways_G_8Col" hidden="1">35</definedName>
    <definedName name="percentile">'Simulation'!$F$5</definedName>
    <definedName name="Q_Infiltration">'WaterBalance'!$D$13</definedName>
    <definedName name="Quality_Standard_1">'Contaminants'!$9:$9</definedName>
    <definedName name="Quality_Standard_2">'Contaminants'!$10:$10</definedName>
    <definedName name="Quality_Standard_3">'Contaminants'!$11:$11</definedName>
    <definedName name="Quality_Standard_4">'Contaminants'!$12:$12</definedName>
    <definedName name="Quality_Standards">'Contaminants'!$B$9:$B$13</definedName>
    <definedName name="ResultsBT_DF_Path1">#REF!</definedName>
    <definedName name="s_per_day">'Simulation'!$L$6</definedName>
    <definedName name="s_per_year">'Simulation'!$L$5</definedName>
    <definedName name="Section1">'Pathways'!$C:$C</definedName>
    <definedName name="Section2">'Pathways'!$E:$E</definedName>
    <definedName name="Section3">'Pathways'!$G:$G</definedName>
    <definedName name="Section4">'Pathways'!$I:$I</definedName>
    <definedName name="SG">'Hydrogeology'!$D:$D</definedName>
    <definedName name="sigma">'Simulation'!$L$11</definedName>
    <definedName name="Simulation_L_5" hidden="1">"365.25*60*60*24"</definedName>
    <definedName name="Simulation_L_5Col" hidden="1">38</definedName>
    <definedName name="Simulation_L_6" hidden="1">"60*60*24"</definedName>
    <definedName name="Simulation_L_6Col" hidden="1">38</definedName>
    <definedName name="Site_Name" hidden="1">"Martells Western Extension"</definedName>
    <definedName name="Target_Standard">'Inert'!$A$14</definedName>
    <definedName name="TS_Path1">'Simulation'!$C$27:$C$31</definedName>
    <definedName name="TS_Path1_Spec1">'Simulation'!#REF!</definedName>
    <definedName name="TS_Path1_Spec2">'Simulation'!#REF!</definedName>
    <definedName name="TS_Path1_Spec3">'Simulation'!#REF!</definedName>
    <definedName name="TS_Path1_Spec4">'Simulation'!#REF!</definedName>
    <definedName name="TS_Path1_Spec5">'Simulation'!#REF!</definedName>
    <definedName name="TS_Path1_Spec6">'Simulation'!#REF!</definedName>
    <definedName name="tsBT_1_1">#REF!</definedName>
    <definedName name="tsBT_2_1">#REF!</definedName>
    <definedName name="tsBT_3_1">#REF!</definedName>
    <definedName name="tsBT_4_1">#REF!</definedName>
    <definedName name="tsBT_5_1">#REF!</definedName>
    <definedName name="Unit" hidden="1">TRUE</definedName>
    <definedName name="WaterBalance_D_10" hidden="1">" Effective_Rainfall * Infiltration_Factor"</definedName>
    <definedName name="WaterBalance_D_10Col" hidden="1">35</definedName>
    <definedName name="WaterBalance_D_11" hidden="1">" Inert_Source_area"</definedName>
    <definedName name="WaterBalance_D_11Col" hidden="1">35</definedName>
    <definedName name="WaterBalance_D_13" hidden="1">" 0.001 * Infiltration_Area * Infiltration_Rate / s_per_year"</definedName>
    <definedName name="WaterBalance_D_13Col" hidden="1">35</definedName>
  </definedNames>
  <calcPr fullCalcOnLoad="1"/>
</workbook>
</file>

<file path=xl/sharedStrings.xml><?xml version="1.0" encoding="utf-8"?>
<sst xmlns="http://schemas.openxmlformats.org/spreadsheetml/2006/main" count="2498" uniqueCount="533">
  <si>
    <t>Numerical value</t>
  </si>
  <si>
    <t>Suggested formula</t>
  </si>
  <si>
    <t>Probabilistic parameters</t>
  </si>
  <si>
    <t>Data specified elsewhere</t>
  </si>
  <si>
    <t>Suggested formula edited</t>
  </si>
  <si>
    <t>CONTAMINANT INFORMATION</t>
  </si>
  <si>
    <t>Species1</t>
  </si>
  <si>
    <t>Species2</t>
  </si>
  <si>
    <t>Species3</t>
  </si>
  <si>
    <t>Species4</t>
  </si>
  <si>
    <t>Species5</t>
  </si>
  <si>
    <t>Species6</t>
  </si>
  <si>
    <t>Species7</t>
  </si>
  <si>
    <t>Species8</t>
  </si>
  <si>
    <t>Source determinand names</t>
  </si>
  <si>
    <t>Receptor Target Concentrations</t>
  </si>
  <si>
    <t>Name</t>
  </si>
  <si>
    <t>Values in mg/L</t>
  </si>
  <si>
    <t>Not Specified</t>
  </si>
  <si>
    <t xml:space="preserve">Quality Standard 1  </t>
  </si>
  <si>
    <t xml:space="preserve">Quality Standard 2  </t>
  </si>
  <si>
    <t xml:space="preserve">Quality Standard 3  </t>
  </si>
  <si>
    <t xml:space="preserve">Quality Standard 4  </t>
  </si>
  <si>
    <t>Generic Contaminant Properties</t>
  </si>
  <si>
    <t>Contaminants_Solubility</t>
  </si>
  <si>
    <t>mg/L</t>
  </si>
  <si>
    <t>Distribution</t>
  </si>
  <si>
    <t>Contaminants_Solubility_param1</t>
  </si>
  <si>
    <t>Contaminants_Solubility_param2</t>
  </si>
  <si>
    <t>Contaminants_Solubility_param3</t>
  </si>
  <si>
    <t>constant</t>
  </si>
  <si>
    <t>Contaminants_Henrys_Law_Constant</t>
  </si>
  <si>
    <t>[-]</t>
  </si>
  <si>
    <t>Contaminants_Henrys_Law_Constant_param1</t>
  </si>
  <si>
    <t>Contaminants_Henrys_Law_Constant_param2</t>
  </si>
  <si>
    <t>Contaminants_Henrys_Law_Constant_param3</t>
  </si>
  <si>
    <t>Contaminants_Organic_Carbon_Water_Partition_Coefficient_Koc</t>
  </si>
  <si>
    <t>L/kg</t>
  </si>
  <si>
    <t>Contaminants_Organic_Carbon_Water_Partition_Coefficient_Koc_param1</t>
  </si>
  <si>
    <t>Contaminants_Organic_Carbon_Water_Partition_Coefficient_Koc_param2</t>
  </si>
  <si>
    <t>Contaminants_Organic_Carbon_Water_Partition_Coefficient_Koc_param3</t>
  </si>
  <si>
    <t>Contaminants_Free_Water_Diffusion_Coefficient</t>
  </si>
  <si>
    <t>m2/s</t>
  </si>
  <si>
    <t>Contaminants_Free_Water_Diffusion_Coefficient_param1</t>
  </si>
  <si>
    <t>Contaminants_Free_Water_Diffusion_Coefficient_param2</t>
  </si>
  <si>
    <t>Contaminants_Free_Water_Diffusion_Coefficient_param3</t>
  </si>
  <si>
    <t>SOURCE CONCENTRATIONS: Inert</t>
  </si>
  <si>
    <t>SOIL SOURCE</t>
  </si>
  <si>
    <t>Source Data Options</t>
  </si>
  <si>
    <t>Target Standard</t>
  </si>
  <si>
    <t>Select which Quality Standard (defined on the Contaminants sheet) to apply</t>
  </si>
  <si>
    <t>Source Geometry</t>
  </si>
  <si>
    <t>Inert_Source_length</t>
  </si>
  <si>
    <t>m</t>
  </si>
  <si>
    <t>Inert_Source_width</t>
  </si>
  <si>
    <t>Inert_Source_area</t>
  </si>
  <si>
    <t>m2</t>
  </si>
  <si>
    <t>Inert_Source_thickness</t>
  </si>
  <si>
    <t>Inert_Source_volume</t>
  </si>
  <si>
    <t>m3</t>
  </si>
  <si>
    <t>General Source Properties</t>
  </si>
  <si>
    <t>Inert_Source_field_capacity</t>
  </si>
  <si>
    <t>Inert_Source_field_capacity_param1</t>
  </si>
  <si>
    <t>Inert_Source_field_capacity_param2</t>
  </si>
  <si>
    <t>Inert_Source_field_capacity_param3</t>
  </si>
  <si>
    <t>Inert_Source_porosity_total</t>
  </si>
  <si>
    <t>Inert_Source_porosity_total_param1</t>
  </si>
  <si>
    <t>Inert_Source_porosity_total_param2</t>
  </si>
  <si>
    <t>Inert_Source_porosity_total_param3</t>
  </si>
  <si>
    <t>Inert_Source_porosity_water_filled</t>
  </si>
  <si>
    <t>Inert_Source_porosity_water_filled_param1</t>
  </si>
  <si>
    <t>Inert_Source_porosity_water_filled_param2</t>
  </si>
  <si>
    <t>Inert_Source_porosity_water_filled_param3</t>
  </si>
  <si>
    <t>Inert_Source_porosity_air_filled</t>
  </si>
  <si>
    <t>Inert_Source_porosity_air_filled_param1</t>
  </si>
  <si>
    <t>Inert_Source_porosity_air_filled_param2</t>
  </si>
  <si>
    <t>Inert_Source_porosity_air_filled_param3</t>
  </si>
  <si>
    <t>Inert_Source_dry_bulk_density</t>
  </si>
  <si>
    <t>kg/m3</t>
  </si>
  <si>
    <t>Inert_Source_dry_bulk_density_param1</t>
  </si>
  <si>
    <t>Inert_Source_dry_bulk_density_param2</t>
  </si>
  <si>
    <t>Inert_Source_dry_bulk_density_param3</t>
  </si>
  <si>
    <t>Inert_Source_fraction_organic_carbon</t>
  </si>
  <si>
    <t>Inert_Source_fraction_organic_carbon_param1</t>
  </si>
  <si>
    <t>Inert_Source_fraction_organic_carbon_param2</t>
  </si>
  <si>
    <t>Inert_Source_fraction_organic_carbon_param3</t>
  </si>
  <si>
    <t>Source Contaminant Information</t>
  </si>
  <si>
    <t>Inert_Pore_water_concentration</t>
  </si>
  <si>
    <t>Inert_Pore_water_concentration_param1</t>
  </si>
  <si>
    <t>Inert_Pore_water_concentration_param2</t>
  </si>
  <si>
    <t>Inert_Pore_water_concentration_param3</t>
  </si>
  <si>
    <t>Inert_Leaching_test_concentration</t>
  </si>
  <si>
    <t>Inert_Leaching_test_concentration_param1</t>
  </si>
  <si>
    <t>Inert_Leaching_test_concentration_param2</t>
  </si>
  <si>
    <t>Inert_Leaching_test_concentration_param3</t>
  </si>
  <si>
    <t>Inert_Soil_contaminant_concentration</t>
  </si>
  <si>
    <t>mg/kg</t>
  </si>
  <si>
    <t>Inert_Soil_contaminant_concentration_param1</t>
  </si>
  <si>
    <t>Inert_Soil_contaminant_concentration_param2</t>
  </si>
  <si>
    <t>Inert_Soil_contaminant_concentration_param3</t>
  </si>
  <si>
    <t>Inert_Source_solid_water_partitioning_coefficient_Kd</t>
  </si>
  <si>
    <t>Inert_Source_solid_water_partitioning_coefficient_Kd_param1</t>
  </si>
  <si>
    <t>Inert_Source_solid_water_partitioning_coefficient_Kd_param2</t>
  </si>
  <si>
    <t>Inert_Source_solid_water_partitioning_coefficient_Kd_param3</t>
  </si>
  <si>
    <t>Inert_Initial_inventory</t>
  </si>
  <si>
    <t>kg</t>
  </si>
  <si>
    <t>Inert_Initial_inventory_param1</t>
  </si>
  <si>
    <t>Inert_Initial_inventory_param2</t>
  </si>
  <si>
    <t>Inert_Initial_inventory_param3</t>
  </si>
  <si>
    <t>Inert_Kappa_slope_value_m</t>
  </si>
  <si>
    <t>kg/L</t>
  </si>
  <si>
    <t>Inert_Kappa_slope_value_m_param1</t>
  </si>
  <si>
    <t>Inert_Kappa_slope_value_m_param2</t>
  </si>
  <si>
    <t>Inert_Kappa_slope_value_m_param3</t>
  </si>
  <si>
    <t>Inert_Kappa_intercept_value_c</t>
  </si>
  <si>
    <t>Inert_Kappa_intercept_value_c_param1</t>
  </si>
  <si>
    <t>Inert_Kappa_intercept_value_c_param2</t>
  </si>
  <si>
    <t>Inert_Kappa_intercept_value_c_param3</t>
  </si>
  <si>
    <t>Inert_Kappa_Value</t>
  </si>
  <si>
    <t>Inert_Kappa_Value_param1</t>
  </si>
  <si>
    <t>Inert_Kappa_Value_param2</t>
  </si>
  <si>
    <t>Inert_Kappa_Value_param3</t>
  </si>
  <si>
    <t>Inert_Input_concentration</t>
  </si>
  <si>
    <t>Source Type</t>
  </si>
  <si>
    <t>HYDROGEOLOGICAL UNITS</t>
  </si>
  <si>
    <t>Hydrogeological Units</t>
  </si>
  <si>
    <t>Hydrogeology_Unit_Thickness</t>
  </si>
  <si>
    <t>Hydrogeology_Unit_Thickness_param1</t>
  </si>
  <si>
    <t>Hydrogeology_Unit_Thickness_param2</t>
  </si>
  <si>
    <t>Hydrogeology_Unit_Thickness_param3</t>
  </si>
  <si>
    <t>Hydrogeology_Log_Hydraulic_Conductivity</t>
  </si>
  <si>
    <t>log(m/s)</t>
  </si>
  <si>
    <t>Hydrogeology_Log_Hydraulic_Conductivity_param1</t>
  </si>
  <si>
    <t>Hydrogeology_Log_Hydraulic_Conductivity_param2</t>
  </si>
  <si>
    <t>Hydrogeology_Log_Hydraulic_Conductivity_param3</t>
  </si>
  <si>
    <t>Hydrogeology_Hydraulic_Conductivity</t>
  </si>
  <si>
    <t>m/s</t>
  </si>
  <si>
    <t>Hydrogeology_Hydraulic_Conductivity_param1</t>
  </si>
  <si>
    <t>Hydrogeology_Hydraulic_Conductivity_param2</t>
  </si>
  <si>
    <t>Hydrogeology_Hydraulic_Conductivity_param3</t>
  </si>
  <si>
    <t>Hydrogeology_Head</t>
  </si>
  <si>
    <t>Hydrogeology_Head_param1</t>
  </si>
  <si>
    <t>Hydrogeology_Head_param2</t>
  </si>
  <si>
    <t>Hydrogeology_Head_param3</t>
  </si>
  <si>
    <t>Hydrogeology_Hydraulic_Gradient</t>
  </si>
  <si>
    <t>Hydrogeology_Hydraulic_Gradient_param1</t>
  </si>
  <si>
    <t>Hydrogeology_Hydraulic_Gradient_param2</t>
  </si>
  <si>
    <t>Hydrogeology_Hydraulic_Gradient_param3</t>
  </si>
  <si>
    <t>Hydrogeology_Porosity</t>
  </si>
  <si>
    <t>Hydrogeology_Porosity_param1</t>
  </si>
  <si>
    <t>Hydrogeology_Porosity_param2</t>
  </si>
  <si>
    <t>Hydrogeology_Porosity_param3</t>
  </si>
  <si>
    <t>Hydrogeology_Velocity</t>
  </si>
  <si>
    <t>Hydrogeology_Velocity_param1</t>
  </si>
  <si>
    <t>Hydrogeology_Velocity_param2</t>
  </si>
  <si>
    <t>Hydrogeology_Velocity_param3</t>
  </si>
  <si>
    <t>Hydrogeology_Tortuosity</t>
  </si>
  <si>
    <t>Hydrogeology_Tortuosity_param1</t>
  </si>
  <si>
    <t>Hydrogeology_Tortuosity_param2</t>
  </si>
  <si>
    <t>Hydrogeology_Tortuosity_param3</t>
  </si>
  <si>
    <t>ATTENUATION PARAMETERS</t>
  </si>
  <si>
    <t>General properties</t>
  </si>
  <si>
    <t>Attenuation_Dry_bulk_density</t>
  </si>
  <si>
    <t>Attenuation_Dry_bulk_density_param1</t>
  </si>
  <si>
    <t>Attenuation_Dry_bulk_density_param2</t>
  </si>
  <si>
    <t>Attenuation_Dry_bulk_density_param3</t>
  </si>
  <si>
    <t>Attenuation_Fraction_organic_carbon</t>
  </si>
  <si>
    <t>Attenuation_Fraction_organic_carbon_param1</t>
  </si>
  <si>
    <t>Attenuation_Fraction_organic_carbon_param2</t>
  </si>
  <si>
    <t>Attenuation_Fraction_organic_carbon_param3</t>
  </si>
  <si>
    <t>Contaminant specific parameters</t>
  </si>
  <si>
    <t>Attenuation_Partition_Coefficient_Kd_Species_1</t>
  </si>
  <si>
    <t>Attenuation_Partition_Coefficient_Kd_Species_1_param1</t>
  </si>
  <si>
    <t>Attenuation_Partition_Coefficient_Kd_Species_1_param2</t>
  </si>
  <si>
    <t>Attenuation_Partition_Coefficient_Kd_Species_1_param3</t>
  </si>
  <si>
    <t>Attenuation_Retardation_Species_1</t>
  </si>
  <si>
    <t>Attenuation_Retardation_Species_1_param1</t>
  </si>
  <si>
    <t>Attenuation_Retardation_Species_1_param2</t>
  </si>
  <si>
    <t>Attenuation_Retardation_Species_1_param3</t>
  </si>
  <si>
    <t>Attenuation_Half_Life_Species_1</t>
  </si>
  <si>
    <t>days</t>
  </si>
  <si>
    <t>Attenuation_Half_Life_Species_1_param1</t>
  </si>
  <si>
    <t>Attenuation_Half_Life_Species_1_param2</t>
  </si>
  <si>
    <t>Attenuation_Half_Life_Species_1_param3</t>
  </si>
  <si>
    <t>No Decay</t>
  </si>
  <si>
    <t>Attenuation_Decay_Coefficient_Species_1</t>
  </si>
  <si>
    <t>1/s</t>
  </si>
  <si>
    <t>Attenuation_Decay_Coefficient_Species_1_param1</t>
  </si>
  <si>
    <t>Attenuation_Decay_Coefficient_Species_1_param2</t>
  </si>
  <si>
    <t>Attenuation_Decay_Coefficient_Species_1_param3</t>
  </si>
  <si>
    <t>Attenuation_Partition_Coefficient_Kd_Species_2</t>
  </si>
  <si>
    <t>Attenuation_Partition_Coefficient_Kd_Species_2_param1</t>
  </si>
  <si>
    <t>Attenuation_Partition_Coefficient_Kd_Species_2_param2</t>
  </si>
  <si>
    <t>Attenuation_Partition_Coefficient_Kd_Species_2_param3</t>
  </si>
  <si>
    <t>Attenuation_Retardation_Species_2</t>
  </si>
  <si>
    <t>Attenuation_Retardation_Species_2_param1</t>
  </si>
  <si>
    <t>Attenuation_Retardation_Species_2_param2</t>
  </si>
  <si>
    <t>Attenuation_Retardation_Species_2_param3</t>
  </si>
  <si>
    <t>Attenuation_Half_Life_Species_2</t>
  </si>
  <si>
    <t>Attenuation_Half_Life_Species_2_param1</t>
  </si>
  <si>
    <t>Attenuation_Half_Life_Species_2_param2</t>
  </si>
  <si>
    <t>Attenuation_Half_Life_Species_2_param3</t>
  </si>
  <si>
    <t>Attenuation_Decay_Coefficient_Species_2</t>
  </si>
  <si>
    <t>Attenuation_Decay_Coefficient_Species_2_param1</t>
  </si>
  <si>
    <t>Attenuation_Decay_Coefficient_Species_2_param2</t>
  </si>
  <si>
    <t>Attenuation_Decay_Coefficient_Species_2_param3</t>
  </si>
  <si>
    <t>Attenuation_Partition_Coefficient_Kd_Species_3</t>
  </si>
  <si>
    <t>Attenuation_Partition_Coefficient_Kd_Species_3_param1</t>
  </si>
  <si>
    <t>Attenuation_Partition_Coefficient_Kd_Species_3_param2</t>
  </si>
  <si>
    <t>Attenuation_Partition_Coefficient_Kd_Species_3_param3</t>
  </si>
  <si>
    <t>Attenuation_Retardation_Species_3</t>
  </si>
  <si>
    <t>Attenuation_Retardation_Species_3_param1</t>
  </si>
  <si>
    <t>Attenuation_Retardation_Species_3_param2</t>
  </si>
  <si>
    <t>Attenuation_Retardation_Species_3_param3</t>
  </si>
  <si>
    <t>Attenuation_Half_Life_Species_3</t>
  </si>
  <si>
    <t>Attenuation_Half_Life_Species_3_param1</t>
  </si>
  <si>
    <t>Attenuation_Half_Life_Species_3_param2</t>
  </si>
  <si>
    <t>Attenuation_Half_Life_Species_3_param3</t>
  </si>
  <si>
    <t>Attenuation_Decay_Coefficient_Species_3</t>
  </si>
  <si>
    <t>Attenuation_Decay_Coefficient_Species_3_param1</t>
  </si>
  <si>
    <t>Attenuation_Decay_Coefficient_Species_3_param2</t>
  </si>
  <si>
    <t>Attenuation_Decay_Coefficient_Species_3_param3</t>
  </si>
  <si>
    <t>Attenuation_Partition_Coefficient_Kd_Species_4</t>
  </si>
  <si>
    <t>Attenuation_Partition_Coefficient_Kd_Species_4_param1</t>
  </si>
  <si>
    <t>Attenuation_Partition_Coefficient_Kd_Species_4_param2</t>
  </si>
  <si>
    <t>Attenuation_Partition_Coefficient_Kd_Species_4_param3</t>
  </si>
  <si>
    <t>Attenuation_Retardation_Species_4</t>
  </si>
  <si>
    <t>Attenuation_Retardation_Species_4_param1</t>
  </si>
  <si>
    <t>Attenuation_Retardation_Species_4_param2</t>
  </si>
  <si>
    <t>Attenuation_Retardation_Species_4_param3</t>
  </si>
  <si>
    <t>Attenuation_Half_Life_Species_4</t>
  </si>
  <si>
    <t>Attenuation_Half_Life_Species_4_param1</t>
  </si>
  <si>
    <t>Attenuation_Half_Life_Species_4_param2</t>
  </si>
  <si>
    <t>Attenuation_Half_Life_Species_4_param3</t>
  </si>
  <si>
    <t>Attenuation_Decay_Coefficient_Species_4</t>
  </si>
  <si>
    <t>Attenuation_Decay_Coefficient_Species_4_param1</t>
  </si>
  <si>
    <t>Attenuation_Decay_Coefficient_Species_4_param2</t>
  </si>
  <si>
    <t>Attenuation_Decay_Coefficient_Species_4_param3</t>
  </si>
  <si>
    <t>Attenuation_Partition_Coefficient_Kd_Species_5</t>
  </si>
  <si>
    <t>Attenuation_Partition_Coefficient_Kd_Species_5_param1</t>
  </si>
  <si>
    <t>Attenuation_Partition_Coefficient_Kd_Species_5_param2</t>
  </si>
  <si>
    <t>Attenuation_Partition_Coefficient_Kd_Species_5_param3</t>
  </si>
  <si>
    <t>Attenuation_Retardation_Species_5</t>
  </si>
  <si>
    <t>Attenuation_Retardation_Species_5_param1</t>
  </si>
  <si>
    <t>Attenuation_Retardation_Species_5_param2</t>
  </si>
  <si>
    <t>Attenuation_Retardation_Species_5_param3</t>
  </si>
  <si>
    <t>Attenuation_Half_Life_Species_5</t>
  </si>
  <si>
    <t>Attenuation_Half_Life_Species_5_param1</t>
  </si>
  <si>
    <t>Attenuation_Half_Life_Species_5_param2</t>
  </si>
  <si>
    <t>Attenuation_Half_Life_Species_5_param3</t>
  </si>
  <si>
    <t>Attenuation_Decay_Coefficient_Species_5</t>
  </si>
  <si>
    <t>Attenuation_Decay_Coefficient_Species_5_param1</t>
  </si>
  <si>
    <t>Attenuation_Decay_Coefficient_Species_5_param2</t>
  </si>
  <si>
    <t>Attenuation_Decay_Coefficient_Species_5_param3</t>
  </si>
  <si>
    <t>Attenuation_Partition_Coefficient_Kd_Species_6</t>
  </si>
  <si>
    <t>Attenuation_Partition_Coefficient_Kd_Species_6_param1</t>
  </si>
  <si>
    <t>Attenuation_Partition_Coefficient_Kd_Species_6_param2</t>
  </si>
  <si>
    <t>Attenuation_Partition_Coefficient_Kd_Species_6_param3</t>
  </si>
  <si>
    <t>Attenuation_Retardation_Species_6</t>
  </si>
  <si>
    <t>Attenuation_Retardation_Species_6_param1</t>
  </si>
  <si>
    <t>Attenuation_Retardation_Species_6_param2</t>
  </si>
  <si>
    <t>Attenuation_Retardation_Species_6_param3</t>
  </si>
  <si>
    <t>Attenuation_Half_Life_Species_6</t>
  </si>
  <si>
    <t>Attenuation_Half_Life_Species_6_param1</t>
  </si>
  <si>
    <t>Attenuation_Half_Life_Species_6_param2</t>
  </si>
  <si>
    <t>Attenuation_Half_Life_Species_6_param3</t>
  </si>
  <si>
    <t>Attenuation_Decay_Coefficient_Species_6</t>
  </si>
  <si>
    <t>Attenuation_Decay_Coefficient_Species_6_param1</t>
  </si>
  <si>
    <t>Attenuation_Decay_Coefficient_Species_6_param2</t>
  </si>
  <si>
    <t>Attenuation_Decay_Coefficient_Species_6_param3</t>
  </si>
  <si>
    <t>Attenuation_Partition_Coefficient_Kd_Species_7</t>
  </si>
  <si>
    <t>Attenuation_Partition_Coefficient_Kd_Species_7_param1</t>
  </si>
  <si>
    <t>Attenuation_Partition_Coefficient_Kd_Species_7_param2</t>
  </si>
  <si>
    <t>Attenuation_Partition_Coefficient_Kd_Species_7_param3</t>
  </si>
  <si>
    <t>Attenuation_Retardation_Species_7</t>
  </si>
  <si>
    <t>Attenuation_Retardation_Species_7_param1</t>
  </si>
  <si>
    <t>Attenuation_Retardation_Species_7_param2</t>
  </si>
  <si>
    <t>Attenuation_Retardation_Species_7_param3</t>
  </si>
  <si>
    <t>Attenuation_Half_Life_Species_7</t>
  </si>
  <si>
    <t>Attenuation_Half_Life_Species_7_param1</t>
  </si>
  <si>
    <t>Attenuation_Half_Life_Species_7_param2</t>
  </si>
  <si>
    <t>Attenuation_Half_Life_Species_7_param3</t>
  </si>
  <si>
    <t>Attenuation_Decay_Coefficient_Species_7</t>
  </si>
  <si>
    <t>Attenuation_Decay_Coefficient_Species_7_param1</t>
  </si>
  <si>
    <t>Attenuation_Decay_Coefficient_Species_7_param2</t>
  </si>
  <si>
    <t>Attenuation_Decay_Coefficient_Species_7_param3</t>
  </si>
  <si>
    <t>Attenuation_Partition_Coefficient_Kd_Species_8</t>
  </si>
  <si>
    <t>Attenuation_Partition_Coefficient_Kd_Species_8_param1</t>
  </si>
  <si>
    <t>Attenuation_Partition_Coefficient_Kd_Species_8_param2</t>
  </si>
  <si>
    <t>Attenuation_Partition_Coefficient_Kd_Species_8_param3</t>
  </si>
  <si>
    <t>Attenuation_Retardation_Species_8</t>
  </si>
  <si>
    <t>Attenuation_Retardation_Species_8_param1</t>
  </si>
  <si>
    <t>Attenuation_Retardation_Species_8_param2</t>
  </si>
  <si>
    <t>Attenuation_Retardation_Species_8_param3</t>
  </si>
  <si>
    <t>Attenuation_Half_Life_Species_8</t>
  </si>
  <si>
    <t>Attenuation_Half_Life_Species_8_param1</t>
  </si>
  <si>
    <t>Attenuation_Half_Life_Species_8_param2</t>
  </si>
  <si>
    <t>Attenuation_Half_Life_Species_8_param3</t>
  </si>
  <si>
    <t>Attenuation_Decay_Coefficient_Species_8</t>
  </si>
  <si>
    <t>Attenuation_Decay_Coefficient_Species_8_param1</t>
  </si>
  <si>
    <t>Attenuation_Decay_Coefficient_Species_8_param2</t>
  </si>
  <si>
    <t>Attenuation_Decay_Coefficient_Species_8_param3</t>
  </si>
  <si>
    <t>RECEPTOR: BH11</t>
  </si>
  <si>
    <t>Receptor Options</t>
  </si>
  <si>
    <t>No further dilution along pathway</t>
  </si>
  <si>
    <t>No data requirement</t>
  </si>
  <si>
    <t>SG</t>
  </si>
  <si>
    <t>Clay Liner</t>
  </si>
  <si>
    <t>AUDIT TRAIL SHEET</t>
  </si>
  <si>
    <t>Author</t>
  </si>
  <si>
    <t>Date</t>
  </si>
  <si>
    <t>Time</t>
  </si>
  <si>
    <t>Cell Address</t>
  </si>
  <si>
    <t>New Value</t>
  </si>
  <si>
    <t>Old Value</t>
  </si>
  <si>
    <t>Cell Name</t>
  </si>
  <si>
    <t>WATER BALANCE</t>
  </si>
  <si>
    <t>Infiltration through the soil zone source</t>
  </si>
  <si>
    <t>Source Name: Inert</t>
  </si>
  <si>
    <t>Effective_Rainfall</t>
  </si>
  <si>
    <t>mm/year</t>
  </si>
  <si>
    <t>Infiltration_Factor</t>
  </si>
  <si>
    <t>Infiltration_Rate</t>
  </si>
  <si>
    <t>Infiltration_Area</t>
  </si>
  <si>
    <t>Q_Infiltration</t>
  </si>
  <si>
    <t>m3/s</t>
  </si>
  <si>
    <t>PATHWAY SUMMARY</t>
  </si>
  <si>
    <t>Path 1</t>
  </si>
  <si>
    <t>Path 1  Type</t>
  </si>
  <si>
    <t>Path 1  Name</t>
  </si>
  <si>
    <t>Path 1  Process</t>
  </si>
  <si>
    <t>Path 1  Standards</t>
  </si>
  <si>
    <t>Path 1  Parameter1</t>
  </si>
  <si>
    <t>Path 1  Parameter2</t>
  </si>
  <si>
    <t>Path 1  Parameter3</t>
  </si>
  <si>
    <t>Path 1  Parameter4</t>
  </si>
  <si>
    <t>Path 1  Parameter5</t>
  </si>
  <si>
    <t>Path 1  Parameter6</t>
  </si>
  <si>
    <t>Section 1</t>
  </si>
  <si>
    <t>Source</t>
  </si>
  <si>
    <t>Inert</t>
  </si>
  <si>
    <t>Q_managed [m3/s]</t>
  </si>
  <si>
    <t>Managed time [years]</t>
  </si>
  <si>
    <t>Q_path [m3/s]</t>
  </si>
  <si>
    <t>Q_decline [m3/s]</t>
  </si>
  <si>
    <t>Section 2</t>
  </si>
  <si>
    <t>Unit</t>
  </si>
  <si>
    <t>Clay Liner: Node 1</t>
  </si>
  <si>
    <t>ADRD (1D)</t>
  </si>
  <si>
    <t>Velocity [m/s]</t>
  </si>
  <si>
    <t>Dispersivity [m]</t>
  </si>
  <si>
    <t>Travel Distance [m]</t>
  </si>
  <si>
    <t>Q_Dilute [m3/s]</t>
  </si>
  <si>
    <t>Section 3</t>
  </si>
  <si>
    <t>S&amp;G: Node 1</t>
  </si>
  <si>
    <t>ADRD (1D) + Dilution</t>
  </si>
  <si>
    <t>Mixing Depth [m]</t>
  </si>
  <si>
    <t>Mixing Width [m]</t>
  </si>
  <si>
    <t>Section 4</t>
  </si>
  <si>
    <t>Receptor</t>
  </si>
  <si>
    <t>BH11</t>
  </si>
  <si>
    <t>Monitoring Borehole</t>
  </si>
  <si>
    <t>Q_dilute [m3/s]</t>
  </si>
  <si>
    <t>SIMULATION PARAMETERS</t>
  </si>
  <si>
    <t>Named Constants</t>
  </si>
  <si>
    <t>s_per_year</t>
  </si>
  <si>
    <t>s_per_day</t>
  </si>
  <si>
    <t>Laplace Transform Solution Parameters</t>
  </si>
  <si>
    <t>sigma</t>
  </si>
  <si>
    <t>nu</t>
  </si>
  <si>
    <t>nsum</t>
  </si>
  <si>
    <t>omega</t>
  </si>
  <si>
    <t>Monte Carlo Analysis with Crystal Ball</t>
  </si>
  <si>
    <t>Reported Percentile</t>
  </si>
  <si>
    <t>Number of simulations</t>
  </si>
  <si>
    <t>Minimise while running:</t>
  </si>
  <si>
    <t>Reporting Options</t>
  </si>
  <si>
    <t>Number of timeslices for breakthrough curves</t>
  </si>
  <si>
    <t xml:space="preserve"> The timeslices specified on the results sheets are saved below.</t>
  </si>
  <si>
    <t>Path1 timeslices in years</t>
  </si>
  <si>
    <t>TS_Path1</t>
  </si>
  <si>
    <t>Gavin Chaplin</t>
  </si>
  <si>
    <t>Inert:$B$19</t>
  </si>
  <si>
    <t>Inert:$B$20</t>
  </si>
  <si>
    <t>Inert:$B$22</t>
  </si>
  <si>
    <t>Declining source</t>
  </si>
  <si>
    <t>Inert:$C$28</t>
  </si>
  <si>
    <t>Amm N</t>
  </si>
  <si>
    <t>Contaminants:$D$4</t>
  </si>
  <si>
    <t>Contaminants_Source_determinand_names Contaminants_Species1</t>
  </si>
  <si>
    <t>Cadmium</t>
  </si>
  <si>
    <t>Contaminants:$E$4</t>
  </si>
  <si>
    <t>Contaminants_Source_determinand_names Contaminants_Species2</t>
  </si>
  <si>
    <t>Chloride</t>
  </si>
  <si>
    <t>Contaminants:$F$4</t>
  </si>
  <si>
    <t>Contaminants_Source_determinand_names Contaminants_Species3</t>
  </si>
  <si>
    <t>Potassium</t>
  </si>
  <si>
    <t>Contaminants:$G$4</t>
  </si>
  <si>
    <t>Contaminants_Source_determinand_names Contaminants_Species4</t>
  </si>
  <si>
    <t>Nickel</t>
  </si>
  <si>
    <t>Contaminants:$H$4</t>
  </si>
  <si>
    <t>Contaminants_Source_determinand_names Contaminants_Species5</t>
  </si>
  <si>
    <t>Phenol</t>
  </si>
  <si>
    <t>Contaminants:$I$4</t>
  </si>
  <si>
    <t>Contaminants_Source_determinand_names Contaminants_Species6</t>
  </si>
  <si>
    <t>EAL</t>
  </si>
  <si>
    <t>Contaminants:$B$9</t>
  </si>
  <si>
    <t>Contaminants:$D$9</t>
  </si>
  <si>
    <t>Quality_Standard_1 Contaminants_Species1</t>
  </si>
  <si>
    <t>Contaminants:$E$9</t>
  </si>
  <si>
    <t>Quality_Standard_1 Contaminants_Species2</t>
  </si>
  <si>
    <t>Contaminants:$F$9</t>
  </si>
  <si>
    <t>Quality_Standard_1 Contaminants_Species3</t>
  </si>
  <si>
    <t>Contaminants:$G$9</t>
  </si>
  <si>
    <t>Quality_Standard_1 Contaminants_Species4</t>
  </si>
  <si>
    <t>Contaminants:$H$9</t>
  </si>
  <si>
    <t>Quality_Standard_1 Contaminants_Species5</t>
  </si>
  <si>
    <t>Contaminants:$I$9</t>
  </si>
  <si>
    <t>Quality_Standard_1 Contaminants_Species6</t>
  </si>
  <si>
    <t>Contaminants:$I$31</t>
  </si>
  <si>
    <t>Contaminants_Organic_Carbon_Water_Partition_Coefficient_Koc Contaminants_Species6</t>
  </si>
  <si>
    <t>Contaminants:$I$38</t>
  </si>
  <si>
    <t>Contaminants_Free_Water_Diffusion_Coefficient Contaminants_Species6</t>
  </si>
  <si>
    <t>Inert:$C$82</t>
  </si>
  <si>
    <t>Inert_Leaching_test_concentration Inert_Species1</t>
  </si>
  <si>
    <t>Inert:$D$82</t>
  </si>
  <si>
    <t>Inert_Leaching_test_concentration Inert_Species2</t>
  </si>
  <si>
    <t>Inert:$E$82</t>
  </si>
  <si>
    <t>Inert_Leaching_test_concentration Inert_Species3</t>
  </si>
  <si>
    <t>Inert:$F$82</t>
  </si>
  <si>
    <t>Inert_Leaching_test_concentration Inert_Species4</t>
  </si>
  <si>
    <t>Inert:$G$82</t>
  </si>
  <si>
    <t>Inert_Leaching_test_concentration Inert_Species5</t>
  </si>
  <si>
    <t>Inert:$H$82</t>
  </si>
  <si>
    <t>Inert_Leaching_test_concentration Inert_Species6</t>
  </si>
  <si>
    <t>WaterBalance:$D$8</t>
  </si>
  <si>
    <t>WaterBalance:$D$9</t>
  </si>
  <si>
    <t>Hydrogeology:$C$5</t>
  </si>
  <si>
    <t>Hydrogeology_Unit_Thickness Clay_Liner</t>
  </si>
  <si>
    <t>Hydrogeology:$C$12</t>
  </si>
  <si>
    <t>Hydrogeology_Log_Hydraulic_Conductivity Clay_Liner</t>
  </si>
  <si>
    <t>Hydrogeology:$C$33</t>
  </si>
  <si>
    <t>Hydrogeology_Hydraulic_Gradient Clay_Liner</t>
  </si>
  <si>
    <t>Hydrogeology:$C$40</t>
  </si>
  <si>
    <t>Hydrogeology_Porosity Clay_Liner</t>
  </si>
  <si>
    <t>Hydrogeology:$C$54</t>
  </si>
  <si>
    <t>Hydrogeology_Tortuosity Clay_Liner</t>
  </si>
  <si>
    <t>Hydrogeology:$D$5</t>
  </si>
  <si>
    <t>Hydrogeology_Unit_Thickness SG</t>
  </si>
  <si>
    <t>Hydrogeology:$D$12</t>
  </si>
  <si>
    <t>Hydrogeology_Log_Hydraulic_Conductivity SG</t>
  </si>
  <si>
    <t>Hydrogeology:$D$33</t>
  </si>
  <si>
    <t>Hydrogeology_Hydraulic_Gradient SG</t>
  </si>
  <si>
    <t>Hydrogeology:$D$40</t>
  </si>
  <si>
    <t>Hydrogeology_Porosity SG</t>
  </si>
  <si>
    <t>Hydrogeology:$D$54</t>
  </si>
  <si>
    <t>Hydrogeology_Tortuosity SG</t>
  </si>
  <si>
    <t>Attenuation:$C$7</t>
  </si>
  <si>
    <t>Attenuation_Dry_bulk_density Attenuation_Clay_Liner</t>
  </si>
  <si>
    <t>Attenuation:$C$14</t>
  </si>
  <si>
    <t>Attenuation_Fraction_organic_carbon Attenuation_Clay_Liner</t>
  </si>
  <si>
    <t>Attenuation:$D$7</t>
  </si>
  <si>
    <t>Attenuation_Dry_bulk_density Attenuation_SG</t>
  </si>
  <si>
    <t>Attenuation:$D$14</t>
  </si>
  <si>
    <t>Attenuation_Fraction_organic_carbon Attenuation_SG</t>
  </si>
  <si>
    <t>Attenuation:$C$26</t>
  </si>
  <si>
    <t>Formula91</t>
  </si>
  <si>
    <t>Attenuation:$D$26</t>
  </si>
  <si>
    <t>Formula92</t>
  </si>
  <si>
    <t>Attenuation:$C$56</t>
  </si>
  <si>
    <t>Formula140</t>
  </si>
  <si>
    <t>Attenuation:$D$56</t>
  </si>
  <si>
    <t>Formula141</t>
  </si>
  <si>
    <t>Attenuation:$C$86</t>
  </si>
  <si>
    <t>Formula189</t>
  </si>
  <si>
    <t>Attenuation:$D$86</t>
  </si>
  <si>
    <t>Formula190</t>
  </si>
  <si>
    <t>Attenuation:$C$116</t>
  </si>
  <si>
    <t>Formula238</t>
  </si>
  <si>
    <t>Attenuation:$D$116</t>
  </si>
  <si>
    <t>Formula239</t>
  </si>
  <si>
    <t>Attenuation:$C$146</t>
  </si>
  <si>
    <t>Formula287</t>
  </si>
  <si>
    <t>Attenuation:$D$146</t>
  </si>
  <si>
    <t>Formula288</t>
  </si>
  <si>
    <t>Attenuation:$D$70</t>
  </si>
  <si>
    <t>Attenuation_Half_Life_Species_2 Attenuation_SG</t>
  </si>
  <si>
    <t>Attenuation:$C$190</t>
  </si>
  <si>
    <t>Attenuation_Half_Life_Species_6 Attenuation_Clay_Liner</t>
  </si>
  <si>
    <t>Attenuation:$D$190</t>
  </si>
  <si>
    <t>Attenuation_Half_Life_Species_6 Attenuation_SG</t>
  </si>
  <si>
    <t>No Processes</t>
  </si>
  <si>
    <t>Pathways:$E$6</t>
  </si>
  <si>
    <t>Path1_Process Section2</t>
  </si>
  <si>
    <t>Pathways:$G$11</t>
  </si>
  <si>
    <t>Path1_Param4 Section3</t>
  </si>
  <si>
    <t>Pathways:$G$12</t>
  </si>
  <si>
    <t>Path1_Param5 Section3</t>
  </si>
  <si>
    <t>Pathways:$G$9</t>
  </si>
  <si>
    <t>Path1_Param2 Section3</t>
  </si>
  <si>
    <t>Pathways:$G$10</t>
  </si>
  <si>
    <t>Path1_Param3 Section3</t>
  </si>
  <si>
    <t>Pathways:$I$7</t>
  </si>
  <si>
    <t>Path1_Standards Section4</t>
  </si>
  <si>
    <t>BREAKTHROUGH RESULTS</t>
  </si>
  <si>
    <t>Level 3</t>
  </si>
  <si>
    <t>Pollutant Linkage: Inert, Clay Liner, S&amp;G, BH11</t>
  </si>
  <si>
    <t>Concentrations in mg/L in BH11</t>
  </si>
  <si>
    <t>Time(years)</t>
  </si>
  <si>
    <t>Compared with EAL target concentration in mg/L</t>
  </si>
  <si>
    <t>Remedial Target Concentrations in mg/L in Inert</t>
  </si>
  <si>
    <t>Compared with source concentrations in mg/L</t>
  </si>
  <si>
    <t>Dilution Factor</t>
  </si>
  <si>
    <t>for all species and timeslices</t>
  </si>
  <si>
    <t>Attenuation Factor</t>
  </si>
  <si>
    <t>end of data</t>
  </si>
  <si>
    <t>Saved  27/01/2020: 15:16:21  Level Number: 3</t>
  </si>
  <si>
    <t>Saved  27/01/2020: 15:20:15  Level Number: 3</t>
  </si>
  <si>
    <t>Saved  27/01/2020: 15:21:38  Level Number: 3</t>
  </si>
  <si>
    <t>Saved  27/01/2020: 15:28:08  Level Number: 3</t>
  </si>
  <si>
    <t>Saved  27/01/2020: 15:28:40  Level Number: 3</t>
  </si>
  <si>
    <t>Saved  27/01/2020: 15:29:07  Level Number: 3</t>
  </si>
  <si>
    <t>Saved  27/01/2020: 15:29:40  Level Number: 3</t>
  </si>
  <si>
    <t>Saved  27/01/2020: 15:30:10  Level Number: 3</t>
  </si>
  <si>
    <t>Saved  27/01/2020: 15:30:38  Level Number: 3</t>
  </si>
  <si>
    <t>Saved  27/01/2020: 15:32:26  Level Number: 3</t>
  </si>
  <si>
    <t>Saved  27/01/2020: 15:32:47  Level Number: 3</t>
  </si>
  <si>
    <t>Saved  27/01/2020: 15:34:30  Level Number: 3</t>
  </si>
  <si>
    <t>Saved  27/01/2020: 15:55:57  Level Number: 3</t>
  </si>
  <si>
    <t>Saved  27/01/2020: 16:01:20  Level Number: 3</t>
  </si>
  <si>
    <t>Attenuation:$D$40</t>
  </si>
  <si>
    <t>Attenuation_Half_Life_Species_1 Attenuation_SG</t>
  </si>
  <si>
    <t>Saved  27/01/2020: 16:19:52  Level Number: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</si>
</sst>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E+00"/>
    <numFmt numFmtId="165" formatCode="0.0"/>
  </numFmts>
  <fonts count="1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4" borderId="0" xfId="0" applyFill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4" borderId="4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7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7" borderId="3" xfId="0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0" fillId="7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7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0" fillId="7" borderId="10" xfId="0" applyNumberFormat="1" applyFill="1" applyBorder="1" applyAlignment="1" applyProtection="1">
      <alignment/>
      <protection/>
    </xf>
    <xf numFmtId="164" fontId="0" fillId="7" borderId="11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4" borderId="11" xfId="0" applyFill="1" applyBorder="1" applyAlignment="1" applyProtection="1">
      <alignment/>
      <protection locked="0"/>
    </xf>
    <xf numFmtId="0" fontId="2" fillId="0" borderId="9" xfId="0" applyFont="1" applyBorder="1" applyAlignment="1">
      <alignment horizontal="right"/>
    </xf>
    <xf numFmtId="164" fontId="0" fillId="5" borderId="10" xfId="0" applyNumberFormat="1" applyFill="1" applyBorder="1" applyAlignment="1" applyProtection="1">
      <alignment/>
      <protection locked="0"/>
    </xf>
    <xf numFmtId="165" fontId="0" fillId="4" borderId="11" xfId="0" applyNumberFormat="1" applyFill="1" applyBorder="1" applyAlignment="1" applyProtection="1">
      <alignment/>
      <protection locked="0"/>
    </xf>
    <xf numFmtId="1" fontId="0" fillId="7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0" borderId="6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4" fontId="0" fillId="7" borderId="12" xfId="0" applyNumberFormat="1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4" borderId="21" xfId="0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locked="0"/>
    </xf>
    <xf numFmtId="14" fontId="0" fillId="0" borderId="0" xfId="0" applyNumberFormat="1" applyFill="1" applyAlignment="1">
      <alignment/>
    </xf>
    <xf numFmtId="19" fontId="0" fillId="0" borderId="0" xfId="0" applyNumberFormat="1" applyFill="1" applyAlignment="1">
      <alignment/>
    </xf>
    <xf numFmtId="11" fontId="0" fillId="4" borderId="3" xfId="0" applyNumberFormat="1" applyFill="1" applyBorder="1" applyAlignment="1" applyProtection="1">
      <alignment/>
      <protection locked="0"/>
    </xf>
    <xf numFmtId="0" fontId="0" fillId="8" borderId="3" xfId="0" applyFill="1" applyBorder="1" applyAlignment="1" applyProtection="1">
      <alignment/>
      <protection locked="0"/>
    </xf>
    <xf numFmtId="0" fontId="2" fillId="0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5" fontId="0" fillId="0" borderId="11" xfId="0" applyNumberFormat="1" applyFill="1" applyBorder="1" applyAlignment="1" applyProtection="1">
      <alignment/>
      <protection/>
    </xf>
    <xf numFmtId="0" fontId="2" fillId="0" borderId="9" xfId="0" applyFont="1" applyFill="1" applyBorder="1" applyAlignment="1">
      <alignment horizontal="right"/>
    </xf>
    <xf numFmtId="164" fontId="0" fillId="0" borderId="1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4" borderId="0" xfId="0" applyFont="1" applyFill="1" applyAlignment="1" applyProtection="1">
      <alignment/>
      <protection locked="0"/>
    </xf>
    <xf numFmtId="164" fontId="0" fillId="9" borderId="0" xfId="0" applyNumberFormat="1" applyFill="1" applyAlignment="1">
      <alignment/>
    </xf>
    <xf numFmtId="0" fontId="15" fillId="0" borderId="0" xfId="0" applyFont="1" applyAlignment="1">
      <alignment/>
    </xf>
    <xf numFmtId="0" fontId="2" fillId="5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21</xdr:row>
      <xdr:rowOff>152400</xdr:rowOff>
    </xdr:from>
    <xdr:ext cx="1704975" cy="200025"/>
    <xdr:sp>
      <xdr:nvSpPr>
        <xdr:cNvPr id="1" name="BOTHlabCreate"/>
        <xdr:cNvSpPr txBox="1">
          <a:spLocks noChangeArrowheads="1"/>
        </xdr:cNvSpPr>
      </xdr:nvSpPr>
      <xdr:spPr>
        <a:xfrm>
          <a:off x="419100" y="3552825"/>
          <a:ext cx="1704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Created: 27/01/2020 14:43:51</a:t>
          </a:r>
        </a:p>
      </xdr:txBody>
    </xdr:sp>
    <xdr:clientData/>
  </xdr:oneCellAnchor>
  <xdr:oneCellAnchor>
    <xdr:from>
      <xdr:col>1</xdr:col>
      <xdr:colOff>38100</xdr:colOff>
      <xdr:row>23</xdr:row>
      <xdr:rowOff>85725</xdr:rowOff>
    </xdr:from>
    <xdr:ext cx="1038225" cy="200025"/>
    <xdr:sp>
      <xdr:nvSpPr>
        <xdr:cNvPr id="2" name="BOTHlabBy"/>
        <xdr:cNvSpPr txBox="1">
          <a:spLocks noChangeArrowheads="1"/>
        </xdr:cNvSpPr>
      </xdr:nvSpPr>
      <xdr:spPr>
        <a:xfrm>
          <a:off x="419100" y="3810000"/>
          <a:ext cx="10382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by: Gavin Chaplin</a:t>
          </a:r>
        </a:p>
      </xdr:txBody>
    </xdr:sp>
    <xdr:clientData/>
  </xdr:oneCellAnchor>
  <xdr:oneCellAnchor>
    <xdr:from>
      <xdr:col>1</xdr:col>
      <xdr:colOff>38100</xdr:colOff>
      <xdr:row>25</xdr:row>
      <xdr:rowOff>19050</xdr:rowOff>
    </xdr:from>
    <xdr:ext cx="1219200" cy="200025"/>
    <xdr:sp>
      <xdr:nvSpPr>
        <xdr:cNvPr id="3" name="BOTHlabVersion"/>
        <xdr:cNvSpPr txBox="1">
          <a:spLocks noChangeArrowheads="1"/>
        </xdr:cNvSpPr>
      </xdr:nvSpPr>
      <xdr:spPr>
        <a:xfrm>
          <a:off x="419100" y="4067175"/>
          <a:ext cx="1219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Version: 3.00.00 Adv</a:t>
          </a:r>
        </a:p>
      </xdr:txBody>
    </xdr:sp>
    <xdr:clientData/>
  </xdr:oneCellAnchor>
  <xdr:oneCellAnchor>
    <xdr:from>
      <xdr:col>1</xdr:col>
      <xdr:colOff>38100</xdr:colOff>
      <xdr:row>26</xdr:row>
      <xdr:rowOff>104775</xdr:rowOff>
    </xdr:from>
    <xdr:ext cx="1905000" cy="190500"/>
    <xdr:sp>
      <xdr:nvSpPr>
        <xdr:cNvPr id="4" name="BOTHlabSite"/>
        <xdr:cNvSpPr txBox="1">
          <a:spLocks noChangeArrowheads="1"/>
        </xdr:cNvSpPr>
      </xdr:nvSpPr>
      <xdr:spPr>
        <a:xfrm>
          <a:off x="419100" y="4314825"/>
          <a:ext cx="1905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Site: Martells Western Extension</a:t>
          </a:r>
        </a:p>
      </xdr:txBody>
    </xdr:sp>
    <xdr:clientData/>
  </xdr:oneCellAnchor>
  <xdr:twoCellAnchor>
    <xdr:from>
      <xdr:col>1</xdr:col>
      <xdr:colOff>66675</xdr:colOff>
      <xdr:row>7</xdr:row>
      <xdr:rowOff>19050</xdr:rowOff>
    </xdr:from>
    <xdr:to>
      <xdr:col>2</xdr:col>
      <xdr:colOff>390525</xdr:colOff>
      <xdr:row>8</xdr:row>
      <xdr:rowOff>76200</xdr:rowOff>
    </xdr:to>
    <xdr:sp>
      <xdr:nvSpPr>
        <xdr:cNvPr id="5" name="RUNSource" hidden="1"/>
        <xdr:cNvSpPr>
          <a:spLocks/>
        </xdr:cNvSpPr>
      </xdr:nvSpPr>
      <xdr:spPr>
        <a:xfrm>
          <a:off x="447675" y="1152525"/>
          <a:ext cx="438150" cy="219075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7</xdr:row>
      <xdr:rowOff>0</xdr:rowOff>
    </xdr:from>
    <xdr:ext cx="495300" cy="190500"/>
    <xdr:sp>
      <xdr:nvSpPr>
        <xdr:cNvPr id="6" name="RUNSourceTxt" hidden="1"/>
        <xdr:cNvSpPr txBox="1">
          <a:spLocks noChangeAspect="1" noChangeArrowheads="1"/>
        </xdr:cNvSpPr>
      </xdr:nvSpPr>
      <xdr:spPr>
        <a:xfrm>
          <a:off x="409575" y="1133475"/>
          <a:ext cx="4953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</a:p>
      </xdr:txBody>
    </xdr:sp>
    <xdr:clientData/>
  </xdr:oneCellAnchor>
  <xdr:twoCellAnchor>
    <xdr:from>
      <xdr:col>1</xdr:col>
      <xdr:colOff>0</xdr:colOff>
      <xdr:row>10</xdr:row>
      <xdr:rowOff>9525</xdr:rowOff>
    </xdr:from>
    <xdr:to>
      <xdr:col>2</xdr:col>
      <xdr:colOff>581025</xdr:colOff>
      <xdr:row>11</xdr:row>
      <xdr:rowOff>66675</xdr:rowOff>
    </xdr:to>
    <xdr:sp>
      <xdr:nvSpPr>
        <xdr:cNvPr id="7" name="RUNUnit" hidden="1"/>
        <xdr:cNvSpPr>
          <a:spLocks/>
        </xdr:cNvSpPr>
      </xdr:nvSpPr>
      <xdr:spPr>
        <a:xfrm>
          <a:off x="381000" y="1628775"/>
          <a:ext cx="695325" cy="2190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10</xdr:row>
      <xdr:rowOff>9525</xdr:rowOff>
    </xdr:from>
    <xdr:ext cx="304800" cy="190500"/>
    <xdr:sp>
      <xdr:nvSpPr>
        <xdr:cNvPr id="8" name="RUNUnitTxt" hidden="1"/>
        <xdr:cNvSpPr txBox="1">
          <a:spLocks noChangeAspect="1" noChangeArrowheads="1"/>
        </xdr:cNvSpPr>
      </xdr:nvSpPr>
      <xdr:spPr>
        <a:xfrm>
          <a:off x="381000" y="16287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</a:t>
          </a:r>
        </a:p>
      </xdr:txBody>
    </xdr:sp>
    <xdr:clientData/>
  </xdr:oneCellAnchor>
  <xdr:twoCellAnchor>
    <xdr:from>
      <xdr:col>2</xdr:col>
      <xdr:colOff>133350</xdr:colOff>
      <xdr:row>10</xdr:row>
      <xdr:rowOff>76200</xdr:rowOff>
    </xdr:from>
    <xdr:to>
      <xdr:col>2</xdr:col>
      <xdr:colOff>228600</xdr:colOff>
      <xdr:row>11</xdr:row>
      <xdr:rowOff>9525</xdr:rowOff>
    </xdr:to>
    <xdr:sp>
      <xdr:nvSpPr>
        <xdr:cNvPr id="9" name="RUNUnitN1" hidden="1"/>
        <xdr:cNvSpPr>
          <a:spLocks/>
        </xdr:cNvSpPr>
      </xdr:nvSpPr>
      <xdr:spPr>
        <a:xfrm>
          <a:off x="628650" y="1695450"/>
          <a:ext cx="95250" cy="9525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10</xdr:row>
      <xdr:rowOff>76200</xdr:rowOff>
    </xdr:from>
    <xdr:to>
      <xdr:col>2</xdr:col>
      <xdr:colOff>295275</xdr:colOff>
      <xdr:row>11</xdr:row>
      <xdr:rowOff>9525</xdr:rowOff>
    </xdr:to>
    <xdr:sp>
      <xdr:nvSpPr>
        <xdr:cNvPr id="10" name="RUNUnitN2" hidden="1"/>
        <xdr:cNvSpPr>
          <a:spLocks/>
        </xdr:cNvSpPr>
      </xdr:nvSpPr>
      <xdr:spPr>
        <a:xfrm>
          <a:off x="695325" y="1695450"/>
          <a:ext cx="95250" cy="9525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10</xdr:row>
      <xdr:rowOff>76200</xdr:rowOff>
    </xdr:from>
    <xdr:to>
      <xdr:col>2</xdr:col>
      <xdr:colOff>361950</xdr:colOff>
      <xdr:row>11</xdr:row>
      <xdr:rowOff>9525</xdr:rowOff>
    </xdr:to>
    <xdr:sp>
      <xdr:nvSpPr>
        <xdr:cNvPr id="11" name="RUNUnitN3" hidden="1"/>
        <xdr:cNvSpPr>
          <a:spLocks/>
        </xdr:cNvSpPr>
      </xdr:nvSpPr>
      <xdr:spPr>
        <a:xfrm>
          <a:off x="762000" y="1695450"/>
          <a:ext cx="95250" cy="9525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10</xdr:row>
      <xdr:rowOff>76200</xdr:rowOff>
    </xdr:from>
    <xdr:to>
      <xdr:col>2</xdr:col>
      <xdr:colOff>438150</xdr:colOff>
      <xdr:row>11</xdr:row>
      <xdr:rowOff>9525</xdr:rowOff>
    </xdr:to>
    <xdr:sp>
      <xdr:nvSpPr>
        <xdr:cNvPr id="12" name="RUNUnitN4" hidden="1"/>
        <xdr:cNvSpPr>
          <a:spLocks/>
        </xdr:cNvSpPr>
      </xdr:nvSpPr>
      <xdr:spPr>
        <a:xfrm>
          <a:off x="838200" y="1695450"/>
          <a:ext cx="95250" cy="9525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95250</xdr:rowOff>
    </xdr:from>
    <xdr:to>
      <xdr:col>2</xdr:col>
      <xdr:colOff>304800</xdr:colOff>
      <xdr:row>14</xdr:row>
      <xdr:rowOff>38100</xdr:rowOff>
    </xdr:to>
    <xdr:sp>
      <xdr:nvSpPr>
        <xdr:cNvPr id="13" name="RUNRecept" hidden="1"/>
        <xdr:cNvSpPr>
          <a:spLocks/>
        </xdr:cNvSpPr>
      </xdr:nvSpPr>
      <xdr:spPr>
        <a:xfrm>
          <a:off x="533400" y="2038350"/>
          <a:ext cx="266700" cy="266700"/>
        </a:xfrm>
        <a:prstGeom prst="rect">
          <a:avLst/>
        </a:prstGeom>
        <a:solidFill>
          <a:srgbClr val="0033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352425</xdr:colOff>
      <xdr:row>12</xdr:row>
      <xdr:rowOff>104775</xdr:rowOff>
    </xdr:from>
    <xdr:ext cx="609600" cy="190500"/>
    <xdr:sp>
      <xdr:nvSpPr>
        <xdr:cNvPr id="14" name="RUNReceptTxt" hidden="1"/>
        <xdr:cNvSpPr txBox="1">
          <a:spLocks noChangeAspect="1" noChangeArrowheads="1"/>
        </xdr:cNvSpPr>
      </xdr:nvSpPr>
      <xdr:spPr>
        <a:xfrm>
          <a:off x="352425" y="2047875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Receptor</a:t>
          </a:r>
        </a:p>
      </xdr:txBody>
    </xdr:sp>
    <xdr:clientData/>
  </xdr:oneCellAnchor>
  <xdr:twoCellAnchor>
    <xdr:from>
      <xdr:col>2</xdr:col>
      <xdr:colOff>104775</xdr:colOff>
      <xdr:row>16</xdr:row>
      <xdr:rowOff>95250</xdr:rowOff>
    </xdr:from>
    <xdr:to>
      <xdr:col>2</xdr:col>
      <xdr:colOff>238125</xdr:colOff>
      <xdr:row>17</xdr:row>
      <xdr:rowOff>57150</xdr:rowOff>
    </xdr:to>
    <xdr:sp>
      <xdr:nvSpPr>
        <xdr:cNvPr id="15" name="RUNNode" hidden="1"/>
        <xdr:cNvSpPr>
          <a:spLocks/>
        </xdr:cNvSpPr>
      </xdr:nvSpPr>
      <xdr:spPr>
        <a:xfrm>
          <a:off x="600075" y="2686050"/>
          <a:ext cx="133350" cy="123825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95250</xdr:colOff>
      <xdr:row>16</xdr:row>
      <xdr:rowOff>28575</xdr:rowOff>
    </xdr:from>
    <xdr:ext cx="381000" cy="190500"/>
    <xdr:sp>
      <xdr:nvSpPr>
        <xdr:cNvPr id="16" name="RUNNodeTxt" hidden="1"/>
        <xdr:cNvSpPr txBox="1">
          <a:spLocks noChangeAspect="1" noChangeArrowheads="1"/>
        </xdr:cNvSpPr>
      </xdr:nvSpPr>
      <xdr:spPr>
        <a:xfrm>
          <a:off x="476250" y="2619375"/>
          <a:ext cx="38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Node</a:t>
          </a:r>
        </a:p>
      </xdr:txBody>
    </xdr:sp>
    <xdr:clientData/>
  </xdr:oneCellAnchor>
  <xdr:oneCellAnchor>
    <xdr:from>
      <xdr:col>2</xdr:col>
      <xdr:colOff>771525</xdr:colOff>
      <xdr:row>6</xdr:row>
      <xdr:rowOff>57150</xdr:rowOff>
    </xdr:from>
    <xdr:ext cx="1171575" cy="466725"/>
    <xdr:sp>
      <xdr:nvSpPr>
        <xdr:cNvPr id="17" name="RUNlabSource" hidden="1"/>
        <xdr:cNvSpPr txBox="1">
          <a:spLocks noChangeArrowheads="1"/>
        </xdr:cNvSpPr>
      </xdr:nvSpPr>
      <xdr:spPr>
        <a:xfrm>
          <a:off x="1266825" y="1028700"/>
          <a:ext cx="11715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Click on Source
for Remediation Targets
(Not Advanced)</a:t>
          </a:r>
        </a:p>
      </xdr:txBody>
    </xdr:sp>
    <xdr:clientData/>
  </xdr:oneCellAnchor>
  <xdr:oneCellAnchor>
    <xdr:from>
      <xdr:col>2</xdr:col>
      <xdr:colOff>771525</xdr:colOff>
      <xdr:row>9</xdr:row>
      <xdr:rowOff>38100</xdr:rowOff>
    </xdr:from>
    <xdr:ext cx="981075" cy="466725"/>
    <xdr:sp>
      <xdr:nvSpPr>
        <xdr:cNvPr id="18" name="RUNlabUnit" hidden="1"/>
        <xdr:cNvSpPr txBox="1">
          <a:spLocks noChangeArrowheads="1"/>
        </xdr:cNvSpPr>
      </xdr:nvSpPr>
      <xdr:spPr>
        <a:xfrm>
          <a:off x="1266825" y="1495425"/>
          <a:ext cx="9810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Click on Unit
for Receptor Concs
(if Present)</a:t>
          </a:r>
        </a:p>
      </xdr:txBody>
    </xdr:sp>
    <xdr:clientData/>
  </xdr:oneCellAnchor>
  <xdr:oneCellAnchor>
    <xdr:from>
      <xdr:col>2</xdr:col>
      <xdr:colOff>771525</xdr:colOff>
      <xdr:row>12</xdr:row>
      <xdr:rowOff>28575</xdr:rowOff>
    </xdr:from>
    <xdr:ext cx="981075" cy="466725"/>
    <xdr:sp>
      <xdr:nvSpPr>
        <xdr:cNvPr id="19" name="RUNlabRecept" hidden="1"/>
        <xdr:cNvSpPr txBox="1">
          <a:spLocks noChangeArrowheads="1"/>
        </xdr:cNvSpPr>
      </xdr:nvSpPr>
      <xdr:spPr>
        <a:xfrm>
          <a:off x="1266825" y="1971675"/>
          <a:ext cx="9810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Click on Receptor
for Receptor Concs
(if Present)</a:t>
          </a:r>
        </a:p>
      </xdr:txBody>
    </xdr:sp>
    <xdr:clientData/>
  </xdr:oneCellAnchor>
  <xdr:oneCellAnchor>
    <xdr:from>
      <xdr:col>2</xdr:col>
      <xdr:colOff>771525</xdr:colOff>
      <xdr:row>15</xdr:row>
      <xdr:rowOff>66675</xdr:rowOff>
    </xdr:from>
    <xdr:ext cx="1123950" cy="609600"/>
    <xdr:sp>
      <xdr:nvSpPr>
        <xdr:cNvPr id="20" name="RUNlabNode" hidden="1"/>
        <xdr:cNvSpPr txBox="1">
          <a:spLocks noChangeArrowheads="1"/>
        </xdr:cNvSpPr>
      </xdr:nvSpPr>
      <xdr:spPr>
        <a:xfrm>
          <a:off x="1266825" y="2495550"/>
          <a:ext cx="112395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Click on Pathway node
for Diluton and/or
Attenuation factors
(Only Levels 2,3 &amp; 4)</a:t>
          </a:r>
        </a:p>
      </xdr:txBody>
    </xdr:sp>
    <xdr:clientData/>
  </xdr:oneCellAnchor>
  <xdr:oneCellAnchor>
    <xdr:from>
      <xdr:col>2</xdr:col>
      <xdr:colOff>9525</xdr:colOff>
      <xdr:row>19</xdr:row>
      <xdr:rowOff>47625</xdr:rowOff>
    </xdr:from>
    <xdr:ext cx="1457325" cy="323850"/>
    <xdr:sp>
      <xdr:nvSpPr>
        <xdr:cNvPr id="21" name="RUNlabResultType" hidden="1"/>
        <xdr:cNvSpPr txBox="1">
          <a:spLocks noChangeArrowheads="1"/>
        </xdr:cNvSpPr>
      </xdr:nvSpPr>
      <xdr:spPr>
        <a:xfrm>
          <a:off x="504825" y="3124200"/>
          <a:ext cx="14573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Please select results type and
then click on model</a:t>
          </a:r>
        </a:p>
      </xdr:txBody>
    </xdr:sp>
    <xdr:clientData/>
  </xdr:oneCellAnchor>
  <xdr:twoCellAnchor>
    <xdr:from>
      <xdr:col>8</xdr:col>
      <xdr:colOff>552450</xdr:colOff>
      <xdr:row>13</xdr:row>
      <xdr:rowOff>57150</xdr:rowOff>
    </xdr:from>
    <xdr:to>
      <xdr:col>11</xdr:col>
      <xdr:colOff>371475</xdr:colOff>
      <xdr:row>16</xdr:row>
      <xdr:rowOff>9525</xdr:rowOff>
    </xdr:to>
    <xdr:grpSp>
      <xdr:nvGrpSpPr>
        <xdr:cNvPr id="22" name="Unit2Grp"/>
        <xdr:cNvGrpSpPr>
          <a:grpSpLocks/>
        </xdr:cNvGrpSpPr>
      </xdr:nvGrpSpPr>
      <xdr:grpSpPr>
        <a:xfrm>
          <a:off x="4448175" y="2162175"/>
          <a:ext cx="1647825" cy="438150"/>
          <a:chOff x="467" y="227"/>
          <a:chExt cx="173" cy="46"/>
        </a:xfrm>
        <a:solidFill>
          <a:srgbClr val="FFFFFF"/>
        </a:solidFill>
      </xdr:grpSpPr>
      <xdr:grpSp>
        <xdr:nvGrpSpPr>
          <xdr:cNvPr id="23" name="Unit2Grp"/>
          <xdr:cNvGrpSpPr>
            <a:grpSpLocks/>
          </xdr:cNvGrpSpPr>
        </xdr:nvGrpSpPr>
        <xdr:grpSpPr>
          <a:xfrm>
            <a:off x="467" y="227"/>
            <a:ext cx="173" cy="46"/>
            <a:chOff x="467" y="227"/>
            <a:chExt cx="173" cy="46"/>
          </a:xfrm>
          <a:solidFill>
            <a:srgbClr val="FFFFFF"/>
          </a:solidFill>
        </xdr:grpSpPr>
        <xdr:grpSp>
          <xdr:nvGrpSpPr>
            <xdr:cNvPr id="24" name="Unit2Grp"/>
            <xdr:cNvGrpSpPr>
              <a:grpSpLocks/>
            </xdr:cNvGrpSpPr>
          </xdr:nvGrpSpPr>
          <xdr:grpSpPr>
            <a:xfrm>
              <a:off x="467" y="227"/>
              <a:ext cx="173" cy="46"/>
              <a:chOff x="467" y="227"/>
              <a:chExt cx="173" cy="46"/>
            </a:xfrm>
            <a:solidFill>
              <a:srgbClr val="FFFFFF"/>
            </a:solidFill>
          </xdr:grpSpPr>
          <xdr:grpSp>
            <xdr:nvGrpSpPr>
              <xdr:cNvPr id="25" name="Unit2Grp"/>
              <xdr:cNvGrpSpPr>
                <a:grpSpLocks/>
              </xdr:cNvGrpSpPr>
            </xdr:nvGrpSpPr>
            <xdr:grpSpPr>
              <a:xfrm>
                <a:off x="467" y="227"/>
                <a:ext cx="173" cy="46"/>
                <a:chOff x="467" y="227"/>
                <a:chExt cx="173" cy="46"/>
              </a:xfrm>
              <a:solidFill>
                <a:srgbClr val="FFFFFF"/>
              </a:solidFill>
            </xdr:grpSpPr>
            <xdr:grpSp>
              <xdr:nvGrpSpPr>
                <xdr:cNvPr id="26" name="Unit2Grp"/>
                <xdr:cNvGrpSpPr>
                  <a:grpSpLocks/>
                </xdr:cNvGrpSpPr>
              </xdr:nvGrpSpPr>
              <xdr:grpSpPr>
                <a:xfrm>
                  <a:off x="467" y="227"/>
                  <a:ext cx="173" cy="46"/>
                  <a:chOff x="467" y="227"/>
                  <a:chExt cx="173" cy="46"/>
                </a:xfrm>
                <a:solidFill>
                  <a:srgbClr val="FFFFFF"/>
                </a:solidFill>
              </xdr:grpSpPr>
              <xdr:sp macro="[0]!Unit2_Click">
                <xdr:nvSpPr>
                  <xdr:cNvPr id="27" name="Unit2"/>
                  <xdr:cNvSpPr>
                    <a:spLocks/>
                  </xdr:cNvSpPr>
                </xdr:nvSpPr>
                <xdr:spPr>
                  <a:xfrm>
                    <a:off x="467" y="227"/>
                    <a:ext cx="173" cy="46"/>
                  </a:xfrm>
                  <a:prstGeom prst="rect">
                    <a:avLst/>
                  </a:prstGeom>
                  <a:blipFill>
                    <a:blip r:embed="rId2"/>
                    <a:srcRect/>
                    <a:stretch>
                      <a:fillRect/>
                    </a:stretch>
                  </a:blip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 macro="[0]!Unit2_Click">
                <xdr:nvSpPr>
                  <xdr:cNvPr id="28" name="Unit2Txt"/>
                  <xdr:cNvSpPr txBox="1">
                    <a:spLocks noChangeAspect="1" noChangeArrowheads="1"/>
                  </xdr:cNvSpPr>
                </xdr:nvSpPr>
                <xdr:spPr>
                  <a:xfrm>
                    <a:off x="467" y="227"/>
                    <a:ext cx="35" cy="2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>
                        <a:alpha val="0"/>
                      </a:srgbClr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S&amp;G</a:t>
                    </a:r>
                  </a:p>
                </xdr:txBody>
              </xdr:sp>
            </xdr:grpSp>
            <xdr:sp macro="[0]!Unit2_Click">
              <xdr:nvSpPr>
                <xdr:cNvPr id="29" name="Unit2N1"/>
                <xdr:cNvSpPr>
                  <a:spLocks/>
                </xdr:cNvSpPr>
              </xdr:nvSpPr>
              <xdr:spPr>
                <a:xfrm>
                  <a:off x="527" y="246"/>
                  <a:ext cx="10" cy="1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 macro="[0]!Unit2_Click">
            <xdr:nvSpPr>
              <xdr:cNvPr id="30" name="Unit2N2"/>
              <xdr:cNvSpPr>
                <a:spLocks/>
              </xdr:cNvSpPr>
            </xdr:nvSpPr>
            <xdr:spPr>
              <a:xfrm>
                <a:off x="545" y="246"/>
                <a:ext cx="10" cy="10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macro="[0]!Unit2_Click">
          <xdr:nvSpPr>
            <xdr:cNvPr id="31" name="Unit2N3"/>
            <xdr:cNvSpPr>
              <a:spLocks/>
            </xdr:cNvSpPr>
          </xdr:nvSpPr>
          <xdr:spPr>
            <a:xfrm>
              <a:off x="562" y="246"/>
              <a:ext cx="10" cy="10"/>
            </a:xfrm>
            <a:prstGeom prst="ellips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 macro="[0]!Unit2_Click">
        <xdr:nvSpPr>
          <xdr:cNvPr id="32" name="Unit2N4"/>
          <xdr:cNvSpPr>
            <a:spLocks/>
          </xdr:cNvSpPr>
        </xdr:nvSpPr>
        <xdr:spPr>
          <a:xfrm>
            <a:off x="579" y="246"/>
            <a:ext cx="10" cy="1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10</xdr:row>
      <xdr:rowOff>95250</xdr:rowOff>
    </xdr:from>
    <xdr:to>
      <xdr:col>11</xdr:col>
      <xdr:colOff>371475</xdr:colOff>
      <xdr:row>13</xdr:row>
      <xdr:rowOff>57150</xdr:rowOff>
    </xdr:to>
    <xdr:grpSp>
      <xdr:nvGrpSpPr>
        <xdr:cNvPr id="33" name="Unit1Grp"/>
        <xdr:cNvGrpSpPr>
          <a:grpSpLocks/>
        </xdr:cNvGrpSpPr>
      </xdr:nvGrpSpPr>
      <xdr:grpSpPr>
        <a:xfrm>
          <a:off x="4448175" y="1714500"/>
          <a:ext cx="1647825" cy="447675"/>
          <a:chOff x="467" y="180"/>
          <a:chExt cx="173" cy="47"/>
        </a:xfrm>
        <a:solidFill>
          <a:srgbClr val="FFFFFF"/>
        </a:solidFill>
      </xdr:grpSpPr>
      <xdr:grpSp>
        <xdr:nvGrpSpPr>
          <xdr:cNvPr id="34" name="Unit1Grp"/>
          <xdr:cNvGrpSpPr>
            <a:grpSpLocks/>
          </xdr:cNvGrpSpPr>
        </xdr:nvGrpSpPr>
        <xdr:grpSpPr>
          <a:xfrm>
            <a:off x="467" y="180"/>
            <a:ext cx="173" cy="47"/>
            <a:chOff x="467" y="180"/>
            <a:chExt cx="173" cy="47"/>
          </a:xfrm>
          <a:solidFill>
            <a:srgbClr val="FFFFFF"/>
          </a:solidFill>
        </xdr:grpSpPr>
        <xdr:grpSp>
          <xdr:nvGrpSpPr>
            <xdr:cNvPr id="35" name="Unit1Grp"/>
            <xdr:cNvGrpSpPr>
              <a:grpSpLocks/>
            </xdr:cNvGrpSpPr>
          </xdr:nvGrpSpPr>
          <xdr:grpSpPr>
            <a:xfrm>
              <a:off x="467" y="180"/>
              <a:ext cx="173" cy="47"/>
              <a:chOff x="467" y="180"/>
              <a:chExt cx="173" cy="47"/>
            </a:xfrm>
            <a:solidFill>
              <a:srgbClr val="FFFFFF"/>
            </a:solidFill>
          </xdr:grpSpPr>
          <xdr:grpSp>
            <xdr:nvGrpSpPr>
              <xdr:cNvPr id="36" name="Unit1Grp"/>
              <xdr:cNvGrpSpPr>
                <a:grpSpLocks/>
              </xdr:cNvGrpSpPr>
            </xdr:nvGrpSpPr>
            <xdr:grpSpPr>
              <a:xfrm>
                <a:off x="467" y="180"/>
                <a:ext cx="173" cy="47"/>
                <a:chOff x="467" y="180"/>
                <a:chExt cx="173" cy="47"/>
              </a:xfrm>
              <a:solidFill>
                <a:srgbClr val="FFFFFF"/>
              </a:solidFill>
            </xdr:grpSpPr>
            <xdr:grpSp>
              <xdr:nvGrpSpPr>
                <xdr:cNvPr id="37" name="Unit1Grp"/>
                <xdr:cNvGrpSpPr>
                  <a:grpSpLocks/>
                </xdr:cNvGrpSpPr>
              </xdr:nvGrpSpPr>
              <xdr:grpSpPr>
                <a:xfrm>
                  <a:off x="467" y="180"/>
                  <a:ext cx="173" cy="47"/>
                  <a:chOff x="467" y="180"/>
                  <a:chExt cx="173" cy="47"/>
                </a:xfrm>
                <a:solidFill>
                  <a:srgbClr val="FFFFFF"/>
                </a:solidFill>
              </xdr:grpSpPr>
              <xdr:sp macro="[0]!Unit1_Click">
                <xdr:nvSpPr>
                  <xdr:cNvPr id="38" name="Unit1"/>
                  <xdr:cNvSpPr>
                    <a:spLocks/>
                  </xdr:cNvSpPr>
                </xdr:nvSpPr>
                <xdr:spPr>
                  <a:xfrm>
                    <a:off x="467" y="180"/>
                    <a:ext cx="173" cy="47"/>
                  </a:xfrm>
                  <a:prstGeom prst="rect">
                    <a:avLst/>
                  </a:prstGeom>
                  <a:blipFill>
                    <a:blip r:embed="rId3"/>
                    <a:srcRect/>
                    <a:stretch>
                      <a:fillRect/>
                    </a:stretch>
                  </a:blip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 macro="[0]!Unit1_Click">
                <xdr:nvSpPr>
                  <xdr:cNvPr id="39" name="Unit1Txt"/>
                  <xdr:cNvSpPr txBox="1">
                    <a:spLocks noChangeAspect="1" noChangeArrowheads="1"/>
                  </xdr:cNvSpPr>
                </xdr:nvSpPr>
                <xdr:spPr>
                  <a:xfrm>
                    <a:off x="467" y="180"/>
                    <a:ext cx="72" cy="2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>
                        <a:alpha val="0"/>
                      </a:srgbClr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Clay Liner</a:t>
                    </a:r>
                  </a:p>
                </xdr:txBody>
              </xdr:sp>
            </xdr:grpSp>
            <xdr:sp macro="[0]!Unit1_Click">
              <xdr:nvSpPr>
                <xdr:cNvPr id="40" name="Unit1N1"/>
                <xdr:cNvSpPr>
                  <a:spLocks/>
                </xdr:cNvSpPr>
              </xdr:nvSpPr>
              <xdr:spPr>
                <a:xfrm>
                  <a:off x="527" y="199"/>
                  <a:ext cx="10" cy="1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 macro="[0]!Unit1_Click">
            <xdr:nvSpPr>
              <xdr:cNvPr id="41" name="Unit1N2"/>
              <xdr:cNvSpPr>
                <a:spLocks/>
              </xdr:cNvSpPr>
            </xdr:nvSpPr>
            <xdr:spPr>
              <a:xfrm>
                <a:off x="545" y="199"/>
                <a:ext cx="10" cy="10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macro="[0]!Unit1_Click">
          <xdr:nvSpPr>
            <xdr:cNvPr id="42" name="Unit1N3"/>
            <xdr:cNvSpPr>
              <a:spLocks/>
            </xdr:cNvSpPr>
          </xdr:nvSpPr>
          <xdr:spPr>
            <a:xfrm>
              <a:off x="562" y="199"/>
              <a:ext cx="10" cy="10"/>
            </a:xfrm>
            <a:prstGeom prst="ellips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 macro="[0]!Unit1_Click">
        <xdr:nvSpPr>
          <xdr:cNvPr id="43" name="Unit1N4"/>
          <xdr:cNvSpPr>
            <a:spLocks/>
          </xdr:cNvSpPr>
        </xdr:nvSpPr>
        <xdr:spPr>
          <a:xfrm>
            <a:off x="579" y="199"/>
            <a:ext cx="10" cy="1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7</xdr:row>
      <xdr:rowOff>133350</xdr:rowOff>
    </xdr:from>
    <xdr:to>
      <xdr:col>8</xdr:col>
      <xdr:colOff>142875</xdr:colOff>
      <xdr:row>10</xdr:row>
      <xdr:rowOff>85725</xdr:rowOff>
    </xdr:to>
    <xdr:grpSp>
      <xdr:nvGrpSpPr>
        <xdr:cNvPr id="44" name="Source1Grp"/>
        <xdr:cNvGrpSpPr>
          <a:grpSpLocks/>
        </xdr:cNvGrpSpPr>
      </xdr:nvGrpSpPr>
      <xdr:grpSpPr>
        <a:xfrm>
          <a:off x="3171825" y="1266825"/>
          <a:ext cx="866775" cy="438150"/>
          <a:chOff x="333" y="133"/>
          <a:chExt cx="91" cy="46"/>
        </a:xfrm>
        <a:solidFill>
          <a:srgbClr val="FFFFFF"/>
        </a:solidFill>
      </xdr:grpSpPr>
      <xdr:sp macro="[0]!Source1_Click">
        <xdr:nvSpPr>
          <xdr:cNvPr id="45" name="Source1"/>
          <xdr:cNvSpPr>
            <a:spLocks/>
          </xdr:cNvSpPr>
        </xdr:nvSpPr>
        <xdr:spPr>
          <a:xfrm>
            <a:off x="333" y="133"/>
            <a:ext cx="91" cy="46"/>
          </a:xfrm>
          <a:prstGeom prst="ellipse">
            <a:avLst/>
          </a:prstGeom>
          <a:solidFill>
            <a:srgbClr val="FF32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ource1_Click">
        <xdr:nvSpPr>
          <xdr:cNvPr id="46" name="Source1Txt"/>
          <xdr:cNvSpPr txBox="1">
            <a:spLocks noChangeAspect="1" noChangeArrowheads="1"/>
          </xdr:cNvSpPr>
        </xdr:nvSpPr>
        <xdr:spPr>
          <a:xfrm>
            <a:off x="355" y="143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>
                <a:alpha val="0"/>
              </a:srgbClr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Inert</a:t>
            </a:r>
          </a:p>
        </xdr:txBody>
      </xdr:sp>
    </xdr:grpSp>
    <xdr:clientData/>
  </xdr:twoCellAnchor>
  <xdr:twoCellAnchor>
    <xdr:from>
      <xdr:col>13</xdr:col>
      <xdr:colOff>38100</xdr:colOff>
      <xdr:row>7</xdr:row>
      <xdr:rowOff>19050</xdr:rowOff>
    </xdr:from>
    <xdr:to>
      <xdr:col>13</xdr:col>
      <xdr:colOff>590550</xdr:colOff>
      <xdr:row>10</xdr:row>
      <xdr:rowOff>85725</xdr:rowOff>
    </xdr:to>
    <xdr:grpSp>
      <xdr:nvGrpSpPr>
        <xdr:cNvPr id="47" name="Recept1Grp"/>
        <xdr:cNvGrpSpPr>
          <a:grpSpLocks/>
        </xdr:cNvGrpSpPr>
      </xdr:nvGrpSpPr>
      <xdr:grpSpPr>
        <a:xfrm>
          <a:off x="6981825" y="1152525"/>
          <a:ext cx="552450" cy="552450"/>
          <a:chOff x="733" y="121"/>
          <a:chExt cx="58" cy="58"/>
        </a:xfrm>
        <a:solidFill>
          <a:srgbClr val="FFFFFF"/>
        </a:solidFill>
      </xdr:grpSpPr>
      <xdr:sp macro="[0]!Recept1_Click">
        <xdr:nvSpPr>
          <xdr:cNvPr id="48" name="Recept1"/>
          <xdr:cNvSpPr>
            <a:spLocks/>
          </xdr:cNvSpPr>
        </xdr:nvSpPr>
        <xdr:spPr>
          <a:xfrm>
            <a:off x="733" y="121"/>
            <a:ext cx="58" cy="58"/>
          </a:xfrm>
          <a:prstGeom prst="rect">
            <a:avLst/>
          </a:prstGeom>
          <a:solidFill>
            <a:srgbClr val="0033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Recept1_Click">
        <xdr:nvSpPr>
          <xdr:cNvPr id="49" name="Recept1Txt"/>
          <xdr:cNvSpPr txBox="1">
            <a:spLocks noChangeAspect="1" noChangeArrowheads="1"/>
          </xdr:cNvSpPr>
        </xdr:nvSpPr>
        <xdr:spPr>
          <a:xfrm>
            <a:off x="742" y="137"/>
            <a:ext cx="3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>
                <a:alpha val="0"/>
              </a:srgbClr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BH11</a:t>
            </a:r>
          </a:p>
        </xdr:txBody>
      </xdr:sp>
    </xdr:grpSp>
    <xdr:clientData/>
  </xdr:twoCellAnchor>
  <xdr:twoCellAnchor>
    <xdr:from>
      <xdr:col>8</xdr:col>
      <xdr:colOff>142875</xdr:colOff>
      <xdr:row>9</xdr:row>
      <xdr:rowOff>28575</xdr:rowOff>
    </xdr:from>
    <xdr:to>
      <xdr:col>9</xdr:col>
      <xdr:colOff>523875</xdr:colOff>
      <xdr:row>11</xdr:row>
      <xdr:rowOff>123825</xdr:rowOff>
    </xdr:to>
    <xdr:sp>
      <xdr:nvSpPr>
        <xdr:cNvPr id="50" name="Conn-Source1-Unit1N1"/>
        <xdr:cNvSpPr>
          <a:spLocks/>
        </xdr:cNvSpPr>
      </xdr:nvSpPr>
      <xdr:spPr>
        <a:xfrm>
          <a:off x="4038600" y="1485900"/>
          <a:ext cx="990600" cy="419100"/>
        </a:xfrm>
        <a:prstGeom prst="straightConnector1">
          <a:avLst>
            <a:gd name="adj1" fmla="val -457694"/>
            <a:gd name="adj2" fmla="val -404546"/>
            <a:gd name="adj3" fmla="val -457694"/>
          </a:avLst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12</xdr:row>
      <xdr:rowOff>47625</xdr:rowOff>
    </xdr:from>
    <xdr:to>
      <xdr:col>9</xdr:col>
      <xdr:colOff>561975</xdr:colOff>
      <xdr:row>14</xdr:row>
      <xdr:rowOff>76200</xdr:rowOff>
    </xdr:to>
    <xdr:sp>
      <xdr:nvSpPr>
        <xdr:cNvPr id="51" name="Conn-Unit1N1-Unit2N1"/>
        <xdr:cNvSpPr>
          <a:spLocks/>
        </xdr:cNvSpPr>
      </xdr:nvSpPr>
      <xdr:spPr>
        <a:xfrm>
          <a:off x="5067300" y="1990725"/>
          <a:ext cx="0" cy="352425"/>
        </a:xfrm>
        <a:prstGeom prst="straightConnector1">
          <a:avLst>
            <a:gd name="adj1" fmla="val -1487837"/>
            <a:gd name="adj2" fmla="val -50004"/>
            <a:gd name="adj3" fmla="val -1487837"/>
          </a:avLst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133350</xdr:rowOff>
    </xdr:from>
    <xdr:to>
      <xdr:col>13</xdr:col>
      <xdr:colOff>38100</xdr:colOff>
      <xdr:row>14</xdr:row>
      <xdr:rowOff>85725</xdr:rowOff>
    </xdr:to>
    <xdr:sp>
      <xdr:nvSpPr>
        <xdr:cNvPr id="52" name="Conn-Unit2N1-Recept1"/>
        <xdr:cNvSpPr>
          <a:spLocks/>
        </xdr:cNvSpPr>
      </xdr:nvSpPr>
      <xdr:spPr>
        <a:xfrm flipV="1">
          <a:off x="5105400" y="1428750"/>
          <a:ext cx="1876425" cy="923925"/>
        </a:xfrm>
        <a:prstGeom prst="straightConnector1">
          <a:avLst>
            <a:gd name="adj1" fmla="val -602578"/>
            <a:gd name="adj2" fmla="val -175379"/>
            <a:gd name="adj3" fmla="val -602578"/>
          </a:avLst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9:E35"/>
  <sheetViews>
    <sheetView showGridLines="0" showRowColHeaders="0" tabSelected="1" workbookViewId="0" topLeftCell="A1">
      <selection activeCell="P36" sqref="A1:P36"/>
    </sheetView>
  </sheetViews>
  <sheetFormatPr defaultColWidth="9.140625" defaultRowHeight="12.75" zeroHeight="1"/>
  <cols>
    <col min="1" max="1" width="5.7109375" style="1" customWidth="1"/>
    <col min="2" max="2" width="1.7109375" style="1" customWidth="1"/>
    <col min="3" max="3" width="12.7109375" style="1" customWidth="1"/>
    <col min="4" max="4" width="9.140625" style="1" customWidth="1"/>
    <col min="5" max="5" width="1.7109375" style="1" customWidth="1"/>
    <col min="6" max="16" width="9.140625" style="1" customWidth="1"/>
    <col min="17" max="16384" width="0" style="1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" customHeight="1"/>
    <row r="29" spans="2:5" ht="12.75">
      <c r="B29" s="2"/>
      <c r="C29" s="2"/>
      <c r="D29" s="2"/>
      <c r="E29" s="2"/>
    </row>
    <row r="30" spans="2:5" ht="12.75">
      <c r="B30" s="2"/>
      <c r="C30" s="3" t="s">
        <v>0</v>
      </c>
      <c r="D30" s="3"/>
      <c r="E30" s="2"/>
    </row>
    <row r="31" spans="2:5" ht="12.75">
      <c r="B31" s="2"/>
      <c r="C31" s="4" t="s">
        <v>1</v>
      </c>
      <c r="D31" s="4"/>
      <c r="E31" s="2"/>
    </row>
    <row r="32" spans="2:5" ht="12.75">
      <c r="B32" s="2"/>
      <c r="C32" s="5" t="s">
        <v>2</v>
      </c>
      <c r="D32" s="5"/>
      <c r="E32" s="2"/>
    </row>
    <row r="33" spans="2:5" ht="12" customHeight="1">
      <c r="B33" s="2"/>
      <c r="C33" s="6" t="s">
        <v>3</v>
      </c>
      <c r="D33" s="6"/>
      <c r="E33" s="2"/>
    </row>
    <row r="34" spans="2:5" ht="12.75">
      <c r="B34" s="2"/>
      <c r="C34" s="7" t="s">
        <v>4</v>
      </c>
      <c r="D34" s="7"/>
      <c r="E34" s="2"/>
    </row>
    <row r="35" spans="2:5" ht="12.75">
      <c r="B35" s="2"/>
      <c r="C35" s="2"/>
      <c r="D35" s="2"/>
      <c r="E35" s="2"/>
    </row>
    <row r="36" ht="12.75"/>
  </sheetData>
  <sheetProtection password="DE75"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350" verticalDpi="35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I1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>
    <row r="1" ht="18">
      <c r="A1" s="30" t="s">
        <v>302</v>
      </c>
    </row>
    <row r="3" ht="15.75">
      <c r="A3" s="33" t="s">
        <v>303</v>
      </c>
    </row>
    <row r="5" spans="6:9" ht="15" customHeight="1">
      <c r="F5" s="42" t="s">
        <v>304</v>
      </c>
      <c r="G5"/>
      <c r="H5"/>
      <c r="I5"/>
    </row>
    <row r="6" spans="6:9" ht="15" customHeight="1">
      <c r="F6"/>
      <c r="G6"/>
      <c r="H6"/>
      <c r="I6"/>
    </row>
    <row r="7" spans="6:9" ht="15" customHeight="1">
      <c r="F7" s="43" t="s">
        <v>305</v>
      </c>
      <c r="G7"/>
      <c r="H7"/>
      <c r="I7"/>
    </row>
    <row r="8" spans="6:9" ht="15" customHeight="1">
      <c r="F8"/>
      <c r="G8"/>
      <c r="H8"/>
      <c r="I8"/>
    </row>
    <row r="9" spans="6:9" ht="12.75">
      <c r="F9"/>
      <c r="G9"/>
      <c r="H9"/>
      <c r="I9"/>
    </row>
    <row r="10" spans="6:9" ht="12.75">
      <c r="F10"/>
      <c r="G10"/>
      <c r="H10"/>
      <c r="I10"/>
    </row>
    <row r="11" spans="6:9" ht="12.75">
      <c r="F11"/>
      <c r="G11"/>
      <c r="H11"/>
      <c r="I11"/>
    </row>
    <row r="12" spans="6:9" ht="12.75">
      <c r="F12"/>
      <c r="G12"/>
      <c r="H12"/>
      <c r="I12"/>
    </row>
    <row r="13" spans="6:9" ht="12.75">
      <c r="F13"/>
      <c r="G13"/>
      <c r="H13"/>
      <c r="I13"/>
    </row>
    <row r="14" spans="6:9" ht="12.75">
      <c r="F14"/>
      <c r="G14"/>
      <c r="H14"/>
      <c r="I14"/>
    </row>
    <row r="15" spans="6:9" ht="12.75">
      <c r="F15"/>
      <c r="G15"/>
      <c r="H15"/>
      <c r="I15"/>
    </row>
  </sheetData>
  <sheetProtection password="DE75" sheet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131"/>
  <sheetViews>
    <sheetView showGridLines="0" showRowColHeaders="0" workbookViewId="0" topLeftCell="A1">
      <pane ySplit="9" topLeftCell="BM10" activePane="bottomLeft" state="frozen"/>
      <selection pane="topLeft" activeCell="A1" sqref="A1"/>
      <selection pane="bottomLeft" activeCell="H131" sqref="A1:H131"/>
    </sheetView>
  </sheetViews>
  <sheetFormatPr defaultColWidth="9.140625" defaultRowHeight="12.75"/>
  <cols>
    <col min="1" max="1" width="65.7109375" style="19" bestFit="1" customWidth="1"/>
    <col min="2" max="8" width="9.140625" style="19" customWidth="1"/>
    <col min="9" max="10" width="0" style="19" hidden="1" customWidth="1"/>
    <col min="11" max="16384" width="9.140625" style="19" customWidth="1"/>
  </cols>
  <sheetData>
    <row r="1" spans="1:2" ht="18">
      <c r="A1" s="30" t="s">
        <v>46</v>
      </c>
      <c r="B1" s="32" t="s">
        <v>47</v>
      </c>
    </row>
    <row r="3" spans="1:2" ht="15.75">
      <c r="A3" s="33" t="s">
        <v>48</v>
      </c>
      <c r="B3" s="33" t="s">
        <v>123</v>
      </c>
    </row>
    <row r="4" ht="12.75"/>
    <row r="5" ht="15" customHeight="1"/>
    <row r="6" ht="15" customHeight="1"/>
    <row r="7" ht="15" customHeight="1"/>
    <row r="8" ht="15" customHeight="1"/>
    <row r="9" ht="12.75"/>
    <row r="11" ht="15.75" hidden="1">
      <c r="A11" s="33" t="s">
        <v>49</v>
      </c>
    </row>
    <row r="12" ht="12.75" hidden="1"/>
    <row r="13" ht="12.75" hidden="1">
      <c r="A13" s="34" t="s">
        <v>50</v>
      </c>
    </row>
    <row r="14" ht="12.75" hidden="1">
      <c r="A14" s="17" t="s">
        <v>18</v>
      </c>
    </row>
    <row r="15" ht="12.75" hidden="1"/>
    <row r="17" ht="15.75">
      <c r="A17" s="33" t="s">
        <v>51</v>
      </c>
    </row>
    <row r="19" spans="1:3" ht="12.75">
      <c r="A19" s="29" t="s">
        <v>52</v>
      </c>
      <c r="B19" s="35">
        <v>400</v>
      </c>
      <c r="C19" s="29" t="s">
        <v>53</v>
      </c>
    </row>
    <row r="20" spans="1:3" ht="12.75">
      <c r="A20" s="29" t="s">
        <v>54</v>
      </c>
      <c r="B20" s="35">
        <v>315</v>
      </c>
      <c r="C20" s="29" t="s">
        <v>53</v>
      </c>
    </row>
    <row r="21" spans="1:3" ht="12.75">
      <c r="A21" s="29" t="s">
        <v>55</v>
      </c>
      <c r="B21" s="36">
        <f>Inert_Source_length*Inert_Source_width</f>
        <v>126000</v>
      </c>
      <c r="C21" s="29" t="s">
        <v>56</v>
      </c>
    </row>
    <row r="22" spans="1:3" ht="12.75">
      <c r="A22" s="29" t="s">
        <v>57</v>
      </c>
      <c r="B22" s="35">
        <v>6</v>
      </c>
      <c r="C22" s="29" t="s">
        <v>53</v>
      </c>
    </row>
    <row r="23" spans="1:3" ht="12.75">
      <c r="A23" s="29" t="s">
        <v>58</v>
      </c>
      <c r="B23" s="36">
        <f>Inert_Source_area*Inert_Source_thickness</f>
        <v>756000</v>
      </c>
      <c r="C23" s="29" t="s">
        <v>59</v>
      </c>
    </row>
    <row r="26" ht="15.75">
      <c r="A26" s="33" t="s">
        <v>60</v>
      </c>
    </row>
    <row r="28" spans="1:3" ht="12.75">
      <c r="A28" s="22" t="s">
        <v>61</v>
      </c>
      <c r="B28" s="22" t="s">
        <v>32</v>
      </c>
      <c r="C28" s="25">
        <v>0.3</v>
      </c>
    </row>
    <row r="29" spans="1:3" ht="12.75" hidden="1">
      <c r="A29" s="20" t="s">
        <v>26</v>
      </c>
      <c r="B29" s="20"/>
      <c r="C29" s="26" t="s">
        <v>30</v>
      </c>
    </row>
    <row r="30" spans="1:3" ht="12.75" hidden="1">
      <c r="A30" s="20" t="s">
        <v>62</v>
      </c>
      <c r="B30" s="20"/>
      <c r="C30" s="23"/>
    </row>
    <row r="31" spans="1:3" ht="12.75" hidden="1">
      <c r="A31" s="20" t="s">
        <v>63</v>
      </c>
      <c r="B31" s="20"/>
      <c r="C31" s="23"/>
    </row>
    <row r="32" spans="1:3" ht="12.75" hidden="1">
      <c r="A32" s="21" t="s">
        <v>64</v>
      </c>
      <c r="B32" s="21"/>
      <c r="C32" s="24"/>
    </row>
    <row r="33" ht="12.75" hidden="1"/>
    <row r="35" spans="1:3" ht="12.75" hidden="1">
      <c r="A35" s="22" t="s">
        <v>65</v>
      </c>
      <c r="B35" s="22" t="s">
        <v>32</v>
      </c>
      <c r="C35" s="25"/>
    </row>
    <row r="36" spans="1:3" ht="12.75" hidden="1">
      <c r="A36" s="20" t="s">
        <v>26</v>
      </c>
      <c r="B36" s="20"/>
      <c r="C36" s="26" t="s">
        <v>30</v>
      </c>
    </row>
    <row r="37" spans="1:3" ht="12.75" hidden="1">
      <c r="A37" s="20" t="s">
        <v>66</v>
      </c>
      <c r="B37" s="20"/>
      <c r="C37" s="23"/>
    </row>
    <row r="38" spans="1:3" ht="12.75" hidden="1">
      <c r="A38" s="20" t="s">
        <v>67</v>
      </c>
      <c r="B38" s="20"/>
      <c r="C38" s="23"/>
    </row>
    <row r="39" spans="1:3" ht="12.75" hidden="1">
      <c r="A39" s="21" t="s">
        <v>68</v>
      </c>
      <c r="B39" s="21"/>
      <c r="C39" s="24"/>
    </row>
    <row r="40" ht="12.75" hidden="1"/>
    <row r="41" ht="12.75" hidden="1"/>
    <row r="42" spans="1:3" ht="12.75" hidden="1">
      <c r="A42" s="22" t="s">
        <v>69</v>
      </c>
      <c r="B42" s="22" t="s">
        <v>32</v>
      </c>
      <c r="C42" s="25"/>
    </row>
    <row r="43" spans="1:3" ht="12.75" hidden="1">
      <c r="A43" s="20" t="s">
        <v>26</v>
      </c>
      <c r="B43" s="20"/>
      <c r="C43" s="26" t="s">
        <v>30</v>
      </c>
    </row>
    <row r="44" spans="1:3" ht="12.75" hidden="1">
      <c r="A44" s="20" t="s">
        <v>70</v>
      </c>
      <c r="B44" s="20"/>
      <c r="C44" s="23"/>
    </row>
    <row r="45" spans="1:3" ht="12.75" hidden="1">
      <c r="A45" s="20" t="s">
        <v>71</v>
      </c>
      <c r="B45" s="20"/>
      <c r="C45" s="23"/>
    </row>
    <row r="46" spans="1:3" ht="12.75" hidden="1">
      <c r="A46" s="21" t="s">
        <v>72</v>
      </c>
      <c r="B46" s="21"/>
      <c r="C46" s="24"/>
    </row>
    <row r="47" ht="12.75" hidden="1"/>
    <row r="48" ht="12.75" hidden="1"/>
    <row r="49" spans="1:3" ht="12.75" hidden="1">
      <c r="A49" s="22" t="s">
        <v>73</v>
      </c>
      <c r="B49" s="22" t="s">
        <v>32</v>
      </c>
      <c r="C49" s="37">
        <f>Inert_Source_porosity_total-Inert_Source_porosity_water_filled</f>
        <v>0</v>
      </c>
    </row>
    <row r="50" spans="1:3" ht="12.75" hidden="1">
      <c r="A50" s="20" t="s">
        <v>26</v>
      </c>
      <c r="B50" s="20"/>
      <c r="C50" s="26" t="s">
        <v>30</v>
      </c>
    </row>
    <row r="51" spans="1:3" ht="12.75" hidden="1">
      <c r="A51" s="20" t="s">
        <v>74</v>
      </c>
      <c r="B51" s="20"/>
      <c r="C51" s="23"/>
    </row>
    <row r="52" spans="1:3" ht="12.75" hidden="1">
      <c r="A52" s="20" t="s">
        <v>75</v>
      </c>
      <c r="B52" s="20"/>
      <c r="C52" s="23"/>
    </row>
    <row r="53" spans="1:3" ht="12.75" hidden="1">
      <c r="A53" s="21" t="s">
        <v>76</v>
      </c>
      <c r="B53" s="21"/>
      <c r="C53" s="24"/>
    </row>
    <row r="54" ht="12.75" hidden="1"/>
    <row r="55" ht="12.75" hidden="1"/>
    <row r="56" spans="1:3" ht="12.75" hidden="1">
      <c r="A56" s="22" t="s">
        <v>77</v>
      </c>
      <c r="B56" s="22" t="s">
        <v>78</v>
      </c>
      <c r="C56" s="25"/>
    </row>
    <row r="57" spans="1:3" ht="12.75" hidden="1">
      <c r="A57" s="20" t="s">
        <v>26</v>
      </c>
      <c r="B57" s="20"/>
      <c r="C57" s="26" t="s">
        <v>30</v>
      </c>
    </row>
    <row r="58" spans="1:3" ht="12.75" hidden="1">
      <c r="A58" s="20" t="s">
        <v>79</v>
      </c>
      <c r="B58" s="20"/>
      <c r="C58" s="23"/>
    </row>
    <row r="59" spans="1:3" ht="12.75" hidden="1">
      <c r="A59" s="20" t="s">
        <v>80</v>
      </c>
      <c r="B59" s="20"/>
      <c r="C59" s="23"/>
    </row>
    <row r="60" spans="1:3" ht="12.75" hidden="1">
      <c r="A60" s="21" t="s">
        <v>81</v>
      </c>
      <c r="B60" s="21"/>
      <c r="C60" s="24"/>
    </row>
    <row r="61" ht="12.75" hidden="1"/>
    <row r="62" ht="12.75" hidden="1"/>
    <row r="63" spans="1:3" ht="12.75" hidden="1">
      <c r="A63" s="22" t="s">
        <v>82</v>
      </c>
      <c r="B63" s="22" t="s">
        <v>32</v>
      </c>
      <c r="C63" s="25"/>
    </row>
    <row r="64" spans="1:3" ht="12.75" hidden="1">
      <c r="A64" s="20" t="s">
        <v>26</v>
      </c>
      <c r="B64" s="20"/>
      <c r="C64" s="26" t="s">
        <v>30</v>
      </c>
    </row>
    <row r="65" spans="1:3" ht="12.75" hidden="1">
      <c r="A65" s="20" t="s">
        <v>83</v>
      </c>
      <c r="B65" s="20"/>
      <c r="C65" s="23"/>
    </row>
    <row r="66" spans="1:3" ht="12.75" hidden="1">
      <c r="A66" s="20" t="s">
        <v>84</v>
      </c>
      <c r="B66" s="20"/>
      <c r="C66" s="23"/>
    </row>
    <row r="67" spans="1:3" ht="12.75" hidden="1">
      <c r="A67" s="21" t="s">
        <v>85</v>
      </c>
      <c r="B67" s="21"/>
      <c r="C67" s="24"/>
    </row>
    <row r="68" ht="12.75" hidden="1"/>
    <row r="69" ht="12.75" hidden="1"/>
    <row r="71" ht="15.75">
      <c r="A71" s="33" t="s">
        <v>86</v>
      </c>
    </row>
    <row r="72" ht="13.5" thickBot="1"/>
    <row r="73" spans="1:10" ht="17.25" thickBot="1" thickTop="1">
      <c r="A73" s="40" t="s">
        <v>14</v>
      </c>
      <c r="B73" s="38"/>
      <c r="C73" s="39" t="str">
        <f>IF(ISTEXT((Contaminants_Source_determinand_names Contaminants_Species1)),(Contaminants_Source_determinand_names Contaminants_Species1),"Undefined")</f>
        <v>Amm N</v>
      </c>
      <c r="D73" s="39" t="str">
        <f>IF(ISTEXT((Contaminants_Source_determinand_names Contaminants_Species2)),(Contaminants_Source_determinand_names Contaminants_Species2),"Undefined")</f>
        <v>Cadmium</v>
      </c>
      <c r="E73" s="39" t="str">
        <f>IF(ISTEXT((Contaminants_Source_determinand_names Contaminants_Species3)),(Contaminants_Source_determinand_names Contaminants_Species3),"Undefined")</f>
        <v>Chloride</v>
      </c>
      <c r="F73" s="39" t="str">
        <f>IF(ISTEXT((Contaminants_Source_determinand_names Contaminants_Species4)),(Contaminants_Source_determinand_names Contaminants_Species4),"Undefined")</f>
        <v>Potassium</v>
      </c>
      <c r="G73" s="39" t="str">
        <f>IF(ISTEXT((Contaminants_Source_determinand_names Contaminants_Species5)),(Contaminants_Source_determinand_names Contaminants_Species5),"Undefined")</f>
        <v>Nickel</v>
      </c>
      <c r="H73" s="39" t="str">
        <f>IF(ISTEXT((Contaminants_Source_determinand_names Contaminants_Species6)),(Contaminants_Source_determinand_names Contaminants_Species6),"Undefined")</f>
        <v>Phenol</v>
      </c>
      <c r="I73" s="39" t="str">
        <f>IF(ISTEXT((Contaminants_Source_determinand_names Contaminants_Species7)),(Contaminants_Source_determinand_names Contaminants_Species7),"Undefined")</f>
        <v>Undefined</v>
      </c>
      <c r="J73" s="39" t="str">
        <f>IF(ISTEXT((Contaminants_Source_determinand_names Contaminants_Species8)),(Contaminants_Source_determinand_names Contaminants_Species8),"Undefined")</f>
        <v>Undefined</v>
      </c>
    </row>
    <row r="74" ht="13.5" thickTop="1"/>
    <row r="75" spans="1:10" ht="12.75" hidden="1">
      <c r="A75" s="22" t="s">
        <v>87</v>
      </c>
      <c r="B75" s="22" t="s">
        <v>25</v>
      </c>
      <c r="C75" s="25"/>
      <c r="D75" s="25"/>
      <c r="E75" s="25"/>
      <c r="F75" s="25"/>
      <c r="G75" s="25"/>
      <c r="H75" s="25"/>
      <c r="I75" s="25"/>
      <c r="J75" s="25"/>
    </row>
    <row r="76" spans="1:10" ht="12.75" hidden="1">
      <c r="A76" s="20" t="s">
        <v>26</v>
      </c>
      <c r="B76" s="20"/>
      <c r="C76" s="26" t="s">
        <v>30</v>
      </c>
      <c r="D76" s="26" t="s">
        <v>30</v>
      </c>
      <c r="E76" s="26" t="s">
        <v>30</v>
      </c>
      <c r="F76" s="26" t="s">
        <v>30</v>
      </c>
      <c r="G76" s="26" t="s">
        <v>30</v>
      </c>
      <c r="H76" s="26" t="s">
        <v>30</v>
      </c>
      <c r="I76" s="26" t="s">
        <v>30</v>
      </c>
      <c r="J76" s="26" t="s">
        <v>30</v>
      </c>
    </row>
    <row r="77" spans="1:10" ht="12.75" hidden="1">
      <c r="A77" s="20" t="s">
        <v>88</v>
      </c>
      <c r="B77" s="20"/>
      <c r="C77" s="23"/>
      <c r="D77" s="23"/>
      <c r="E77" s="23"/>
      <c r="F77" s="23"/>
      <c r="G77" s="23"/>
      <c r="H77" s="23"/>
      <c r="I77" s="23"/>
      <c r="J77" s="23"/>
    </row>
    <row r="78" spans="1:10" ht="12.75" hidden="1">
      <c r="A78" s="20" t="s">
        <v>89</v>
      </c>
      <c r="B78" s="20"/>
      <c r="C78" s="23"/>
      <c r="D78" s="23"/>
      <c r="E78" s="23"/>
      <c r="F78" s="23"/>
      <c r="G78" s="23"/>
      <c r="H78" s="23"/>
      <c r="I78" s="23"/>
      <c r="J78" s="23"/>
    </row>
    <row r="79" spans="1:10" ht="12.75" hidden="1">
      <c r="A79" s="21" t="s">
        <v>90</v>
      </c>
      <c r="B79" s="21"/>
      <c r="C79" s="24"/>
      <c r="D79" s="24"/>
      <c r="E79" s="24"/>
      <c r="F79" s="24"/>
      <c r="G79" s="24"/>
      <c r="H79" s="24"/>
      <c r="I79" s="24"/>
      <c r="J79" s="24"/>
    </row>
    <row r="80" ht="12.75" hidden="1"/>
    <row r="81" ht="12.75" hidden="1"/>
    <row r="82" spans="1:10" ht="12.75">
      <c r="A82" s="22" t="s">
        <v>91</v>
      </c>
      <c r="B82" s="22" t="s">
        <v>25</v>
      </c>
      <c r="C82" s="25">
        <v>0.53</v>
      </c>
      <c r="D82" s="25">
        <v>0.02</v>
      </c>
      <c r="E82" s="25">
        <v>460</v>
      </c>
      <c r="F82" s="25">
        <v>20.605</v>
      </c>
      <c r="G82" s="25">
        <v>0.12</v>
      </c>
      <c r="H82" s="25">
        <v>0.3</v>
      </c>
      <c r="I82" s="25"/>
      <c r="J82" s="25"/>
    </row>
    <row r="83" spans="1:10" ht="12.75" hidden="1">
      <c r="A83" s="20" t="s">
        <v>26</v>
      </c>
      <c r="B83" s="20"/>
      <c r="C83" s="26" t="s">
        <v>30</v>
      </c>
      <c r="D83" s="26" t="s">
        <v>30</v>
      </c>
      <c r="E83" s="26" t="s">
        <v>30</v>
      </c>
      <c r="F83" s="26" t="s">
        <v>30</v>
      </c>
      <c r="G83" s="26" t="s">
        <v>30</v>
      </c>
      <c r="H83" s="26" t="s">
        <v>30</v>
      </c>
      <c r="I83" s="26" t="s">
        <v>30</v>
      </c>
      <c r="J83" s="26" t="s">
        <v>30</v>
      </c>
    </row>
    <row r="84" spans="1:10" ht="12.75" hidden="1">
      <c r="A84" s="20" t="s">
        <v>92</v>
      </c>
      <c r="B84" s="20"/>
      <c r="C84" s="23"/>
      <c r="D84" s="23"/>
      <c r="E84" s="23"/>
      <c r="F84" s="23"/>
      <c r="G84" s="23"/>
      <c r="H84" s="23"/>
      <c r="I84" s="23"/>
      <c r="J84" s="23"/>
    </row>
    <row r="85" spans="1:10" ht="12.75" hidden="1">
      <c r="A85" s="20" t="s">
        <v>93</v>
      </c>
      <c r="B85" s="20"/>
      <c r="C85" s="23"/>
      <c r="D85" s="23"/>
      <c r="E85" s="23"/>
      <c r="F85" s="23"/>
      <c r="G85" s="23"/>
      <c r="H85" s="23"/>
      <c r="I85" s="23"/>
      <c r="J85" s="23"/>
    </row>
    <row r="86" spans="1:10" ht="12.75" hidden="1">
      <c r="A86" s="21" t="s">
        <v>94</v>
      </c>
      <c r="B86" s="21"/>
      <c r="C86" s="24"/>
      <c r="D86" s="24"/>
      <c r="E86" s="24"/>
      <c r="F86" s="24"/>
      <c r="G86" s="24"/>
      <c r="H86" s="24"/>
      <c r="I86" s="24"/>
      <c r="J86" s="24"/>
    </row>
    <row r="87" ht="12.75" hidden="1"/>
    <row r="89" spans="1:10" ht="12.75" hidden="1">
      <c r="A89" s="22" t="s">
        <v>95</v>
      </c>
      <c r="B89" s="22" t="s">
        <v>96</v>
      </c>
      <c r="C89" s="25"/>
      <c r="D89" s="25"/>
      <c r="E89" s="25"/>
      <c r="F89" s="25"/>
      <c r="G89" s="25"/>
      <c r="H89" s="25"/>
      <c r="I89" s="25"/>
      <c r="J89" s="25"/>
    </row>
    <row r="90" spans="1:10" ht="12.75" hidden="1">
      <c r="A90" s="20" t="s">
        <v>26</v>
      </c>
      <c r="B90" s="20"/>
      <c r="C90" s="26" t="s">
        <v>30</v>
      </c>
      <c r="D90" s="26" t="s">
        <v>30</v>
      </c>
      <c r="E90" s="26" t="s">
        <v>30</v>
      </c>
      <c r="F90" s="26" t="s">
        <v>30</v>
      </c>
      <c r="G90" s="26" t="s">
        <v>30</v>
      </c>
      <c r="H90" s="26" t="s">
        <v>30</v>
      </c>
      <c r="I90" s="26" t="s">
        <v>30</v>
      </c>
      <c r="J90" s="26" t="s">
        <v>30</v>
      </c>
    </row>
    <row r="91" spans="1:10" ht="12.75" hidden="1">
      <c r="A91" s="20" t="s">
        <v>97</v>
      </c>
      <c r="B91" s="20"/>
      <c r="C91" s="23"/>
      <c r="D91" s="23"/>
      <c r="E91" s="23"/>
      <c r="F91" s="23"/>
      <c r="G91" s="23"/>
      <c r="H91" s="23"/>
      <c r="I91" s="23"/>
      <c r="J91" s="23"/>
    </row>
    <row r="92" spans="1:10" ht="12.75" hidden="1">
      <c r="A92" s="20" t="s">
        <v>98</v>
      </c>
      <c r="B92" s="20"/>
      <c r="C92" s="23"/>
      <c r="D92" s="23"/>
      <c r="E92" s="23"/>
      <c r="F92" s="23"/>
      <c r="G92" s="23"/>
      <c r="H92" s="23"/>
      <c r="I92" s="23"/>
      <c r="J92" s="23"/>
    </row>
    <row r="93" spans="1:10" ht="12.75" hidden="1">
      <c r="A93" s="21" t="s">
        <v>99</v>
      </c>
      <c r="B93" s="21"/>
      <c r="C93" s="24"/>
      <c r="D93" s="24"/>
      <c r="E93" s="24"/>
      <c r="F93" s="24"/>
      <c r="G93" s="24"/>
      <c r="H93" s="24"/>
      <c r="I93" s="24"/>
      <c r="J93" s="24"/>
    </row>
    <row r="94" ht="12.75" hidden="1"/>
    <row r="95" ht="12.75" hidden="1"/>
    <row r="96" spans="1:10" ht="12.75" hidden="1">
      <c r="A96" s="22" t="s">
        <v>100</v>
      </c>
      <c r="B96" s="22" t="s">
        <v>37</v>
      </c>
      <c r="C96" s="37">
        <f>(Contaminants_Organic_Carbon_Water_Partition_Coefficient_Koc Contaminants_Species1)*(Inert_Source_fraction_organic_carbon)</f>
        <v>0</v>
      </c>
      <c r="D96" s="37">
        <f>(Contaminants_Organic_Carbon_Water_Partition_Coefficient_Koc Contaminants_Species2)*(Inert_Source_fraction_organic_carbon)</f>
        <v>0</v>
      </c>
      <c r="E96" s="37">
        <f>(Contaminants_Organic_Carbon_Water_Partition_Coefficient_Koc Contaminants_Species3)*(Inert_Source_fraction_organic_carbon)</f>
        <v>0</v>
      </c>
      <c r="F96" s="37">
        <f>(Contaminants_Organic_Carbon_Water_Partition_Coefficient_Koc Contaminants_Species4)*(Inert_Source_fraction_organic_carbon)</f>
        <v>0</v>
      </c>
      <c r="G96" s="37">
        <f>(Contaminants_Organic_Carbon_Water_Partition_Coefficient_Koc Contaminants_Species5)*(Inert_Source_fraction_organic_carbon)</f>
        <v>0</v>
      </c>
      <c r="H96" s="37">
        <f>(Contaminants_Organic_Carbon_Water_Partition_Coefficient_Koc Contaminants_Species6)*(Inert_Source_fraction_organic_carbon)</f>
        <v>0</v>
      </c>
      <c r="I96" s="37">
        <f>(Contaminants_Organic_Carbon_Water_Partition_Coefficient_Koc Contaminants_Species7)*(Inert_Source_fraction_organic_carbon)</f>
        <v>0</v>
      </c>
      <c r="J96" s="37">
        <f>(Contaminants_Organic_Carbon_Water_Partition_Coefficient_Koc Contaminants_Species8)*(Inert_Source_fraction_organic_carbon)</f>
        <v>0</v>
      </c>
    </row>
    <row r="97" spans="1:10" ht="12.75" hidden="1">
      <c r="A97" s="20" t="s">
        <v>26</v>
      </c>
      <c r="B97" s="20"/>
      <c r="C97" s="26" t="s">
        <v>30</v>
      </c>
      <c r="D97" s="26" t="s">
        <v>30</v>
      </c>
      <c r="E97" s="26" t="s">
        <v>30</v>
      </c>
      <c r="F97" s="26" t="s">
        <v>30</v>
      </c>
      <c r="G97" s="26" t="s">
        <v>30</v>
      </c>
      <c r="H97" s="26" t="s">
        <v>30</v>
      </c>
      <c r="I97" s="26" t="s">
        <v>30</v>
      </c>
      <c r="J97" s="26" t="s">
        <v>30</v>
      </c>
    </row>
    <row r="98" spans="1:10" ht="12.75" hidden="1">
      <c r="A98" s="20" t="s">
        <v>101</v>
      </c>
      <c r="B98" s="20"/>
      <c r="C98" s="23"/>
      <c r="D98" s="23"/>
      <c r="E98" s="23"/>
      <c r="F98" s="23"/>
      <c r="G98" s="23"/>
      <c r="H98" s="23"/>
      <c r="I98" s="23"/>
      <c r="J98" s="23"/>
    </row>
    <row r="99" spans="1:10" ht="12.75" hidden="1">
      <c r="A99" s="20" t="s">
        <v>102</v>
      </c>
      <c r="B99" s="20"/>
      <c r="C99" s="23"/>
      <c r="D99" s="23"/>
      <c r="E99" s="23"/>
      <c r="F99" s="23"/>
      <c r="G99" s="23"/>
      <c r="H99" s="23"/>
      <c r="I99" s="23"/>
      <c r="J99" s="23"/>
    </row>
    <row r="100" spans="1:10" ht="12.75" hidden="1">
      <c r="A100" s="21" t="s">
        <v>103</v>
      </c>
      <c r="B100" s="21"/>
      <c r="C100" s="24"/>
      <c r="D100" s="24"/>
      <c r="E100" s="24"/>
      <c r="F100" s="24"/>
      <c r="G100" s="24"/>
      <c r="H100" s="24"/>
      <c r="I100" s="24"/>
      <c r="J100" s="24"/>
    </row>
    <row r="101" ht="12.75" hidden="1"/>
    <row r="102" ht="12.75" hidden="1"/>
    <row r="103" spans="1:10" ht="12.75">
      <c r="A103" s="22" t="s">
        <v>104</v>
      </c>
      <c r="B103" s="22" t="s">
        <v>105</v>
      </c>
      <c r="C103" s="37">
        <f aca="true" t="shared" si="0" ref="C103:J103">0.001*(Inert_Leaching_test_concentration)*(Inert_Source_field_capacity)*(Inert_Source_volume)</f>
        <v>120.20400000000001</v>
      </c>
      <c r="D103" s="37">
        <f t="shared" si="0"/>
        <v>4.5360000000000005</v>
      </c>
      <c r="E103" s="37">
        <f t="shared" si="0"/>
        <v>104328.00000000001</v>
      </c>
      <c r="F103" s="37">
        <f t="shared" si="0"/>
        <v>4673.214</v>
      </c>
      <c r="G103" s="37">
        <f t="shared" si="0"/>
        <v>27.216</v>
      </c>
      <c r="H103" s="37">
        <f t="shared" si="0"/>
        <v>68.03999999999999</v>
      </c>
      <c r="I103" s="37">
        <f t="shared" si="0"/>
        <v>0</v>
      </c>
      <c r="J103" s="37">
        <f t="shared" si="0"/>
        <v>0</v>
      </c>
    </row>
    <row r="104" spans="1:10" ht="12.75" hidden="1">
      <c r="A104" s="20" t="s">
        <v>26</v>
      </c>
      <c r="B104" s="20"/>
      <c r="C104" s="26" t="s">
        <v>30</v>
      </c>
      <c r="D104" s="26" t="s">
        <v>30</v>
      </c>
      <c r="E104" s="26" t="s">
        <v>30</v>
      </c>
      <c r="F104" s="26" t="s">
        <v>30</v>
      </c>
      <c r="G104" s="26" t="s">
        <v>30</v>
      </c>
      <c r="H104" s="26" t="s">
        <v>30</v>
      </c>
      <c r="I104" s="26" t="s">
        <v>30</v>
      </c>
      <c r="J104" s="26" t="s">
        <v>30</v>
      </c>
    </row>
    <row r="105" spans="1:10" ht="12.75" hidden="1">
      <c r="A105" s="20" t="s">
        <v>106</v>
      </c>
      <c r="B105" s="20"/>
      <c r="C105" s="23"/>
      <c r="D105" s="23"/>
      <c r="E105" s="23"/>
      <c r="F105" s="23"/>
      <c r="G105" s="23"/>
      <c r="H105" s="23"/>
      <c r="I105" s="23"/>
      <c r="J105" s="23"/>
    </row>
    <row r="106" spans="1:10" ht="12.75" hidden="1">
      <c r="A106" s="20" t="s">
        <v>107</v>
      </c>
      <c r="B106" s="20"/>
      <c r="C106" s="23"/>
      <c r="D106" s="23"/>
      <c r="E106" s="23"/>
      <c r="F106" s="23"/>
      <c r="G106" s="23"/>
      <c r="H106" s="23"/>
      <c r="I106" s="23"/>
      <c r="J106" s="23"/>
    </row>
    <row r="107" spans="1:10" ht="12.75" hidden="1">
      <c r="A107" s="21" t="s">
        <v>108</v>
      </c>
      <c r="B107" s="21"/>
      <c r="C107" s="24"/>
      <c r="D107" s="24"/>
      <c r="E107" s="24"/>
      <c r="F107" s="24"/>
      <c r="G107" s="24"/>
      <c r="H107" s="24"/>
      <c r="I107" s="24"/>
      <c r="J107" s="24"/>
    </row>
    <row r="108" ht="12.75" hidden="1"/>
    <row r="110" spans="1:10" ht="12.75" hidden="1">
      <c r="A110" s="22" t="s">
        <v>109</v>
      </c>
      <c r="B110" s="22" t="s">
        <v>110</v>
      </c>
      <c r="C110" s="25"/>
      <c r="D110" s="25"/>
      <c r="E110" s="25"/>
      <c r="F110" s="25"/>
      <c r="G110" s="25"/>
      <c r="H110" s="25"/>
      <c r="I110" s="25"/>
      <c r="J110" s="25"/>
    </row>
    <row r="111" spans="1:10" ht="12.75" hidden="1">
      <c r="A111" s="20" t="s">
        <v>26</v>
      </c>
      <c r="B111" s="20"/>
      <c r="C111" s="26" t="s">
        <v>30</v>
      </c>
      <c r="D111" s="26" t="s">
        <v>30</v>
      </c>
      <c r="E111" s="26" t="s">
        <v>30</v>
      </c>
      <c r="F111" s="26" t="s">
        <v>30</v>
      </c>
      <c r="G111" s="26" t="s">
        <v>30</v>
      </c>
      <c r="H111" s="26" t="s">
        <v>30</v>
      </c>
      <c r="I111" s="26" t="s">
        <v>30</v>
      </c>
      <c r="J111" s="26" t="s">
        <v>30</v>
      </c>
    </row>
    <row r="112" spans="1:10" ht="12.75" hidden="1">
      <c r="A112" s="20" t="s">
        <v>111</v>
      </c>
      <c r="B112" s="20"/>
      <c r="C112" s="23"/>
      <c r="D112" s="23"/>
      <c r="E112" s="23"/>
      <c r="F112" s="23"/>
      <c r="G112" s="23"/>
      <c r="H112" s="23"/>
      <c r="I112" s="23"/>
      <c r="J112" s="23"/>
    </row>
    <row r="113" spans="1:10" ht="12.75" hidden="1">
      <c r="A113" s="20" t="s">
        <v>112</v>
      </c>
      <c r="B113" s="20"/>
      <c r="C113" s="23"/>
      <c r="D113" s="23"/>
      <c r="E113" s="23"/>
      <c r="F113" s="23"/>
      <c r="G113" s="23"/>
      <c r="H113" s="23"/>
      <c r="I113" s="23"/>
      <c r="J113" s="23"/>
    </row>
    <row r="114" spans="1:10" ht="12.75" hidden="1">
      <c r="A114" s="21" t="s">
        <v>113</v>
      </c>
      <c r="B114" s="21"/>
      <c r="C114" s="24"/>
      <c r="D114" s="24"/>
      <c r="E114" s="24"/>
      <c r="F114" s="24"/>
      <c r="G114" s="24"/>
      <c r="H114" s="24"/>
      <c r="I114" s="24"/>
      <c r="J114" s="24"/>
    </row>
    <row r="115" ht="12.75" hidden="1"/>
    <row r="116" ht="12.75" hidden="1"/>
    <row r="117" spans="1:10" ht="12.75" hidden="1">
      <c r="A117" s="22" t="s">
        <v>114</v>
      </c>
      <c r="B117" s="22" t="s">
        <v>110</v>
      </c>
      <c r="C117" s="25"/>
      <c r="D117" s="25"/>
      <c r="E117" s="25"/>
      <c r="F117" s="25"/>
      <c r="G117" s="25"/>
      <c r="H117" s="25"/>
      <c r="I117" s="25"/>
      <c r="J117" s="25"/>
    </row>
    <row r="118" spans="1:10" ht="12.75" hidden="1">
      <c r="A118" s="20" t="s">
        <v>26</v>
      </c>
      <c r="B118" s="20"/>
      <c r="C118" s="26" t="s">
        <v>30</v>
      </c>
      <c r="D118" s="26" t="s">
        <v>30</v>
      </c>
      <c r="E118" s="26" t="s">
        <v>30</v>
      </c>
      <c r="F118" s="26" t="s">
        <v>30</v>
      </c>
      <c r="G118" s="26" t="s">
        <v>30</v>
      </c>
      <c r="H118" s="26" t="s">
        <v>30</v>
      </c>
      <c r="I118" s="26" t="s">
        <v>30</v>
      </c>
      <c r="J118" s="26" t="s">
        <v>30</v>
      </c>
    </row>
    <row r="119" spans="1:10" ht="12.75" hidden="1">
      <c r="A119" s="20" t="s">
        <v>115</v>
      </c>
      <c r="B119" s="20"/>
      <c r="C119" s="23"/>
      <c r="D119" s="23"/>
      <c r="E119" s="23"/>
      <c r="F119" s="23"/>
      <c r="G119" s="23"/>
      <c r="H119" s="23"/>
      <c r="I119" s="23"/>
      <c r="J119" s="23"/>
    </row>
    <row r="120" spans="1:10" ht="12.75" hidden="1">
      <c r="A120" s="20" t="s">
        <v>116</v>
      </c>
      <c r="B120" s="20"/>
      <c r="C120" s="23"/>
      <c r="D120" s="23"/>
      <c r="E120" s="23"/>
      <c r="F120" s="23"/>
      <c r="G120" s="23"/>
      <c r="H120" s="23"/>
      <c r="I120" s="23"/>
      <c r="J120" s="23"/>
    </row>
    <row r="121" spans="1:10" ht="12.75" hidden="1">
      <c r="A121" s="21" t="s">
        <v>117</v>
      </c>
      <c r="B121" s="21"/>
      <c r="C121" s="24"/>
      <c r="D121" s="24"/>
      <c r="E121" s="24"/>
      <c r="F121" s="24"/>
      <c r="G121" s="24"/>
      <c r="H121" s="24"/>
      <c r="I121" s="24"/>
      <c r="J121" s="24"/>
    </row>
    <row r="122" ht="12.75" hidden="1"/>
    <row r="123" ht="12.75" hidden="1"/>
    <row r="124" spans="1:10" ht="12.75" hidden="1">
      <c r="A124" s="22" t="s">
        <v>118</v>
      </c>
      <c r="B124" s="22" t="s">
        <v>110</v>
      </c>
      <c r="C124" s="37" t="str">
        <f aca="true" t="shared" si="1" ref="C124:J124">IF(AND(ISNUMBER(Inert_Kappa_slope_value_m),ISNUMBER(Inert_Kappa_intercept_value_c),ISNUMBER(Inert_Input_concentration)),IF(Inert_Input_concentration&gt;0,MAX(0,Inert_Kappa_slope_value_m*LN(1000*Inert_Input_concentration)+Inert_Kappa_intercept_value_c),""),"Not-used")</f>
        <v>Not-used</v>
      </c>
      <c r="D124" s="37" t="str">
        <f t="shared" si="1"/>
        <v>Not-used</v>
      </c>
      <c r="E124" s="37" t="str">
        <f t="shared" si="1"/>
        <v>Not-used</v>
      </c>
      <c r="F124" s="37" t="str">
        <f t="shared" si="1"/>
        <v>Not-used</v>
      </c>
      <c r="G124" s="37" t="str">
        <f t="shared" si="1"/>
        <v>Not-used</v>
      </c>
      <c r="H124" s="37" t="str">
        <f t="shared" si="1"/>
        <v>Not-used</v>
      </c>
      <c r="I124" s="37" t="str">
        <f t="shared" si="1"/>
        <v>Not-used</v>
      </c>
      <c r="J124" s="37" t="str">
        <f t="shared" si="1"/>
        <v>Not-used</v>
      </c>
    </row>
    <row r="125" spans="1:10" ht="12.75" hidden="1">
      <c r="A125" s="20" t="s">
        <v>26</v>
      </c>
      <c r="B125" s="20"/>
      <c r="C125" s="26" t="s">
        <v>30</v>
      </c>
      <c r="D125" s="26" t="s">
        <v>30</v>
      </c>
      <c r="E125" s="26" t="s">
        <v>30</v>
      </c>
      <c r="F125" s="26" t="s">
        <v>30</v>
      </c>
      <c r="G125" s="26" t="s">
        <v>30</v>
      </c>
      <c r="H125" s="26" t="s">
        <v>30</v>
      </c>
      <c r="I125" s="26" t="s">
        <v>30</v>
      </c>
      <c r="J125" s="26" t="s">
        <v>30</v>
      </c>
    </row>
    <row r="126" spans="1:10" ht="12.75" hidden="1">
      <c r="A126" s="20" t="s">
        <v>119</v>
      </c>
      <c r="B126" s="20"/>
      <c r="C126" s="23"/>
      <c r="D126" s="23"/>
      <c r="E126" s="23"/>
      <c r="F126" s="23"/>
      <c r="G126" s="23"/>
      <c r="H126" s="23"/>
      <c r="I126" s="23"/>
      <c r="J126" s="23"/>
    </row>
    <row r="127" spans="1:10" ht="12.75" hidden="1">
      <c r="A127" s="20" t="s">
        <v>120</v>
      </c>
      <c r="B127" s="20"/>
      <c r="C127" s="23"/>
      <c r="D127" s="23"/>
      <c r="E127" s="23"/>
      <c r="F127" s="23"/>
      <c r="G127" s="23"/>
      <c r="H127" s="23"/>
      <c r="I127" s="23"/>
      <c r="J127" s="23"/>
    </row>
    <row r="128" spans="1:10" ht="12.75" hidden="1">
      <c r="A128" s="21" t="s">
        <v>121</v>
      </c>
      <c r="B128" s="21"/>
      <c r="C128" s="24"/>
      <c r="D128" s="24"/>
      <c r="E128" s="24"/>
      <c r="F128" s="24"/>
      <c r="G128" s="24"/>
      <c r="H128" s="24"/>
      <c r="I128" s="24"/>
      <c r="J128" s="24"/>
    </row>
    <row r="129" ht="12.75" hidden="1"/>
    <row r="130" ht="12.75" hidden="1"/>
    <row r="131" spans="1:10" ht="12.75">
      <c r="A131" s="22" t="s">
        <v>122</v>
      </c>
      <c r="B131" s="22" t="s">
        <v>25</v>
      </c>
      <c r="C131" s="41">
        <f aca="true" t="shared" si="2" ref="C131:J131">(Inert_Leaching_test_concentration)</f>
        <v>0.53</v>
      </c>
      <c r="D131" s="41">
        <f t="shared" si="2"/>
        <v>0.02</v>
      </c>
      <c r="E131" s="41">
        <f t="shared" si="2"/>
        <v>460</v>
      </c>
      <c r="F131" s="41">
        <f t="shared" si="2"/>
        <v>20.605</v>
      </c>
      <c r="G131" s="41">
        <f t="shared" si="2"/>
        <v>0.12</v>
      </c>
      <c r="H131" s="41">
        <f t="shared" si="2"/>
        <v>0.3</v>
      </c>
      <c r="I131" s="41">
        <f t="shared" si="2"/>
        <v>0</v>
      </c>
      <c r="J131" s="41">
        <f t="shared" si="2"/>
        <v>0</v>
      </c>
    </row>
  </sheetData>
  <sheetProtection password="DE75" sheet="1" scenarios="1"/>
  <dataValidations count="71">
    <dataValidation type="list" allowBlank="1" showInputMessage="1" showErrorMessage="1" prompt="Choose quality standards" errorTitle="RAM3" error="Not a named standard" sqref="A14">
      <formula1>Quality_Standards</formula1>
    </dataValidation>
    <dataValidation type="list" allowBlank="1" showInputMessage="1" showErrorMessage="1" prompt="Choose a distribution type" errorTitle="RAM3" error="Not a valid distribution type" sqref="C2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3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4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5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7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8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9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9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0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1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25">
      <formula1>"constant,uniform,triangular,normal,lognormal"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9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42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63.421875" style="0" bestFit="1" customWidth="1"/>
    <col min="10" max="11" width="0" style="0" hidden="1" customWidth="1"/>
  </cols>
  <sheetData>
    <row r="1" ht="18">
      <c r="A1" s="9" t="s">
        <v>5</v>
      </c>
    </row>
    <row r="3" spans="4:11" ht="13.5" thickBot="1"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</row>
    <row r="4" spans="1:11" ht="17.25" thickBot="1" thickTop="1">
      <c r="A4" s="14" t="s">
        <v>14</v>
      </c>
      <c r="B4" s="11"/>
      <c r="C4" s="11">
        <v>6</v>
      </c>
      <c r="D4" s="12" t="s">
        <v>387</v>
      </c>
      <c r="E4" s="12" t="s">
        <v>390</v>
      </c>
      <c r="F4" s="12" t="s">
        <v>393</v>
      </c>
      <c r="G4" s="12" t="s">
        <v>396</v>
      </c>
      <c r="H4" s="12" t="s">
        <v>399</v>
      </c>
      <c r="I4" s="12" t="s">
        <v>402</v>
      </c>
      <c r="J4" s="12"/>
      <c r="K4" s="12"/>
    </row>
    <row r="5" ht="13.5" thickTop="1"/>
    <row r="7" ht="15.75">
      <c r="A7" s="15" t="s">
        <v>15</v>
      </c>
    </row>
    <row r="8" spans="2:4" ht="12.75">
      <c r="B8" t="s">
        <v>16</v>
      </c>
      <c r="D8" t="s">
        <v>17</v>
      </c>
    </row>
    <row r="9" spans="1:11" ht="12.75">
      <c r="A9" s="18" t="s">
        <v>19</v>
      </c>
      <c r="B9" s="17" t="s">
        <v>405</v>
      </c>
      <c r="D9" s="17">
        <v>0.5</v>
      </c>
      <c r="E9" s="17">
        <v>0.0001</v>
      </c>
      <c r="F9" s="17">
        <v>250</v>
      </c>
      <c r="G9" s="17">
        <v>10</v>
      </c>
      <c r="H9" s="17">
        <v>0.02</v>
      </c>
      <c r="I9" s="17">
        <v>0.0001</v>
      </c>
      <c r="J9" s="17"/>
      <c r="K9" s="17"/>
    </row>
    <row r="10" spans="1:11" ht="12.75">
      <c r="A10" s="18" t="s">
        <v>20</v>
      </c>
      <c r="B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18" t="s">
        <v>21</v>
      </c>
      <c r="B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18" t="s">
        <v>22</v>
      </c>
      <c r="B12" s="17"/>
      <c r="D12" s="17"/>
      <c r="E12" s="17"/>
      <c r="F12" s="17"/>
      <c r="G12" s="17"/>
      <c r="H12" s="17"/>
      <c r="I12" s="17"/>
      <c r="J12" s="17"/>
      <c r="K12" s="17"/>
    </row>
    <row r="13" ht="12.75">
      <c r="B13" s="16" t="s">
        <v>18</v>
      </c>
    </row>
    <row r="15" ht="15.75">
      <c r="A15" s="15" t="s">
        <v>23</v>
      </c>
    </row>
    <row r="17" spans="1:11" ht="12.75" hidden="1">
      <c r="A17" s="22" t="s">
        <v>24</v>
      </c>
      <c r="B17" s="22" t="s">
        <v>25</v>
      </c>
      <c r="C17" s="28"/>
      <c r="D17" s="25"/>
      <c r="E17" s="25"/>
      <c r="F17" s="25"/>
      <c r="G17" s="25"/>
      <c r="H17" s="25"/>
      <c r="I17" s="25"/>
      <c r="J17" s="25"/>
      <c r="K17" s="25"/>
    </row>
    <row r="18" spans="1:11" ht="12.75" hidden="1">
      <c r="A18" s="20" t="s">
        <v>26</v>
      </c>
      <c r="B18" s="20"/>
      <c r="C18" s="10"/>
      <c r="D18" s="26" t="s">
        <v>30</v>
      </c>
      <c r="E18" s="26" t="s">
        <v>30</v>
      </c>
      <c r="F18" s="26" t="s">
        <v>30</v>
      </c>
      <c r="G18" s="26" t="s">
        <v>30</v>
      </c>
      <c r="H18" s="26" t="s">
        <v>30</v>
      </c>
      <c r="I18" s="26" t="s">
        <v>30</v>
      </c>
      <c r="J18" s="26" t="s">
        <v>30</v>
      </c>
      <c r="K18" s="26" t="s">
        <v>30</v>
      </c>
    </row>
    <row r="19" spans="1:11" ht="12.75" hidden="1">
      <c r="A19" s="20" t="s">
        <v>27</v>
      </c>
      <c r="B19" s="20"/>
      <c r="C19" s="10"/>
      <c r="D19" s="23"/>
      <c r="E19" s="23"/>
      <c r="F19" s="23"/>
      <c r="G19" s="23"/>
      <c r="H19" s="23"/>
      <c r="I19" s="23"/>
      <c r="J19" s="23"/>
      <c r="K19" s="23"/>
    </row>
    <row r="20" spans="1:11" ht="12.75" hidden="1">
      <c r="A20" s="20" t="s">
        <v>28</v>
      </c>
      <c r="B20" s="20"/>
      <c r="C20" s="10"/>
      <c r="D20" s="23"/>
      <c r="E20" s="23"/>
      <c r="F20" s="23"/>
      <c r="G20" s="23"/>
      <c r="H20" s="23"/>
      <c r="I20" s="23"/>
      <c r="J20" s="23"/>
      <c r="K20" s="23"/>
    </row>
    <row r="21" spans="1:11" ht="12.75" hidden="1">
      <c r="A21" s="21" t="s">
        <v>29</v>
      </c>
      <c r="B21" s="21"/>
      <c r="C21" s="27"/>
      <c r="D21" s="24"/>
      <c r="E21" s="24"/>
      <c r="F21" s="24"/>
      <c r="G21" s="24"/>
      <c r="H21" s="24"/>
      <c r="I21" s="24"/>
      <c r="J21" s="24"/>
      <c r="K21" s="24"/>
    </row>
    <row r="22" ht="12.75" hidden="1"/>
    <row r="23" ht="12.75" hidden="1"/>
    <row r="24" spans="1:11" ht="12.75" hidden="1">
      <c r="A24" s="22" t="s">
        <v>31</v>
      </c>
      <c r="B24" s="22" t="s">
        <v>32</v>
      </c>
      <c r="C24" s="28"/>
      <c r="D24" s="25"/>
      <c r="E24" s="25"/>
      <c r="F24" s="25"/>
      <c r="G24" s="25"/>
      <c r="H24" s="25"/>
      <c r="I24" s="25"/>
      <c r="J24" s="25"/>
      <c r="K24" s="25"/>
    </row>
    <row r="25" spans="1:11" ht="12.75" hidden="1">
      <c r="A25" s="20" t="s">
        <v>26</v>
      </c>
      <c r="B25" s="20"/>
      <c r="C25" s="10"/>
      <c r="D25" s="26" t="s">
        <v>30</v>
      </c>
      <c r="E25" s="26" t="s">
        <v>30</v>
      </c>
      <c r="F25" s="26" t="s">
        <v>30</v>
      </c>
      <c r="G25" s="26" t="s">
        <v>30</v>
      </c>
      <c r="H25" s="26" t="s">
        <v>30</v>
      </c>
      <c r="I25" s="26" t="s">
        <v>30</v>
      </c>
      <c r="J25" s="26" t="s">
        <v>30</v>
      </c>
      <c r="K25" s="26" t="s">
        <v>30</v>
      </c>
    </row>
    <row r="26" spans="1:11" ht="12.75" hidden="1">
      <c r="A26" s="20" t="s">
        <v>33</v>
      </c>
      <c r="B26" s="20"/>
      <c r="C26" s="10"/>
      <c r="D26" s="23"/>
      <c r="E26" s="23"/>
      <c r="F26" s="23"/>
      <c r="G26" s="23"/>
      <c r="H26" s="23"/>
      <c r="I26" s="23"/>
      <c r="J26" s="23"/>
      <c r="K26" s="23"/>
    </row>
    <row r="27" spans="1:11" ht="12.75" hidden="1">
      <c r="A27" s="20" t="s">
        <v>34</v>
      </c>
      <c r="B27" s="20"/>
      <c r="C27" s="10"/>
      <c r="D27" s="23"/>
      <c r="E27" s="23"/>
      <c r="F27" s="23"/>
      <c r="G27" s="23"/>
      <c r="H27" s="23"/>
      <c r="I27" s="23"/>
      <c r="J27" s="23"/>
      <c r="K27" s="23"/>
    </row>
    <row r="28" spans="1:11" ht="12.75" hidden="1">
      <c r="A28" s="21" t="s">
        <v>35</v>
      </c>
      <c r="B28" s="21"/>
      <c r="C28" s="27"/>
      <c r="D28" s="24"/>
      <c r="E28" s="24"/>
      <c r="F28" s="24"/>
      <c r="G28" s="24"/>
      <c r="H28" s="24"/>
      <c r="I28" s="24"/>
      <c r="J28" s="24"/>
      <c r="K28" s="24"/>
    </row>
    <row r="29" ht="12.75" hidden="1"/>
    <row r="30" ht="12.75" hidden="1"/>
    <row r="31" spans="1:11" ht="12.75">
      <c r="A31" s="22" t="s">
        <v>36</v>
      </c>
      <c r="B31" s="22" t="s">
        <v>37</v>
      </c>
      <c r="C31" s="28"/>
      <c r="D31" s="25"/>
      <c r="E31" s="25"/>
      <c r="F31" s="25"/>
      <c r="G31" s="25"/>
      <c r="H31" s="25"/>
      <c r="I31" s="25">
        <v>27</v>
      </c>
      <c r="J31" s="25"/>
      <c r="K31" s="25"/>
    </row>
    <row r="32" spans="1:11" ht="12.75" hidden="1">
      <c r="A32" s="20" t="s">
        <v>26</v>
      </c>
      <c r="B32" s="20"/>
      <c r="C32" s="10"/>
      <c r="D32" s="26" t="s">
        <v>30</v>
      </c>
      <c r="E32" s="26" t="s">
        <v>30</v>
      </c>
      <c r="F32" s="26" t="s">
        <v>30</v>
      </c>
      <c r="G32" s="26" t="s">
        <v>30</v>
      </c>
      <c r="H32" s="26" t="s">
        <v>30</v>
      </c>
      <c r="I32" s="26" t="s">
        <v>30</v>
      </c>
      <c r="J32" s="26" t="s">
        <v>30</v>
      </c>
      <c r="K32" s="26" t="s">
        <v>30</v>
      </c>
    </row>
    <row r="33" spans="1:11" ht="12.75" hidden="1">
      <c r="A33" s="20" t="s">
        <v>38</v>
      </c>
      <c r="B33" s="20"/>
      <c r="C33" s="10"/>
      <c r="D33" s="23"/>
      <c r="E33" s="23"/>
      <c r="F33" s="23"/>
      <c r="G33" s="23"/>
      <c r="H33" s="23"/>
      <c r="I33" s="23"/>
      <c r="J33" s="23"/>
      <c r="K33" s="23"/>
    </row>
    <row r="34" spans="1:11" ht="12.75" hidden="1">
      <c r="A34" s="20" t="s">
        <v>39</v>
      </c>
      <c r="B34" s="20"/>
      <c r="C34" s="10"/>
      <c r="D34" s="23"/>
      <c r="E34" s="23"/>
      <c r="F34" s="23"/>
      <c r="G34" s="23"/>
      <c r="H34" s="23"/>
      <c r="I34" s="23"/>
      <c r="J34" s="23"/>
      <c r="K34" s="23"/>
    </row>
    <row r="35" spans="1:11" ht="12.75" hidden="1">
      <c r="A35" s="21" t="s">
        <v>40</v>
      </c>
      <c r="B35" s="21"/>
      <c r="C35" s="27"/>
      <c r="D35" s="24"/>
      <c r="E35" s="24"/>
      <c r="F35" s="24"/>
      <c r="G35" s="24"/>
      <c r="H35" s="24"/>
      <c r="I35" s="24"/>
      <c r="J35" s="24"/>
      <c r="K35" s="24"/>
    </row>
    <row r="36" ht="12.75" hidden="1"/>
    <row r="38" spans="1:11" ht="12.75">
      <c r="A38" s="22" t="s">
        <v>41</v>
      </c>
      <c r="B38" s="22" t="s">
        <v>42</v>
      </c>
      <c r="C38" s="28"/>
      <c r="D38" s="25"/>
      <c r="E38" s="25"/>
      <c r="F38" s="25"/>
      <c r="G38" s="25"/>
      <c r="H38" s="25"/>
      <c r="I38" s="90">
        <v>6.36E-10</v>
      </c>
      <c r="J38" s="25"/>
      <c r="K38" s="25"/>
    </row>
    <row r="39" spans="1:11" ht="12.75" hidden="1">
      <c r="A39" s="20" t="s">
        <v>26</v>
      </c>
      <c r="B39" s="20"/>
      <c r="C39" s="10"/>
      <c r="D39" s="26" t="s">
        <v>30</v>
      </c>
      <c r="E39" s="26" t="s">
        <v>30</v>
      </c>
      <c r="F39" s="26" t="s">
        <v>30</v>
      </c>
      <c r="G39" s="26" t="s">
        <v>30</v>
      </c>
      <c r="H39" s="26" t="s">
        <v>30</v>
      </c>
      <c r="I39" s="26" t="s">
        <v>30</v>
      </c>
      <c r="J39" s="26" t="s">
        <v>30</v>
      </c>
      <c r="K39" s="26" t="s">
        <v>30</v>
      </c>
    </row>
    <row r="40" spans="1:11" ht="12.75" hidden="1">
      <c r="A40" s="20" t="s">
        <v>43</v>
      </c>
      <c r="B40" s="20"/>
      <c r="C40" s="10"/>
      <c r="D40" s="23"/>
      <c r="E40" s="23"/>
      <c r="F40" s="23"/>
      <c r="G40" s="23"/>
      <c r="H40" s="23"/>
      <c r="I40" s="23"/>
      <c r="J40" s="23"/>
      <c r="K40" s="23"/>
    </row>
    <row r="41" spans="1:11" ht="12.75" hidden="1">
      <c r="A41" s="20" t="s">
        <v>44</v>
      </c>
      <c r="B41" s="20"/>
      <c r="C41" s="10"/>
      <c r="D41" s="23"/>
      <c r="E41" s="23"/>
      <c r="F41" s="23"/>
      <c r="G41" s="23"/>
      <c r="H41" s="23"/>
      <c r="I41" s="23"/>
      <c r="J41" s="23"/>
      <c r="K41" s="23"/>
    </row>
    <row r="42" spans="1:11" ht="12.75" hidden="1">
      <c r="A42" s="21" t="s">
        <v>45</v>
      </c>
      <c r="B42" s="21"/>
      <c r="C42" s="27"/>
      <c r="D42" s="24"/>
      <c r="E42" s="24"/>
      <c r="F42" s="24"/>
      <c r="G42" s="24"/>
      <c r="H42" s="24"/>
      <c r="I42" s="24"/>
      <c r="J42" s="24"/>
      <c r="K42" s="24"/>
    </row>
    <row r="43" ht="12.75" hidden="1"/>
  </sheetData>
  <sheetProtection password="DE75" sheet="1" scenarios="1"/>
  <dataValidations count="32">
    <dataValidation type="list" allowBlank="1" showInputMessage="1" showErrorMessage="1" prompt="Choose a distribution type" errorTitle="RAM3" error="Not a valid distribution type" sqref="D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32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39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39">
      <formula1>"constant,uniform,triangular,normal,lognormal"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9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58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Y79" sqref="A1:Y79"/>
    </sheetView>
  </sheetViews>
  <sheetFormatPr defaultColWidth="9.140625" defaultRowHeight="12.75"/>
  <cols>
    <col min="1" max="1" width="44.28125" style="19" bestFit="1" customWidth="1"/>
    <col min="2" max="4" width="9.140625" style="19" customWidth="1"/>
    <col min="5" max="18" width="0" style="19" hidden="1" customWidth="1"/>
    <col min="19" max="16384" width="9.140625" style="19" customWidth="1"/>
  </cols>
  <sheetData>
    <row r="1" ht="18">
      <c r="A1" s="30" t="s">
        <v>124</v>
      </c>
    </row>
    <row r="2" ht="13.5" thickBot="1"/>
    <row r="3" spans="1:18" ht="17.25" thickBot="1" thickTop="1">
      <c r="A3" s="40" t="s">
        <v>125</v>
      </c>
      <c r="B3" s="38"/>
      <c r="C3" s="39" t="s">
        <v>307</v>
      </c>
      <c r="D3" s="39" t="s">
        <v>306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ht="13.5" thickTop="1"/>
    <row r="5" spans="1:18" ht="12.75">
      <c r="A5" s="22" t="s">
        <v>126</v>
      </c>
      <c r="B5" s="22" t="s">
        <v>53</v>
      </c>
      <c r="C5" s="25">
        <v>1</v>
      </c>
      <c r="D5" s="25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.75" hidden="1">
      <c r="A6" s="20" t="s">
        <v>26</v>
      </c>
      <c r="B6" s="20"/>
      <c r="C6" s="26" t="s">
        <v>30</v>
      </c>
      <c r="D6" s="26" t="s">
        <v>30</v>
      </c>
      <c r="E6" s="26" t="s">
        <v>30</v>
      </c>
      <c r="F6" s="26" t="s">
        <v>30</v>
      </c>
      <c r="G6" s="26" t="s">
        <v>30</v>
      </c>
      <c r="H6" s="26" t="s">
        <v>30</v>
      </c>
      <c r="I6" s="26" t="s">
        <v>30</v>
      </c>
      <c r="J6" s="26" t="s">
        <v>30</v>
      </c>
      <c r="K6" s="26" t="s">
        <v>30</v>
      </c>
      <c r="L6" s="26" t="s">
        <v>30</v>
      </c>
      <c r="M6" s="26" t="s">
        <v>30</v>
      </c>
      <c r="N6" s="26" t="s">
        <v>30</v>
      </c>
      <c r="O6" s="26" t="s">
        <v>30</v>
      </c>
      <c r="P6" s="26" t="s">
        <v>30</v>
      </c>
      <c r="Q6" s="26" t="s">
        <v>30</v>
      </c>
      <c r="R6" s="26" t="s">
        <v>30</v>
      </c>
    </row>
    <row r="7" spans="1:18" ht="12.75" hidden="1">
      <c r="A7" s="20" t="s">
        <v>127</v>
      </c>
      <c r="B7" s="2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 hidden="1">
      <c r="A8" s="20" t="s">
        <v>128</v>
      </c>
      <c r="B8" s="2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 hidden="1">
      <c r="A9" s="21" t="s">
        <v>129</v>
      </c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12.75" hidden="1"/>
    <row r="12" spans="1:18" ht="12.75">
      <c r="A12" s="22" t="s">
        <v>130</v>
      </c>
      <c r="B12" s="22" t="s">
        <v>131</v>
      </c>
      <c r="C12" s="25">
        <v>-7</v>
      </c>
      <c r="D12" s="25">
        <v>-3.699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.75" hidden="1">
      <c r="A13" s="20" t="s">
        <v>26</v>
      </c>
      <c r="B13" s="20"/>
      <c r="C13" s="26" t="s">
        <v>30</v>
      </c>
      <c r="D13" s="26" t="s">
        <v>30</v>
      </c>
      <c r="E13" s="26" t="s">
        <v>30</v>
      </c>
      <c r="F13" s="26" t="s">
        <v>30</v>
      </c>
      <c r="G13" s="26" t="s">
        <v>30</v>
      </c>
      <c r="H13" s="26" t="s">
        <v>30</v>
      </c>
      <c r="I13" s="26" t="s">
        <v>30</v>
      </c>
      <c r="J13" s="26" t="s">
        <v>30</v>
      </c>
      <c r="K13" s="26" t="s">
        <v>30</v>
      </c>
      <c r="L13" s="26" t="s">
        <v>30</v>
      </c>
      <c r="M13" s="26" t="s">
        <v>30</v>
      </c>
      <c r="N13" s="26" t="s">
        <v>30</v>
      </c>
      <c r="O13" s="26" t="s">
        <v>30</v>
      </c>
      <c r="P13" s="26" t="s">
        <v>30</v>
      </c>
      <c r="Q13" s="26" t="s">
        <v>30</v>
      </c>
      <c r="R13" s="26" t="s">
        <v>30</v>
      </c>
    </row>
    <row r="14" spans="1:18" ht="12.75" hidden="1">
      <c r="A14" s="20" t="s">
        <v>132</v>
      </c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2.75" hidden="1">
      <c r="A15" s="20" t="s">
        <v>133</v>
      </c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 hidden="1">
      <c r="A16" s="21" t="s">
        <v>134</v>
      </c>
      <c r="B16" s="2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ht="12.75" hidden="1"/>
    <row r="19" spans="1:18" ht="12.75">
      <c r="A19" s="22" t="s">
        <v>135</v>
      </c>
      <c r="B19" s="22" t="s">
        <v>136</v>
      </c>
      <c r="C19" s="37">
        <f aca="true" t="shared" si="0" ref="C19:R19">POWER(10,(Hydrogeology_Log_Hydraulic_Conductivity))</f>
        <v>1E-07</v>
      </c>
      <c r="D19" s="37">
        <f t="shared" si="0"/>
        <v>0.00019998618696327416</v>
      </c>
      <c r="E19" s="37">
        <f t="shared" si="0"/>
        <v>1</v>
      </c>
      <c r="F19" s="37">
        <f t="shared" si="0"/>
        <v>1</v>
      </c>
      <c r="G19" s="37">
        <f t="shared" si="0"/>
        <v>1</v>
      </c>
      <c r="H19" s="37">
        <f t="shared" si="0"/>
        <v>1</v>
      </c>
      <c r="I19" s="37">
        <f t="shared" si="0"/>
        <v>1</v>
      </c>
      <c r="J19" s="37">
        <f t="shared" si="0"/>
        <v>1</v>
      </c>
      <c r="K19" s="37">
        <f t="shared" si="0"/>
        <v>1</v>
      </c>
      <c r="L19" s="37">
        <f t="shared" si="0"/>
        <v>1</v>
      </c>
      <c r="M19" s="37">
        <f t="shared" si="0"/>
        <v>1</v>
      </c>
      <c r="N19" s="37">
        <f t="shared" si="0"/>
        <v>1</v>
      </c>
      <c r="O19" s="37">
        <f t="shared" si="0"/>
        <v>1</v>
      </c>
      <c r="P19" s="37">
        <f t="shared" si="0"/>
        <v>1</v>
      </c>
      <c r="Q19" s="37">
        <f t="shared" si="0"/>
        <v>1</v>
      </c>
      <c r="R19" s="37">
        <f t="shared" si="0"/>
        <v>1</v>
      </c>
    </row>
    <row r="20" spans="1:18" ht="12.75" hidden="1">
      <c r="A20" s="20" t="s">
        <v>26</v>
      </c>
      <c r="B20" s="20"/>
      <c r="C20" s="26" t="s">
        <v>30</v>
      </c>
      <c r="D20" s="26" t="s">
        <v>30</v>
      </c>
      <c r="E20" s="26" t="s">
        <v>30</v>
      </c>
      <c r="F20" s="26" t="s">
        <v>30</v>
      </c>
      <c r="G20" s="26" t="s">
        <v>30</v>
      </c>
      <c r="H20" s="26" t="s">
        <v>30</v>
      </c>
      <c r="I20" s="26" t="s">
        <v>30</v>
      </c>
      <c r="J20" s="26" t="s">
        <v>30</v>
      </c>
      <c r="K20" s="26" t="s">
        <v>30</v>
      </c>
      <c r="L20" s="26" t="s">
        <v>30</v>
      </c>
      <c r="M20" s="26" t="s">
        <v>30</v>
      </c>
      <c r="N20" s="26" t="s">
        <v>30</v>
      </c>
      <c r="O20" s="26" t="s">
        <v>30</v>
      </c>
      <c r="P20" s="26" t="s">
        <v>30</v>
      </c>
      <c r="Q20" s="26" t="s">
        <v>30</v>
      </c>
      <c r="R20" s="26" t="s">
        <v>30</v>
      </c>
    </row>
    <row r="21" spans="1:18" ht="12.75" hidden="1">
      <c r="A21" s="20" t="s">
        <v>137</v>
      </c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2.75" hidden="1">
      <c r="A22" s="20" t="s">
        <v>138</v>
      </c>
      <c r="B22" s="20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2.75" hidden="1">
      <c r="A23" s="21" t="s">
        <v>139</v>
      </c>
      <c r="B23" s="2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ht="12.75" hidden="1"/>
    <row r="26" spans="1:18" ht="12.75" hidden="1">
      <c r="A26" s="22" t="s">
        <v>140</v>
      </c>
      <c r="B26" s="22" t="s">
        <v>53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 hidden="1">
      <c r="A27" s="20" t="s">
        <v>26</v>
      </c>
      <c r="B27" s="20"/>
      <c r="C27" s="26" t="s">
        <v>30</v>
      </c>
      <c r="D27" s="26" t="s">
        <v>30</v>
      </c>
      <c r="E27" s="26" t="s">
        <v>30</v>
      </c>
      <c r="F27" s="26" t="s">
        <v>30</v>
      </c>
      <c r="G27" s="26" t="s">
        <v>30</v>
      </c>
      <c r="H27" s="26" t="s">
        <v>30</v>
      </c>
      <c r="I27" s="26" t="s">
        <v>30</v>
      </c>
      <c r="J27" s="26" t="s">
        <v>30</v>
      </c>
      <c r="K27" s="26" t="s">
        <v>30</v>
      </c>
      <c r="L27" s="26" t="s">
        <v>30</v>
      </c>
      <c r="M27" s="26" t="s">
        <v>30</v>
      </c>
      <c r="N27" s="26" t="s">
        <v>30</v>
      </c>
      <c r="O27" s="26" t="s">
        <v>30</v>
      </c>
      <c r="P27" s="26" t="s">
        <v>30</v>
      </c>
      <c r="Q27" s="26" t="s">
        <v>30</v>
      </c>
      <c r="R27" s="26" t="s">
        <v>30</v>
      </c>
    </row>
    <row r="28" spans="1:18" ht="12.75" hidden="1">
      <c r="A28" s="20" t="s">
        <v>141</v>
      </c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 hidden="1">
      <c r="A29" s="20" t="s">
        <v>142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 hidden="1">
      <c r="A30" s="21" t="s">
        <v>143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ht="12.75" hidden="1"/>
    <row r="32" ht="12.75" hidden="1"/>
    <row r="33" spans="1:18" ht="12.75">
      <c r="A33" s="22" t="s">
        <v>144</v>
      </c>
      <c r="B33" s="22" t="s">
        <v>32</v>
      </c>
      <c r="C33" s="25">
        <v>10</v>
      </c>
      <c r="D33" s="25">
        <v>0.0045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 hidden="1">
      <c r="A34" s="20" t="s">
        <v>26</v>
      </c>
      <c r="B34" s="20"/>
      <c r="C34" s="26" t="s">
        <v>30</v>
      </c>
      <c r="D34" s="26" t="s">
        <v>30</v>
      </c>
      <c r="E34" s="26" t="s">
        <v>30</v>
      </c>
      <c r="F34" s="26" t="s">
        <v>30</v>
      </c>
      <c r="G34" s="26" t="s">
        <v>30</v>
      </c>
      <c r="H34" s="26" t="s">
        <v>30</v>
      </c>
      <c r="I34" s="26" t="s">
        <v>30</v>
      </c>
      <c r="J34" s="26" t="s">
        <v>30</v>
      </c>
      <c r="K34" s="26" t="s">
        <v>30</v>
      </c>
      <c r="L34" s="26" t="s">
        <v>30</v>
      </c>
      <c r="M34" s="26" t="s">
        <v>30</v>
      </c>
      <c r="N34" s="26" t="s">
        <v>30</v>
      </c>
      <c r="O34" s="26" t="s">
        <v>30</v>
      </c>
      <c r="P34" s="26" t="s">
        <v>30</v>
      </c>
      <c r="Q34" s="26" t="s">
        <v>30</v>
      </c>
      <c r="R34" s="26" t="s">
        <v>30</v>
      </c>
    </row>
    <row r="35" spans="1:18" ht="12.75" hidden="1">
      <c r="A35" s="20" t="s">
        <v>145</v>
      </c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 hidden="1">
      <c r="A36" s="20" t="s">
        <v>146</v>
      </c>
      <c r="B36" s="2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 hidden="1">
      <c r="A37" s="21" t="s">
        <v>147</v>
      </c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ht="12.75" hidden="1"/>
    <row r="40" spans="1:18" ht="12.75">
      <c r="A40" s="22" t="s">
        <v>148</v>
      </c>
      <c r="B40" s="22" t="s">
        <v>32</v>
      </c>
      <c r="C40" s="25">
        <v>0.4</v>
      </c>
      <c r="D40" s="25">
        <v>0.42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.75" hidden="1">
      <c r="A41" s="20" t="s">
        <v>26</v>
      </c>
      <c r="B41" s="20"/>
      <c r="C41" s="26" t="s">
        <v>30</v>
      </c>
      <c r="D41" s="26" t="s">
        <v>30</v>
      </c>
      <c r="E41" s="26" t="s">
        <v>30</v>
      </c>
      <c r="F41" s="26" t="s">
        <v>30</v>
      </c>
      <c r="G41" s="26" t="s">
        <v>30</v>
      </c>
      <c r="H41" s="26" t="s">
        <v>30</v>
      </c>
      <c r="I41" s="26" t="s">
        <v>30</v>
      </c>
      <c r="J41" s="26" t="s">
        <v>30</v>
      </c>
      <c r="K41" s="26" t="s">
        <v>30</v>
      </c>
      <c r="L41" s="26" t="s">
        <v>30</v>
      </c>
      <c r="M41" s="26" t="s">
        <v>30</v>
      </c>
      <c r="N41" s="26" t="s">
        <v>30</v>
      </c>
      <c r="O41" s="26" t="s">
        <v>30</v>
      </c>
      <c r="P41" s="26" t="s">
        <v>30</v>
      </c>
      <c r="Q41" s="26" t="s">
        <v>30</v>
      </c>
      <c r="R41" s="26" t="s">
        <v>30</v>
      </c>
    </row>
    <row r="42" spans="1:18" ht="12.75" hidden="1">
      <c r="A42" s="20" t="s">
        <v>149</v>
      </c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 hidden="1">
      <c r="A43" s="20" t="s">
        <v>150</v>
      </c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 hidden="1">
      <c r="A44" s="21" t="s">
        <v>151</v>
      </c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ht="12.75" hidden="1"/>
    <row r="47" spans="1:18" ht="12.75">
      <c r="A47" s="22" t="s">
        <v>152</v>
      </c>
      <c r="B47" s="22" t="s">
        <v>136</v>
      </c>
      <c r="C47" s="37">
        <f aca="true" t="shared" si="1" ref="C47:R47">(Hydrogeology_Hydraulic_Conductivity)*(Hydrogeology_Hydraulic_Gradient)/(Hydrogeology_Porosity)</f>
        <v>2.4999999999999998E-06</v>
      </c>
      <c r="D47" s="37">
        <f t="shared" si="1"/>
        <v>2.14270914603508E-06</v>
      </c>
      <c r="E47" s="37" t="e">
        <f t="shared" si="1"/>
        <v>#DIV/0!</v>
      </c>
      <c r="F47" s="37" t="e">
        <f t="shared" si="1"/>
        <v>#DIV/0!</v>
      </c>
      <c r="G47" s="37" t="e">
        <f t="shared" si="1"/>
        <v>#DIV/0!</v>
      </c>
      <c r="H47" s="37" t="e">
        <f t="shared" si="1"/>
        <v>#DIV/0!</v>
      </c>
      <c r="I47" s="37" t="e">
        <f t="shared" si="1"/>
        <v>#DIV/0!</v>
      </c>
      <c r="J47" s="37" t="e">
        <f t="shared" si="1"/>
        <v>#DIV/0!</v>
      </c>
      <c r="K47" s="37" t="e">
        <f t="shared" si="1"/>
        <v>#DIV/0!</v>
      </c>
      <c r="L47" s="37" t="e">
        <f t="shared" si="1"/>
        <v>#DIV/0!</v>
      </c>
      <c r="M47" s="37" t="e">
        <f t="shared" si="1"/>
        <v>#DIV/0!</v>
      </c>
      <c r="N47" s="37" t="e">
        <f t="shared" si="1"/>
        <v>#DIV/0!</v>
      </c>
      <c r="O47" s="37" t="e">
        <f t="shared" si="1"/>
        <v>#DIV/0!</v>
      </c>
      <c r="P47" s="37" t="e">
        <f t="shared" si="1"/>
        <v>#DIV/0!</v>
      </c>
      <c r="Q47" s="37" t="e">
        <f t="shared" si="1"/>
        <v>#DIV/0!</v>
      </c>
      <c r="R47" s="37" t="e">
        <f t="shared" si="1"/>
        <v>#DIV/0!</v>
      </c>
    </row>
    <row r="48" spans="1:18" ht="12.75" hidden="1">
      <c r="A48" s="20" t="s">
        <v>26</v>
      </c>
      <c r="B48" s="20"/>
      <c r="C48" s="26" t="s">
        <v>30</v>
      </c>
      <c r="D48" s="26" t="s">
        <v>30</v>
      </c>
      <c r="E48" s="26" t="s">
        <v>30</v>
      </c>
      <c r="F48" s="26" t="s">
        <v>30</v>
      </c>
      <c r="G48" s="26" t="s">
        <v>30</v>
      </c>
      <c r="H48" s="26" t="s">
        <v>30</v>
      </c>
      <c r="I48" s="26" t="s">
        <v>30</v>
      </c>
      <c r="J48" s="26" t="s">
        <v>30</v>
      </c>
      <c r="K48" s="26" t="s">
        <v>30</v>
      </c>
      <c r="L48" s="26" t="s">
        <v>30</v>
      </c>
      <c r="M48" s="26" t="s">
        <v>30</v>
      </c>
      <c r="N48" s="26" t="s">
        <v>30</v>
      </c>
      <c r="O48" s="26" t="s">
        <v>30</v>
      </c>
      <c r="P48" s="26" t="s">
        <v>30</v>
      </c>
      <c r="Q48" s="26" t="s">
        <v>30</v>
      </c>
      <c r="R48" s="26" t="s">
        <v>30</v>
      </c>
    </row>
    <row r="49" spans="1:18" ht="12.75" hidden="1">
      <c r="A49" s="20" t="s">
        <v>153</v>
      </c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 hidden="1">
      <c r="A50" s="20" t="s">
        <v>154</v>
      </c>
      <c r="B50" s="2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 hidden="1">
      <c r="A51" s="21" t="s">
        <v>155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ht="12.75" hidden="1"/>
    <row r="54" spans="1:18" ht="12.75">
      <c r="A54" s="22" t="s">
        <v>156</v>
      </c>
      <c r="B54" s="22" t="s">
        <v>32</v>
      </c>
      <c r="C54" s="25">
        <v>10</v>
      </c>
      <c r="D54" s="25">
        <v>10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75" hidden="1">
      <c r="A55" s="20" t="s">
        <v>26</v>
      </c>
      <c r="B55" s="20"/>
      <c r="C55" s="26" t="s">
        <v>30</v>
      </c>
      <c r="D55" s="26" t="s">
        <v>30</v>
      </c>
      <c r="E55" s="26" t="s">
        <v>30</v>
      </c>
      <c r="F55" s="26" t="s">
        <v>30</v>
      </c>
      <c r="G55" s="26" t="s">
        <v>30</v>
      </c>
      <c r="H55" s="26" t="s">
        <v>30</v>
      </c>
      <c r="I55" s="26" t="s">
        <v>30</v>
      </c>
      <c r="J55" s="26" t="s">
        <v>30</v>
      </c>
      <c r="K55" s="26" t="s">
        <v>30</v>
      </c>
      <c r="L55" s="26" t="s">
        <v>30</v>
      </c>
      <c r="M55" s="26" t="s">
        <v>30</v>
      </c>
      <c r="N55" s="26" t="s">
        <v>30</v>
      </c>
      <c r="O55" s="26" t="s">
        <v>30</v>
      </c>
      <c r="P55" s="26" t="s">
        <v>30</v>
      </c>
      <c r="Q55" s="26" t="s">
        <v>30</v>
      </c>
      <c r="R55" s="26" t="s">
        <v>30</v>
      </c>
    </row>
    <row r="56" spans="1:18" ht="12.75" hidden="1">
      <c r="A56" s="20" t="s">
        <v>157</v>
      </c>
      <c r="B56" s="2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 hidden="1">
      <c r="A57" s="20" t="s">
        <v>158</v>
      </c>
      <c r="B57" s="20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 hidden="1">
      <c r="A58" s="21" t="s">
        <v>159</v>
      </c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ht="12.75" hidden="1"/>
  </sheetData>
  <sheetProtection password="DE75" sheet="1" scenarios="1"/>
  <dataValidations count="128">
    <dataValidation type="list" allowBlank="1" showInputMessage="1" showErrorMessage="1" prompt="Choose a distribution type" errorTitle="RAM3" error="Not a valid distribution type" sqref="C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6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3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0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5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55">
      <formula1>"constant,uniform,triangular,normal,lognormal"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261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S264" sqref="A1:S264"/>
    </sheetView>
  </sheetViews>
  <sheetFormatPr defaultColWidth="9.140625" defaultRowHeight="12.75"/>
  <cols>
    <col min="1" max="1" width="49.28125" style="19" bestFit="1" customWidth="1"/>
    <col min="2" max="3" width="9.140625" style="19" customWidth="1"/>
    <col min="4" max="4" width="12.00390625" style="19" bestFit="1" customWidth="1"/>
    <col min="5" max="18" width="0" style="19" hidden="1" customWidth="1"/>
    <col min="19" max="16384" width="9.140625" style="19" customWidth="1"/>
  </cols>
  <sheetData>
    <row r="1" ht="18">
      <c r="A1" s="30" t="s">
        <v>160</v>
      </c>
    </row>
    <row r="2" ht="13.5" thickBot="1"/>
    <row r="3" spans="1:18" ht="17.25" thickBot="1" thickTop="1">
      <c r="A3" s="40" t="s">
        <v>125</v>
      </c>
      <c r="B3" s="38"/>
      <c r="C3" s="39" t="s">
        <v>307</v>
      </c>
      <c r="D3" s="39" t="s">
        <v>306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ht="13.5" thickTop="1"/>
    <row r="5" ht="15.75">
      <c r="A5" s="33" t="s">
        <v>161</v>
      </c>
    </row>
    <row r="7" spans="1:18" ht="12.75">
      <c r="A7" s="22" t="s">
        <v>162</v>
      </c>
      <c r="B7" s="22" t="s">
        <v>78</v>
      </c>
      <c r="C7" s="25">
        <v>2000</v>
      </c>
      <c r="D7" s="25">
        <v>1900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 hidden="1">
      <c r="A8" s="20" t="s">
        <v>26</v>
      </c>
      <c r="B8" s="20"/>
      <c r="C8" s="26" t="s">
        <v>30</v>
      </c>
      <c r="D8" s="26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  <c r="P8" s="26" t="s">
        <v>30</v>
      </c>
      <c r="Q8" s="26" t="s">
        <v>30</v>
      </c>
      <c r="R8" s="26" t="s">
        <v>30</v>
      </c>
    </row>
    <row r="9" spans="1:18" ht="12.75" hidden="1">
      <c r="A9" s="20" t="s">
        <v>163</v>
      </c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 hidden="1">
      <c r="A10" s="20" t="s">
        <v>164</v>
      </c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 hidden="1">
      <c r="A11" s="21" t="s">
        <v>165</v>
      </c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ht="12.75" hidden="1"/>
    <row r="14" spans="1:18" ht="12.75">
      <c r="A14" s="22" t="s">
        <v>166</v>
      </c>
      <c r="B14" s="22" t="s">
        <v>32</v>
      </c>
      <c r="C14" s="25">
        <v>0.05</v>
      </c>
      <c r="D14" s="25">
        <v>0.002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2.75" hidden="1">
      <c r="A15" s="20" t="s">
        <v>26</v>
      </c>
      <c r="B15" s="20"/>
      <c r="C15" s="26" t="s">
        <v>30</v>
      </c>
      <c r="D15" s="26" t="s">
        <v>30</v>
      </c>
      <c r="E15" s="26" t="s">
        <v>30</v>
      </c>
      <c r="F15" s="26" t="s">
        <v>30</v>
      </c>
      <c r="G15" s="26" t="s">
        <v>30</v>
      </c>
      <c r="H15" s="26" t="s">
        <v>30</v>
      </c>
      <c r="I15" s="26" t="s">
        <v>30</v>
      </c>
      <c r="J15" s="26" t="s">
        <v>30</v>
      </c>
      <c r="K15" s="26" t="s">
        <v>30</v>
      </c>
      <c r="L15" s="26" t="s">
        <v>30</v>
      </c>
      <c r="M15" s="26" t="s">
        <v>30</v>
      </c>
      <c r="N15" s="26" t="s">
        <v>30</v>
      </c>
      <c r="O15" s="26" t="s">
        <v>30</v>
      </c>
      <c r="P15" s="26" t="s">
        <v>30</v>
      </c>
      <c r="Q15" s="26" t="s">
        <v>30</v>
      </c>
      <c r="R15" s="26" t="s">
        <v>30</v>
      </c>
    </row>
    <row r="16" spans="1:18" ht="12.75" hidden="1">
      <c r="A16" s="20" t="s">
        <v>167</v>
      </c>
      <c r="B16" s="2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2.75" hidden="1">
      <c r="A17" s="20" t="s">
        <v>168</v>
      </c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2.75" hidden="1">
      <c r="A18" s="21" t="s">
        <v>169</v>
      </c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ht="12.75" hidden="1"/>
    <row r="22" ht="15.75">
      <c r="A22" s="33" t="s">
        <v>170</v>
      </c>
    </row>
    <row r="24" ht="12.75">
      <c r="A24" s="31" t="str">
        <f>IF((Contaminants_Source_determinand_names Contaminants_Species1)=0,"Undefined",(Contaminants_Source_determinand_names Contaminants_Species1))</f>
        <v>Amm N</v>
      </c>
    </row>
    <row r="26" spans="1:18" ht="12.75">
      <c r="A26" s="22" t="s">
        <v>171</v>
      </c>
      <c r="B26" s="22" t="s">
        <v>37</v>
      </c>
      <c r="C26" s="91">
        <v>1.25</v>
      </c>
      <c r="D26" s="91">
        <v>1.25</v>
      </c>
      <c r="E26" s="37">
        <f>(Attenuation_Fraction_organic_carbon)*(Contaminants_Organic_Carbon_Water_Partition_Coefficient_Koc Contaminants_Species1)</f>
        <v>0</v>
      </c>
      <c r="F26" s="37">
        <f>(Attenuation_Fraction_organic_carbon)*(Contaminants_Organic_Carbon_Water_Partition_Coefficient_Koc Contaminants_Species1)</f>
        <v>0</v>
      </c>
      <c r="G26" s="37">
        <f>(Attenuation_Fraction_organic_carbon)*(Contaminants_Organic_Carbon_Water_Partition_Coefficient_Koc Contaminants_Species1)</f>
        <v>0</v>
      </c>
      <c r="H26" s="37">
        <f>(Attenuation_Fraction_organic_carbon)*(Contaminants_Organic_Carbon_Water_Partition_Coefficient_Koc Contaminants_Species1)</f>
        <v>0</v>
      </c>
      <c r="I26" s="37">
        <f>(Attenuation_Fraction_organic_carbon)*(Contaminants_Organic_Carbon_Water_Partition_Coefficient_Koc Contaminants_Species1)</f>
        <v>0</v>
      </c>
      <c r="J26" s="37">
        <f>(Attenuation_Fraction_organic_carbon)*(Contaminants_Organic_Carbon_Water_Partition_Coefficient_Koc Contaminants_Species1)</f>
        <v>0</v>
      </c>
      <c r="K26" s="37">
        <f>(Attenuation_Fraction_organic_carbon)*(Contaminants_Organic_Carbon_Water_Partition_Coefficient_Koc Contaminants_Species1)</f>
        <v>0</v>
      </c>
      <c r="L26" s="37">
        <f>(Attenuation_Fraction_organic_carbon)*(Contaminants_Organic_Carbon_Water_Partition_Coefficient_Koc Contaminants_Species1)</f>
        <v>0</v>
      </c>
      <c r="M26" s="37">
        <f>(Attenuation_Fraction_organic_carbon)*(Contaminants_Organic_Carbon_Water_Partition_Coefficient_Koc Contaminants_Species1)</f>
        <v>0</v>
      </c>
      <c r="N26" s="37">
        <f>(Attenuation_Fraction_organic_carbon)*(Contaminants_Organic_Carbon_Water_Partition_Coefficient_Koc Contaminants_Species1)</f>
        <v>0</v>
      </c>
      <c r="O26" s="37">
        <f>(Attenuation_Fraction_organic_carbon)*(Contaminants_Organic_Carbon_Water_Partition_Coefficient_Koc Contaminants_Species1)</f>
        <v>0</v>
      </c>
      <c r="P26" s="37">
        <f>(Attenuation_Fraction_organic_carbon)*(Contaminants_Organic_Carbon_Water_Partition_Coefficient_Koc Contaminants_Species1)</f>
        <v>0</v>
      </c>
      <c r="Q26" s="37">
        <f>(Attenuation_Fraction_organic_carbon)*(Contaminants_Organic_Carbon_Water_Partition_Coefficient_Koc Contaminants_Species1)</f>
        <v>0</v>
      </c>
      <c r="R26" s="37">
        <f>(Attenuation_Fraction_organic_carbon)*(Contaminants_Organic_Carbon_Water_Partition_Coefficient_Koc Contaminants_Species1)</f>
        <v>0</v>
      </c>
    </row>
    <row r="27" spans="1:18" ht="12.75" hidden="1">
      <c r="A27" s="20" t="s">
        <v>26</v>
      </c>
      <c r="B27" s="20"/>
      <c r="C27" s="26" t="s">
        <v>30</v>
      </c>
      <c r="D27" s="26" t="s">
        <v>30</v>
      </c>
      <c r="E27" s="26" t="s">
        <v>30</v>
      </c>
      <c r="F27" s="26" t="s">
        <v>30</v>
      </c>
      <c r="G27" s="26" t="s">
        <v>30</v>
      </c>
      <c r="H27" s="26" t="s">
        <v>30</v>
      </c>
      <c r="I27" s="26" t="s">
        <v>30</v>
      </c>
      <c r="J27" s="26" t="s">
        <v>30</v>
      </c>
      <c r="K27" s="26" t="s">
        <v>30</v>
      </c>
      <c r="L27" s="26" t="s">
        <v>30</v>
      </c>
      <c r="M27" s="26" t="s">
        <v>30</v>
      </c>
      <c r="N27" s="26" t="s">
        <v>30</v>
      </c>
      <c r="O27" s="26" t="s">
        <v>30</v>
      </c>
      <c r="P27" s="26" t="s">
        <v>30</v>
      </c>
      <c r="Q27" s="26" t="s">
        <v>30</v>
      </c>
      <c r="R27" s="26" t="s">
        <v>30</v>
      </c>
    </row>
    <row r="28" spans="1:18" ht="12.75" hidden="1">
      <c r="A28" s="20" t="s">
        <v>172</v>
      </c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 hidden="1">
      <c r="A29" s="20" t="s">
        <v>173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 hidden="1">
      <c r="A30" s="21" t="s">
        <v>174</v>
      </c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ht="12.75" hidden="1"/>
    <row r="33" spans="1:18" ht="12.75">
      <c r="A33" s="22" t="s">
        <v>175</v>
      </c>
      <c r="B33" s="22" t="s">
        <v>32</v>
      </c>
      <c r="C33" s="37">
        <f>1+0.001*(Attenuation_Partition_Coefficient_Kd_Species_1)*(Attenuation_Dry_bulk_density)/(Hydrogeology_Porosity Hydrogeology!$C:$C)</f>
        <v>7.25</v>
      </c>
      <c r="D33" s="37">
        <f>1+0.001*(Attenuation_Partition_Coefficient_Kd_Species_1)*(Attenuation_Dry_bulk_density)/(Hydrogeology_Porosity Hydrogeology!$D:$D)</f>
        <v>6.654761904761905</v>
      </c>
      <c r="E33" s="37" t="e">
        <f>1+0.001*(Attenuation_Partition_Coefficient_Kd_Species_1)*(Attenuation_Dry_bulk_density)/(Hydrogeology_Porosity Hydrogeology!$E:$E)</f>
        <v>#DIV/0!</v>
      </c>
      <c r="F33" s="37" t="e">
        <f>1+0.001*(Attenuation_Partition_Coefficient_Kd_Species_1)*(Attenuation_Dry_bulk_density)/(Hydrogeology_Porosity Hydrogeology!$F:$F)</f>
        <v>#DIV/0!</v>
      </c>
      <c r="G33" s="37" t="e">
        <f>1+0.001*(Attenuation_Partition_Coefficient_Kd_Species_1)*(Attenuation_Dry_bulk_density)/(Hydrogeology_Porosity Hydrogeology!$G:$G)</f>
        <v>#DIV/0!</v>
      </c>
      <c r="H33" s="37" t="e">
        <f>1+0.001*(Attenuation_Partition_Coefficient_Kd_Species_1)*(Attenuation_Dry_bulk_density)/(Hydrogeology_Porosity Hydrogeology!$H:$H)</f>
        <v>#DIV/0!</v>
      </c>
      <c r="I33" s="37" t="e">
        <f>1+0.001*(Attenuation_Partition_Coefficient_Kd_Species_1)*(Attenuation_Dry_bulk_density)/(Hydrogeology_Porosity Hydrogeology!$I:$I)</f>
        <v>#DIV/0!</v>
      </c>
      <c r="J33" s="37" t="e">
        <f>1+0.001*(Attenuation_Partition_Coefficient_Kd_Species_1)*(Attenuation_Dry_bulk_density)/(Hydrogeology_Porosity Hydrogeology!$J:$J)</f>
        <v>#DIV/0!</v>
      </c>
      <c r="K33" s="37" t="e">
        <f>1+0.001*(Attenuation_Partition_Coefficient_Kd_Species_1)*(Attenuation_Dry_bulk_density)/(Hydrogeology_Porosity Hydrogeology!$K:$K)</f>
        <v>#DIV/0!</v>
      </c>
      <c r="L33" s="37" t="e">
        <f>1+0.001*(Attenuation_Partition_Coefficient_Kd_Species_1)*(Attenuation_Dry_bulk_density)/(Hydrogeology_Porosity Hydrogeology!$L:$L)</f>
        <v>#DIV/0!</v>
      </c>
      <c r="M33" s="37" t="e">
        <f>1+0.001*(Attenuation_Partition_Coefficient_Kd_Species_1)*(Attenuation_Dry_bulk_density)/(Hydrogeology_Porosity Hydrogeology!$M:$M)</f>
        <v>#DIV/0!</v>
      </c>
      <c r="N33" s="37" t="e">
        <f>1+0.001*(Attenuation_Partition_Coefficient_Kd_Species_1)*(Attenuation_Dry_bulk_density)/(Hydrogeology_Porosity Hydrogeology!$N:$N)</f>
        <v>#DIV/0!</v>
      </c>
      <c r="O33" s="37" t="e">
        <f>1+0.001*(Attenuation_Partition_Coefficient_Kd_Species_1)*(Attenuation_Dry_bulk_density)/(Hydrogeology_Porosity Hydrogeology!$O:$O)</f>
        <v>#DIV/0!</v>
      </c>
      <c r="P33" s="37" t="e">
        <f>1+0.001*(Attenuation_Partition_Coefficient_Kd_Species_1)*(Attenuation_Dry_bulk_density)/(Hydrogeology_Porosity Hydrogeology!$P:$P)</f>
        <v>#DIV/0!</v>
      </c>
      <c r="Q33" s="37" t="e">
        <f>1+0.001*(Attenuation_Partition_Coefficient_Kd_Species_1)*(Attenuation_Dry_bulk_density)/(Hydrogeology_Porosity Hydrogeology!$Q:$Q)</f>
        <v>#DIV/0!</v>
      </c>
      <c r="R33" s="37" t="e">
        <f>1+0.001*(Attenuation_Partition_Coefficient_Kd_Species_1)*(Attenuation_Dry_bulk_density)/(Hydrogeology_Porosity Hydrogeology!$R:$R)</f>
        <v>#DIV/0!</v>
      </c>
    </row>
    <row r="34" spans="1:18" ht="12.75" hidden="1">
      <c r="A34" s="20" t="s">
        <v>26</v>
      </c>
      <c r="B34" s="20"/>
      <c r="C34" s="26" t="s">
        <v>30</v>
      </c>
      <c r="D34" s="26" t="s">
        <v>30</v>
      </c>
      <c r="E34" s="26" t="s">
        <v>30</v>
      </c>
      <c r="F34" s="26" t="s">
        <v>30</v>
      </c>
      <c r="G34" s="26" t="s">
        <v>30</v>
      </c>
      <c r="H34" s="26" t="s">
        <v>30</v>
      </c>
      <c r="I34" s="26" t="s">
        <v>30</v>
      </c>
      <c r="J34" s="26" t="s">
        <v>30</v>
      </c>
      <c r="K34" s="26" t="s">
        <v>30</v>
      </c>
      <c r="L34" s="26" t="s">
        <v>30</v>
      </c>
      <c r="M34" s="26" t="s">
        <v>30</v>
      </c>
      <c r="N34" s="26" t="s">
        <v>30</v>
      </c>
      <c r="O34" s="26" t="s">
        <v>30</v>
      </c>
      <c r="P34" s="26" t="s">
        <v>30</v>
      </c>
      <c r="Q34" s="26" t="s">
        <v>30</v>
      </c>
      <c r="R34" s="26" t="s">
        <v>30</v>
      </c>
    </row>
    <row r="35" spans="1:18" ht="12.75" hidden="1">
      <c r="A35" s="20" t="s">
        <v>176</v>
      </c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 hidden="1">
      <c r="A36" s="20" t="s">
        <v>177</v>
      </c>
      <c r="B36" s="2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 hidden="1">
      <c r="A37" s="21" t="s">
        <v>178</v>
      </c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ht="12.75" hidden="1"/>
    <row r="40" spans="1:18" ht="12.75">
      <c r="A40" s="22" t="s">
        <v>179</v>
      </c>
      <c r="B40" s="22" t="s">
        <v>180</v>
      </c>
      <c r="C40" s="25" t="s">
        <v>184</v>
      </c>
      <c r="D40" s="25">
        <v>1300</v>
      </c>
      <c r="E40" s="25" t="s">
        <v>184</v>
      </c>
      <c r="F40" s="25" t="s">
        <v>184</v>
      </c>
      <c r="G40" s="25" t="s">
        <v>184</v>
      </c>
      <c r="H40" s="25" t="s">
        <v>184</v>
      </c>
      <c r="I40" s="25" t="s">
        <v>184</v>
      </c>
      <c r="J40" s="25" t="s">
        <v>184</v>
      </c>
      <c r="K40" s="25" t="s">
        <v>184</v>
      </c>
      <c r="L40" s="25" t="s">
        <v>184</v>
      </c>
      <c r="M40" s="25" t="s">
        <v>184</v>
      </c>
      <c r="N40" s="25" t="s">
        <v>184</v>
      </c>
      <c r="O40" s="25" t="s">
        <v>184</v>
      </c>
      <c r="P40" s="25" t="s">
        <v>184</v>
      </c>
      <c r="Q40" s="25" t="s">
        <v>184</v>
      </c>
      <c r="R40" s="25" t="s">
        <v>184</v>
      </c>
    </row>
    <row r="41" spans="1:18" ht="12.75" hidden="1">
      <c r="A41" s="20" t="s">
        <v>26</v>
      </c>
      <c r="B41" s="20"/>
      <c r="C41" s="26" t="s">
        <v>30</v>
      </c>
      <c r="D41" s="26" t="s">
        <v>30</v>
      </c>
      <c r="E41" s="26" t="s">
        <v>30</v>
      </c>
      <c r="F41" s="26" t="s">
        <v>30</v>
      </c>
      <c r="G41" s="26" t="s">
        <v>30</v>
      </c>
      <c r="H41" s="26" t="s">
        <v>30</v>
      </c>
      <c r="I41" s="26" t="s">
        <v>30</v>
      </c>
      <c r="J41" s="26" t="s">
        <v>30</v>
      </c>
      <c r="K41" s="26" t="s">
        <v>30</v>
      </c>
      <c r="L41" s="26" t="s">
        <v>30</v>
      </c>
      <c r="M41" s="26" t="s">
        <v>30</v>
      </c>
      <c r="N41" s="26" t="s">
        <v>30</v>
      </c>
      <c r="O41" s="26" t="s">
        <v>30</v>
      </c>
      <c r="P41" s="26" t="s">
        <v>30</v>
      </c>
      <c r="Q41" s="26" t="s">
        <v>30</v>
      </c>
      <c r="R41" s="26" t="s">
        <v>30</v>
      </c>
    </row>
    <row r="42" spans="1:18" ht="12.75" hidden="1">
      <c r="A42" s="20" t="s">
        <v>181</v>
      </c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 hidden="1">
      <c r="A43" s="20" t="s">
        <v>182</v>
      </c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 hidden="1">
      <c r="A44" s="21" t="s">
        <v>183</v>
      </c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ht="12.75" hidden="1"/>
    <row r="47" spans="1:18" ht="12.75">
      <c r="A47" s="22" t="s">
        <v>185</v>
      </c>
      <c r="B47" s="22" t="s">
        <v>186</v>
      </c>
      <c r="C47" s="37">
        <f aca="true" t="shared" si="0" ref="C47:R47">IF((Attenuation_Half_Life_Species_1)&lt;&gt;"No Decay",LN(2)/((Attenuation_Half_Life_Species_1)*s_per_day),0)</f>
        <v>0</v>
      </c>
      <c r="D47" s="37">
        <f t="shared" si="0"/>
        <v>6.171182163104926E-09</v>
      </c>
      <c r="E47" s="37">
        <f t="shared" si="0"/>
        <v>0</v>
      </c>
      <c r="F47" s="37">
        <f t="shared" si="0"/>
        <v>0</v>
      </c>
      <c r="G47" s="37">
        <f t="shared" si="0"/>
        <v>0</v>
      </c>
      <c r="H47" s="37">
        <f t="shared" si="0"/>
        <v>0</v>
      </c>
      <c r="I47" s="37">
        <f t="shared" si="0"/>
        <v>0</v>
      </c>
      <c r="J47" s="37">
        <f t="shared" si="0"/>
        <v>0</v>
      </c>
      <c r="K47" s="37">
        <f t="shared" si="0"/>
        <v>0</v>
      </c>
      <c r="L47" s="37">
        <f t="shared" si="0"/>
        <v>0</v>
      </c>
      <c r="M47" s="37">
        <f t="shared" si="0"/>
        <v>0</v>
      </c>
      <c r="N47" s="37">
        <f t="shared" si="0"/>
        <v>0</v>
      </c>
      <c r="O47" s="37">
        <f t="shared" si="0"/>
        <v>0</v>
      </c>
      <c r="P47" s="37">
        <f t="shared" si="0"/>
        <v>0</v>
      </c>
      <c r="Q47" s="37">
        <f t="shared" si="0"/>
        <v>0</v>
      </c>
      <c r="R47" s="37">
        <f t="shared" si="0"/>
        <v>0</v>
      </c>
    </row>
    <row r="48" spans="1:18" ht="12.75" hidden="1">
      <c r="A48" s="20" t="s">
        <v>26</v>
      </c>
      <c r="B48" s="20"/>
      <c r="C48" s="26" t="s">
        <v>30</v>
      </c>
      <c r="D48" s="26" t="s">
        <v>30</v>
      </c>
      <c r="E48" s="26" t="s">
        <v>30</v>
      </c>
      <c r="F48" s="26" t="s">
        <v>30</v>
      </c>
      <c r="G48" s="26" t="s">
        <v>30</v>
      </c>
      <c r="H48" s="26" t="s">
        <v>30</v>
      </c>
      <c r="I48" s="26" t="s">
        <v>30</v>
      </c>
      <c r="J48" s="26" t="s">
        <v>30</v>
      </c>
      <c r="K48" s="26" t="s">
        <v>30</v>
      </c>
      <c r="L48" s="26" t="s">
        <v>30</v>
      </c>
      <c r="M48" s="26" t="s">
        <v>30</v>
      </c>
      <c r="N48" s="26" t="s">
        <v>30</v>
      </c>
      <c r="O48" s="26" t="s">
        <v>30</v>
      </c>
      <c r="P48" s="26" t="s">
        <v>30</v>
      </c>
      <c r="Q48" s="26" t="s">
        <v>30</v>
      </c>
      <c r="R48" s="26" t="s">
        <v>30</v>
      </c>
    </row>
    <row r="49" spans="1:18" ht="12.75" hidden="1">
      <c r="A49" s="20" t="s">
        <v>187</v>
      </c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 hidden="1">
      <c r="A50" s="20" t="s">
        <v>188</v>
      </c>
      <c r="B50" s="2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 hidden="1">
      <c r="A51" s="21" t="s">
        <v>189</v>
      </c>
      <c r="B51" s="2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ht="12.75" hidden="1"/>
    <row r="54" ht="12.75">
      <c r="A54" s="31" t="str">
        <f>IF((Contaminants_Source_determinand_names Contaminants_Species2)=0,"Undefined",(Contaminants_Source_determinand_names Contaminants_Species2))</f>
        <v>Cadmium</v>
      </c>
    </row>
    <row r="56" spans="1:18" ht="12.75">
      <c r="A56" s="22" t="s">
        <v>190</v>
      </c>
      <c r="B56" s="22" t="s">
        <v>37</v>
      </c>
      <c r="C56" s="91">
        <v>188.3</v>
      </c>
      <c r="D56" s="91">
        <v>188.3</v>
      </c>
      <c r="E56" s="37">
        <f>(Attenuation_Fraction_organic_carbon)*(Contaminants_Organic_Carbon_Water_Partition_Coefficient_Koc Contaminants_Species2)</f>
        <v>0</v>
      </c>
      <c r="F56" s="37">
        <f>(Attenuation_Fraction_organic_carbon)*(Contaminants_Organic_Carbon_Water_Partition_Coefficient_Koc Contaminants_Species2)</f>
        <v>0</v>
      </c>
      <c r="G56" s="37">
        <f>(Attenuation_Fraction_organic_carbon)*(Contaminants_Organic_Carbon_Water_Partition_Coefficient_Koc Contaminants_Species2)</f>
        <v>0</v>
      </c>
      <c r="H56" s="37">
        <f>(Attenuation_Fraction_organic_carbon)*(Contaminants_Organic_Carbon_Water_Partition_Coefficient_Koc Contaminants_Species2)</f>
        <v>0</v>
      </c>
      <c r="I56" s="37">
        <f>(Attenuation_Fraction_organic_carbon)*(Contaminants_Organic_Carbon_Water_Partition_Coefficient_Koc Contaminants_Species2)</f>
        <v>0</v>
      </c>
      <c r="J56" s="37">
        <f>(Attenuation_Fraction_organic_carbon)*(Contaminants_Organic_Carbon_Water_Partition_Coefficient_Koc Contaminants_Species2)</f>
        <v>0</v>
      </c>
      <c r="K56" s="37">
        <f>(Attenuation_Fraction_organic_carbon)*(Contaminants_Organic_Carbon_Water_Partition_Coefficient_Koc Contaminants_Species2)</f>
        <v>0</v>
      </c>
      <c r="L56" s="37">
        <f>(Attenuation_Fraction_organic_carbon)*(Contaminants_Organic_Carbon_Water_Partition_Coefficient_Koc Contaminants_Species2)</f>
        <v>0</v>
      </c>
      <c r="M56" s="37">
        <f>(Attenuation_Fraction_organic_carbon)*(Contaminants_Organic_Carbon_Water_Partition_Coefficient_Koc Contaminants_Species2)</f>
        <v>0</v>
      </c>
      <c r="N56" s="37">
        <f>(Attenuation_Fraction_organic_carbon)*(Contaminants_Organic_Carbon_Water_Partition_Coefficient_Koc Contaminants_Species2)</f>
        <v>0</v>
      </c>
      <c r="O56" s="37">
        <f>(Attenuation_Fraction_organic_carbon)*(Contaminants_Organic_Carbon_Water_Partition_Coefficient_Koc Contaminants_Species2)</f>
        <v>0</v>
      </c>
      <c r="P56" s="37">
        <f>(Attenuation_Fraction_organic_carbon)*(Contaminants_Organic_Carbon_Water_Partition_Coefficient_Koc Contaminants_Species2)</f>
        <v>0</v>
      </c>
      <c r="Q56" s="37">
        <f>(Attenuation_Fraction_organic_carbon)*(Contaminants_Organic_Carbon_Water_Partition_Coefficient_Koc Contaminants_Species2)</f>
        <v>0</v>
      </c>
      <c r="R56" s="37">
        <f>(Attenuation_Fraction_organic_carbon)*(Contaminants_Organic_Carbon_Water_Partition_Coefficient_Koc Contaminants_Species2)</f>
        <v>0</v>
      </c>
    </row>
    <row r="57" spans="1:18" ht="12.75" hidden="1">
      <c r="A57" s="20" t="s">
        <v>26</v>
      </c>
      <c r="B57" s="20"/>
      <c r="C57" s="26" t="s">
        <v>30</v>
      </c>
      <c r="D57" s="26" t="s">
        <v>30</v>
      </c>
      <c r="E57" s="26" t="s">
        <v>30</v>
      </c>
      <c r="F57" s="26" t="s">
        <v>30</v>
      </c>
      <c r="G57" s="26" t="s">
        <v>30</v>
      </c>
      <c r="H57" s="26" t="s">
        <v>30</v>
      </c>
      <c r="I57" s="26" t="s">
        <v>30</v>
      </c>
      <c r="J57" s="26" t="s">
        <v>30</v>
      </c>
      <c r="K57" s="26" t="s">
        <v>30</v>
      </c>
      <c r="L57" s="26" t="s">
        <v>30</v>
      </c>
      <c r="M57" s="26" t="s">
        <v>30</v>
      </c>
      <c r="N57" s="26" t="s">
        <v>30</v>
      </c>
      <c r="O57" s="26" t="s">
        <v>30</v>
      </c>
      <c r="P57" s="26" t="s">
        <v>30</v>
      </c>
      <c r="Q57" s="26" t="s">
        <v>30</v>
      </c>
      <c r="R57" s="26" t="s">
        <v>30</v>
      </c>
    </row>
    <row r="58" spans="1:18" ht="12.75" hidden="1">
      <c r="A58" s="20" t="s">
        <v>191</v>
      </c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75" hidden="1">
      <c r="A59" s="20" t="s">
        <v>192</v>
      </c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 hidden="1">
      <c r="A60" s="21" t="s">
        <v>193</v>
      </c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ht="12.75" hidden="1"/>
    <row r="63" spans="1:18" ht="12.75">
      <c r="A63" s="22" t="s">
        <v>194</v>
      </c>
      <c r="B63" s="22" t="s">
        <v>32</v>
      </c>
      <c r="C63" s="37">
        <f>1+0.001*(Attenuation_Partition_Coefficient_Kd_Species_2)*(Attenuation_Dry_bulk_density)/(Hydrogeology_Porosity Hydrogeology!$C:$C)</f>
        <v>942.5</v>
      </c>
      <c r="D63" s="37">
        <f>1+0.001*(Attenuation_Partition_Coefficient_Kd_Species_2)*(Attenuation_Dry_bulk_density)/(Hydrogeology_Porosity Hydrogeology!$D:$D)</f>
        <v>852.8333333333335</v>
      </c>
      <c r="E63" s="37" t="e">
        <f>1+0.001*(Attenuation_Partition_Coefficient_Kd_Species_2)*(Attenuation_Dry_bulk_density)/(Hydrogeology_Porosity Hydrogeology!$E:$E)</f>
        <v>#DIV/0!</v>
      </c>
      <c r="F63" s="37" t="e">
        <f>1+0.001*(Attenuation_Partition_Coefficient_Kd_Species_2)*(Attenuation_Dry_bulk_density)/(Hydrogeology_Porosity Hydrogeology!$F:$F)</f>
        <v>#DIV/0!</v>
      </c>
      <c r="G63" s="37" t="e">
        <f>1+0.001*(Attenuation_Partition_Coefficient_Kd_Species_2)*(Attenuation_Dry_bulk_density)/(Hydrogeology_Porosity Hydrogeology!$G:$G)</f>
        <v>#DIV/0!</v>
      </c>
      <c r="H63" s="37" t="e">
        <f>1+0.001*(Attenuation_Partition_Coefficient_Kd_Species_2)*(Attenuation_Dry_bulk_density)/(Hydrogeology_Porosity Hydrogeology!$H:$H)</f>
        <v>#DIV/0!</v>
      </c>
      <c r="I63" s="37" t="e">
        <f>1+0.001*(Attenuation_Partition_Coefficient_Kd_Species_2)*(Attenuation_Dry_bulk_density)/(Hydrogeology_Porosity Hydrogeology!$I:$I)</f>
        <v>#DIV/0!</v>
      </c>
      <c r="J63" s="37" t="e">
        <f>1+0.001*(Attenuation_Partition_Coefficient_Kd_Species_2)*(Attenuation_Dry_bulk_density)/(Hydrogeology_Porosity Hydrogeology!$J:$J)</f>
        <v>#DIV/0!</v>
      </c>
      <c r="K63" s="37" t="e">
        <f>1+0.001*(Attenuation_Partition_Coefficient_Kd_Species_2)*(Attenuation_Dry_bulk_density)/(Hydrogeology_Porosity Hydrogeology!$K:$K)</f>
        <v>#DIV/0!</v>
      </c>
      <c r="L63" s="37" t="e">
        <f>1+0.001*(Attenuation_Partition_Coefficient_Kd_Species_2)*(Attenuation_Dry_bulk_density)/(Hydrogeology_Porosity Hydrogeology!$L:$L)</f>
        <v>#DIV/0!</v>
      </c>
      <c r="M63" s="37" t="e">
        <f>1+0.001*(Attenuation_Partition_Coefficient_Kd_Species_2)*(Attenuation_Dry_bulk_density)/(Hydrogeology_Porosity Hydrogeology!$M:$M)</f>
        <v>#DIV/0!</v>
      </c>
      <c r="N63" s="37" t="e">
        <f>1+0.001*(Attenuation_Partition_Coefficient_Kd_Species_2)*(Attenuation_Dry_bulk_density)/(Hydrogeology_Porosity Hydrogeology!$N:$N)</f>
        <v>#DIV/0!</v>
      </c>
      <c r="O63" s="37" t="e">
        <f>1+0.001*(Attenuation_Partition_Coefficient_Kd_Species_2)*(Attenuation_Dry_bulk_density)/(Hydrogeology_Porosity Hydrogeology!$O:$O)</f>
        <v>#DIV/0!</v>
      </c>
      <c r="P63" s="37" t="e">
        <f>1+0.001*(Attenuation_Partition_Coefficient_Kd_Species_2)*(Attenuation_Dry_bulk_density)/(Hydrogeology_Porosity Hydrogeology!$P:$P)</f>
        <v>#DIV/0!</v>
      </c>
      <c r="Q63" s="37" t="e">
        <f>1+0.001*(Attenuation_Partition_Coefficient_Kd_Species_2)*(Attenuation_Dry_bulk_density)/(Hydrogeology_Porosity Hydrogeology!$Q:$Q)</f>
        <v>#DIV/0!</v>
      </c>
      <c r="R63" s="37" t="e">
        <f>1+0.001*(Attenuation_Partition_Coefficient_Kd_Species_2)*(Attenuation_Dry_bulk_density)/(Hydrogeology_Porosity Hydrogeology!$R:$R)</f>
        <v>#DIV/0!</v>
      </c>
    </row>
    <row r="64" spans="1:18" ht="12.75" hidden="1">
      <c r="A64" s="20" t="s">
        <v>26</v>
      </c>
      <c r="B64" s="20"/>
      <c r="C64" s="26" t="s">
        <v>30</v>
      </c>
      <c r="D64" s="26" t="s">
        <v>30</v>
      </c>
      <c r="E64" s="26" t="s">
        <v>30</v>
      </c>
      <c r="F64" s="26" t="s">
        <v>30</v>
      </c>
      <c r="G64" s="26" t="s">
        <v>30</v>
      </c>
      <c r="H64" s="26" t="s">
        <v>30</v>
      </c>
      <c r="I64" s="26" t="s">
        <v>30</v>
      </c>
      <c r="J64" s="26" t="s">
        <v>30</v>
      </c>
      <c r="K64" s="26" t="s">
        <v>30</v>
      </c>
      <c r="L64" s="26" t="s">
        <v>30</v>
      </c>
      <c r="M64" s="26" t="s">
        <v>30</v>
      </c>
      <c r="N64" s="26" t="s">
        <v>30</v>
      </c>
      <c r="O64" s="26" t="s">
        <v>30</v>
      </c>
      <c r="P64" s="26" t="s">
        <v>30</v>
      </c>
      <c r="Q64" s="26" t="s">
        <v>30</v>
      </c>
      <c r="R64" s="26" t="s">
        <v>30</v>
      </c>
    </row>
    <row r="65" spans="1:18" ht="12.75" hidden="1">
      <c r="A65" s="20" t="s">
        <v>195</v>
      </c>
      <c r="B65" s="2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75" hidden="1">
      <c r="A66" s="20" t="s">
        <v>196</v>
      </c>
      <c r="B66" s="20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75" hidden="1">
      <c r="A67" s="21" t="s">
        <v>197</v>
      </c>
      <c r="B67" s="2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ht="12.75" hidden="1"/>
    <row r="70" spans="1:18" ht="12.75">
      <c r="A70" s="22" t="s">
        <v>198</v>
      </c>
      <c r="B70" s="22" t="s">
        <v>180</v>
      </c>
      <c r="C70" s="25" t="s">
        <v>184</v>
      </c>
      <c r="D70" s="25" t="s">
        <v>184</v>
      </c>
      <c r="E70" s="25" t="s">
        <v>184</v>
      </c>
      <c r="F70" s="25" t="s">
        <v>184</v>
      </c>
      <c r="G70" s="25" t="s">
        <v>184</v>
      </c>
      <c r="H70" s="25" t="s">
        <v>184</v>
      </c>
      <c r="I70" s="25" t="s">
        <v>184</v>
      </c>
      <c r="J70" s="25" t="s">
        <v>184</v>
      </c>
      <c r="K70" s="25" t="s">
        <v>184</v>
      </c>
      <c r="L70" s="25" t="s">
        <v>184</v>
      </c>
      <c r="M70" s="25" t="s">
        <v>184</v>
      </c>
      <c r="N70" s="25" t="s">
        <v>184</v>
      </c>
      <c r="O70" s="25" t="s">
        <v>184</v>
      </c>
      <c r="P70" s="25" t="s">
        <v>184</v>
      </c>
      <c r="Q70" s="25" t="s">
        <v>184</v>
      </c>
      <c r="R70" s="25" t="s">
        <v>184</v>
      </c>
    </row>
    <row r="71" spans="1:18" ht="12.75" hidden="1">
      <c r="A71" s="20" t="s">
        <v>26</v>
      </c>
      <c r="B71" s="20"/>
      <c r="C71" s="26" t="s">
        <v>30</v>
      </c>
      <c r="D71" s="26" t="s">
        <v>30</v>
      </c>
      <c r="E71" s="26" t="s">
        <v>30</v>
      </c>
      <c r="F71" s="26" t="s">
        <v>30</v>
      </c>
      <c r="G71" s="26" t="s">
        <v>30</v>
      </c>
      <c r="H71" s="26" t="s">
        <v>30</v>
      </c>
      <c r="I71" s="26" t="s">
        <v>30</v>
      </c>
      <c r="J71" s="26" t="s">
        <v>30</v>
      </c>
      <c r="K71" s="26" t="s">
        <v>30</v>
      </c>
      <c r="L71" s="26" t="s">
        <v>30</v>
      </c>
      <c r="M71" s="26" t="s">
        <v>30</v>
      </c>
      <c r="N71" s="26" t="s">
        <v>30</v>
      </c>
      <c r="O71" s="26" t="s">
        <v>30</v>
      </c>
      <c r="P71" s="26" t="s">
        <v>30</v>
      </c>
      <c r="Q71" s="26" t="s">
        <v>30</v>
      </c>
      <c r="R71" s="26" t="s">
        <v>30</v>
      </c>
    </row>
    <row r="72" spans="1:18" ht="12.75" hidden="1">
      <c r="A72" s="20" t="s">
        <v>199</v>
      </c>
      <c r="B72" s="2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75" hidden="1">
      <c r="A73" s="20" t="s">
        <v>200</v>
      </c>
      <c r="B73" s="20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75" hidden="1">
      <c r="A74" s="21" t="s">
        <v>201</v>
      </c>
      <c r="B74" s="21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ht="12.75" hidden="1"/>
    <row r="77" spans="1:18" ht="12.75">
      <c r="A77" s="22" t="s">
        <v>202</v>
      </c>
      <c r="B77" s="22" t="s">
        <v>186</v>
      </c>
      <c r="C77" s="37">
        <f aca="true" t="shared" si="1" ref="C77:R77">IF((Attenuation_Half_Life_Species_2)&lt;&gt;"No Decay",LN(2)/((Attenuation_Half_Life_Species_2)*s_per_day),0)</f>
        <v>0</v>
      </c>
      <c r="D77" s="37">
        <f t="shared" si="1"/>
        <v>0</v>
      </c>
      <c r="E77" s="37">
        <f t="shared" si="1"/>
        <v>0</v>
      </c>
      <c r="F77" s="37">
        <f t="shared" si="1"/>
        <v>0</v>
      </c>
      <c r="G77" s="37">
        <f t="shared" si="1"/>
        <v>0</v>
      </c>
      <c r="H77" s="37">
        <f t="shared" si="1"/>
        <v>0</v>
      </c>
      <c r="I77" s="37">
        <f t="shared" si="1"/>
        <v>0</v>
      </c>
      <c r="J77" s="37">
        <f t="shared" si="1"/>
        <v>0</v>
      </c>
      <c r="K77" s="37">
        <f t="shared" si="1"/>
        <v>0</v>
      </c>
      <c r="L77" s="37">
        <f t="shared" si="1"/>
        <v>0</v>
      </c>
      <c r="M77" s="37">
        <f t="shared" si="1"/>
        <v>0</v>
      </c>
      <c r="N77" s="37">
        <f t="shared" si="1"/>
        <v>0</v>
      </c>
      <c r="O77" s="37">
        <f t="shared" si="1"/>
        <v>0</v>
      </c>
      <c r="P77" s="37">
        <f t="shared" si="1"/>
        <v>0</v>
      </c>
      <c r="Q77" s="37">
        <f t="shared" si="1"/>
        <v>0</v>
      </c>
      <c r="R77" s="37">
        <f t="shared" si="1"/>
        <v>0</v>
      </c>
    </row>
    <row r="78" spans="1:18" ht="12.75" hidden="1">
      <c r="A78" s="20" t="s">
        <v>26</v>
      </c>
      <c r="B78" s="20"/>
      <c r="C78" s="26" t="s">
        <v>30</v>
      </c>
      <c r="D78" s="26" t="s">
        <v>30</v>
      </c>
      <c r="E78" s="26" t="s">
        <v>30</v>
      </c>
      <c r="F78" s="26" t="s">
        <v>30</v>
      </c>
      <c r="G78" s="26" t="s">
        <v>30</v>
      </c>
      <c r="H78" s="26" t="s">
        <v>30</v>
      </c>
      <c r="I78" s="26" t="s">
        <v>30</v>
      </c>
      <c r="J78" s="26" t="s">
        <v>30</v>
      </c>
      <c r="K78" s="26" t="s">
        <v>30</v>
      </c>
      <c r="L78" s="26" t="s">
        <v>30</v>
      </c>
      <c r="M78" s="26" t="s">
        <v>30</v>
      </c>
      <c r="N78" s="26" t="s">
        <v>30</v>
      </c>
      <c r="O78" s="26" t="s">
        <v>30</v>
      </c>
      <c r="P78" s="26" t="s">
        <v>30</v>
      </c>
      <c r="Q78" s="26" t="s">
        <v>30</v>
      </c>
      <c r="R78" s="26" t="s">
        <v>30</v>
      </c>
    </row>
    <row r="79" spans="1:18" ht="12.75" hidden="1">
      <c r="A79" s="20" t="s">
        <v>203</v>
      </c>
      <c r="B79" s="20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75" hidden="1">
      <c r="A80" s="20" t="s">
        <v>204</v>
      </c>
      <c r="B80" s="2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 hidden="1">
      <c r="A81" s="21" t="s">
        <v>205</v>
      </c>
      <c r="B81" s="2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ht="12.75" hidden="1"/>
    <row r="84" ht="12.75">
      <c r="A84" s="31" t="str">
        <f>IF((Contaminants_Source_determinand_names Contaminants_Species3)=0,"Undefined",(Contaminants_Source_determinand_names Contaminants_Species3))</f>
        <v>Chloride</v>
      </c>
    </row>
    <row r="86" spans="1:18" ht="12.75">
      <c r="A86" s="22" t="s">
        <v>206</v>
      </c>
      <c r="B86" s="22" t="s">
        <v>37</v>
      </c>
      <c r="C86" s="91">
        <v>1E-09</v>
      </c>
      <c r="D86" s="91">
        <v>1E-09</v>
      </c>
      <c r="E86" s="37">
        <f>(Attenuation_Fraction_organic_carbon)*(Contaminants_Organic_Carbon_Water_Partition_Coefficient_Koc Contaminants_Species3)</f>
        <v>0</v>
      </c>
      <c r="F86" s="37">
        <f>(Attenuation_Fraction_organic_carbon)*(Contaminants_Organic_Carbon_Water_Partition_Coefficient_Koc Contaminants_Species3)</f>
        <v>0</v>
      </c>
      <c r="G86" s="37">
        <f>(Attenuation_Fraction_organic_carbon)*(Contaminants_Organic_Carbon_Water_Partition_Coefficient_Koc Contaminants_Species3)</f>
        <v>0</v>
      </c>
      <c r="H86" s="37">
        <f>(Attenuation_Fraction_organic_carbon)*(Contaminants_Organic_Carbon_Water_Partition_Coefficient_Koc Contaminants_Species3)</f>
        <v>0</v>
      </c>
      <c r="I86" s="37">
        <f>(Attenuation_Fraction_organic_carbon)*(Contaminants_Organic_Carbon_Water_Partition_Coefficient_Koc Contaminants_Species3)</f>
        <v>0</v>
      </c>
      <c r="J86" s="37">
        <f>(Attenuation_Fraction_organic_carbon)*(Contaminants_Organic_Carbon_Water_Partition_Coefficient_Koc Contaminants_Species3)</f>
        <v>0</v>
      </c>
      <c r="K86" s="37">
        <f>(Attenuation_Fraction_organic_carbon)*(Contaminants_Organic_Carbon_Water_Partition_Coefficient_Koc Contaminants_Species3)</f>
        <v>0</v>
      </c>
      <c r="L86" s="37">
        <f>(Attenuation_Fraction_organic_carbon)*(Contaminants_Organic_Carbon_Water_Partition_Coefficient_Koc Contaminants_Species3)</f>
        <v>0</v>
      </c>
      <c r="M86" s="37">
        <f>(Attenuation_Fraction_organic_carbon)*(Contaminants_Organic_Carbon_Water_Partition_Coefficient_Koc Contaminants_Species3)</f>
        <v>0</v>
      </c>
      <c r="N86" s="37">
        <f>(Attenuation_Fraction_organic_carbon)*(Contaminants_Organic_Carbon_Water_Partition_Coefficient_Koc Contaminants_Species3)</f>
        <v>0</v>
      </c>
      <c r="O86" s="37">
        <f>(Attenuation_Fraction_organic_carbon)*(Contaminants_Organic_Carbon_Water_Partition_Coefficient_Koc Contaminants_Species3)</f>
        <v>0</v>
      </c>
      <c r="P86" s="37">
        <f>(Attenuation_Fraction_organic_carbon)*(Contaminants_Organic_Carbon_Water_Partition_Coefficient_Koc Contaminants_Species3)</f>
        <v>0</v>
      </c>
      <c r="Q86" s="37">
        <f>(Attenuation_Fraction_organic_carbon)*(Contaminants_Organic_Carbon_Water_Partition_Coefficient_Koc Contaminants_Species3)</f>
        <v>0</v>
      </c>
      <c r="R86" s="37">
        <f>(Attenuation_Fraction_organic_carbon)*(Contaminants_Organic_Carbon_Water_Partition_Coefficient_Koc Contaminants_Species3)</f>
        <v>0</v>
      </c>
    </row>
    <row r="87" spans="1:18" ht="12.75" hidden="1">
      <c r="A87" s="20" t="s">
        <v>26</v>
      </c>
      <c r="B87" s="20"/>
      <c r="C87" s="26" t="s">
        <v>30</v>
      </c>
      <c r="D87" s="26" t="s">
        <v>30</v>
      </c>
      <c r="E87" s="26" t="s">
        <v>30</v>
      </c>
      <c r="F87" s="26" t="s">
        <v>30</v>
      </c>
      <c r="G87" s="26" t="s">
        <v>30</v>
      </c>
      <c r="H87" s="26" t="s">
        <v>30</v>
      </c>
      <c r="I87" s="26" t="s">
        <v>30</v>
      </c>
      <c r="J87" s="26" t="s">
        <v>30</v>
      </c>
      <c r="K87" s="26" t="s">
        <v>30</v>
      </c>
      <c r="L87" s="26" t="s">
        <v>30</v>
      </c>
      <c r="M87" s="26" t="s">
        <v>30</v>
      </c>
      <c r="N87" s="26" t="s">
        <v>30</v>
      </c>
      <c r="O87" s="26" t="s">
        <v>30</v>
      </c>
      <c r="P87" s="26" t="s">
        <v>30</v>
      </c>
      <c r="Q87" s="26" t="s">
        <v>30</v>
      </c>
      <c r="R87" s="26" t="s">
        <v>30</v>
      </c>
    </row>
    <row r="88" spans="1:18" ht="12.75" hidden="1">
      <c r="A88" s="20" t="s">
        <v>207</v>
      </c>
      <c r="B88" s="2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 hidden="1">
      <c r="A89" s="20" t="s">
        <v>208</v>
      </c>
      <c r="B89" s="20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 hidden="1">
      <c r="A90" s="21" t="s">
        <v>209</v>
      </c>
      <c r="B90" s="2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ht="12.75" hidden="1"/>
    <row r="93" spans="1:18" ht="12.75">
      <c r="A93" s="22" t="s">
        <v>210</v>
      </c>
      <c r="B93" s="22" t="s">
        <v>32</v>
      </c>
      <c r="C93" s="37">
        <f>1+0.001*(Attenuation_Partition_Coefficient_Kd_Species_3)*(Attenuation_Dry_bulk_density)/(Hydrogeology_Porosity Hydrogeology!$C:$C)</f>
        <v>1.000000005</v>
      </c>
      <c r="D93" s="37">
        <f>1+0.001*(Attenuation_Partition_Coefficient_Kd_Species_3)*(Attenuation_Dry_bulk_density)/(Hydrogeology_Porosity Hydrogeology!$D:$D)</f>
        <v>1.0000000045238095</v>
      </c>
      <c r="E93" s="37" t="e">
        <f>1+0.001*(Attenuation_Partition_Coefficient_Kd_Species_3)*(Attenuation_Dry_bulk_density)/(Hydrogeology_Porosity Hydrogeology!$E:$E)</f>
        <v>#DIV/0!</v>
      </c>
      <c r="F93" s="37" t="e">
        <f>1+0.001*(Attenuation_Partition_Coefficient_Kd_Species_3)*(Attenuation_Dry_bulk_density)/(Hydrogeology_Porosity Hydrogeology!$F:$F)</f>
        <v>#DIV/0!</v>
      </c>
      <c r="G93" s="37" t="e">
        <f>1+0.001*(Attenuation_Partition_Coefficient_Kd_Species_3)*(Attenuation_Dry_bulk_density)/(Hydrogeology_Porosity Hydrogeology!$G:$G)</f>
        <v>#DIV/0!</v>
      </c>
      <c r="H93" s="37" t="e">
        <f>1+0.001*(Attenuation_Partition_Coefficient_Kd_Species_3)*(Attenuation_Dry_bulk_density)/(Hydrogeology_Porosity Hydrogeology!$H:$H)</f>
        <v>#DIV/0!</v>
      </c>
      <c r="I93" s="37" t="e">
        <f>1+0.001*(Attenuation_Partition_Coefficient_Kd_Species_3)*(Attenuation_Dry_bulk_density)/(Hydrogeology_Porosity Hydrogeology!$I:$I)</f>
        <v>#DIV/0!</v>
      </c>
      <c r="J93" s="37" t="e">
        <f>1+0.001*(Attenuation_Partition_Coefficient_Kd_Species_3)*(Attenuation_Dry_bulk_density)/(Hydrogeology_Porosity Hydrogeology!$J:$J)</f>
        <v>#DIV/0!</v>
      </c>
      <c r="K93" s="37" t="e">
        <f>1+0.001*(Attenuation_Partition_Coefficient_Kd_Species_3)*(Attenuation_Dry_bulk_density)/(Hydrogeology_Porosity Hydrogeology!$K:$K)</f>
        <v>#DIV/0!</v>
      </c>
      <c r="L93" s="37" t="e">
        <f>1+0.001*(Attenuation_Partition_Coefficient_Kd_Species_3)*(Attenuation_Dry_bulk_density)/(Hydrogeology_Porosity Hydrogeology!$L:$L)</f>
        <v>#DIV/0!</v>
      </c>
      <c r="M93" s="37" t="e">
        <f>1+0.001*(Attenuation_Partition_Coefficient_Kd_Species_3)*(Attenuation_Dry_bulk_density)/(Hydrogeology_Porosity Hydrogeology!$M:$M)</f>
        <v>#DIV/0!</v>
      </c>
      <c r="N93" s="37" t="e">
        <f>1+0.001*(Attenuation_Partition_Coefficient_Kd_Species_3)*(Attenuation_Dry_bulk_density)/(Hydrogeology_Porosity Hydrogeology!$N:$N)</f>
        <v>#DIV/0!</v>
      </c>
      <c r="O93" s="37" t="e">
        <f>1+0.001*(Attenuation_Partition_Coefficient_Kd_Species_3)*(Attenuation_Dry_bulk_density)/(Hydrogeology_Porosity Hydrogeology!$O:$O)</f>
        <v>#DIV/0!</v>
      </c>
      <c r="P93" s="37" t="e">
        <f>1+0.001*(Attenuation_Partition_Coefficient_Kd_Species_3)*(Attenuation_Dry_bulk_density)/(Hydrogeology_Porosity Hydrogeology!$P:$P)</f>
        <v>#DIV/0!</v>
      </c>
      <c r="Q93" s="37" t="e">
        <f>1+0.001*(Attenuation_Partition_Coefficient_Kd_Species_3)*(Attenuation_Dry_bulk_density)/(Hydrogeology_Porosity Hydrogeology!$Q:$Q)</f>
        <v>#DIV/0!</v>
      </c>
      <c r="R93" s="37" t="e">
        <f>1+0.001*(Attenuation_Partition_Coefficient_Kd_Species_3)*(Attenuation_Dry_bulk_density)/(Hydrogeology_Porosity Hydrogeology!$R:$R)</f>
        <v>#DIV/0!</v>
      </c>
    </row>
    <row r="94" spans="1:18" ht="12.75" hidden="1">
      <c r="A94" s="20" t="s">
        <v>26</v>
      </c>
      <c r="B94" s="20"/>
      <c r="C94" s="26" t="s">
        <v>30</v>
      </c>
      <c r="D94" s="26" t="s">
        <v>30</v>
      </c>
      <c r="E94" s="26" t="s">
        <v>30</v>
      </c>
      <c r="F94" s="26" t="s">
        <v>30</v>
      </c>
      <c r="G94" s="26" t="s">
        <v>30</v>
      </c>
      <c r="H94" s="26" t="s">
        <v>30</v>
      </c>
      <c r="I94" s="26" t="s">
        <v>30</v>
      </c>
      <c r="J94" s="26" t="s">
        <v>30</v>
      </c>
      <c r="K94" s="26" t="s">
        <v>30</v>
      </c>
      <c r="L94" s="26" t="s">
        <v>30</v>
      </c>
      <c r="M94" s="26" t="s">
        <v>30</v>
      </c>
      <c r="N94" s="26" t="s">
        <v>30</v>
      </c>
      <c r="O94" s="26" t="s">
        <v>30</v>
      </c>
      <c r="P94" s="26" t="s">
        <v>30</v>
      </c>
      <c r="Q94" s="26" t="s">
        <v>30</v>
      </c>
      <c r="R94" s="26" t="s">
        <v>30</v>
      </c>
    </row>
    <row r="95" spans="1:18" ht="12.75" hidden="1">
      <c r="A95" s="20" t="s">
        <v>211</v>
      </c>
      <c r="B95" s="20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 hidden="1">
      <c r="A96" s="20" t="s">
        <v>212</v>
      </c>
      <c r="B96" s="2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 hidden="1">
      <c r="A97" s="21" t="s">
        <v>213</v>
      </c>
      <c r="B97" s="21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ht="12.75" hidden="1"/>
    <row r="100" spans="1:18" ht="12.75">
      <c r="A100" s="22" t="s">
        <v>214</v>
      </c>
      <c r="B100" s="22" t="s">
        <v>180</v>
      </c>
      <c r="C100" s="25" t="s">
        <v>184</v>
      </c>
      <c r="D100" s="25" t="s">
        <v>184</v>
      </c>
      <c r="E100" s="25" t="s">
        <v>184</v>
      </c>
      <c r="F100" s="25" t="s">
        <v>184</v>
      </c>
      <c r="G100" s="25" t="s">
        <v>184</v>
      </c>
      <c r="H100" s="25" t="s">
        <v>184</v>
      </c>
      <c r="I100" s="25" t="s">
        <v>184</v>
      </c>
      <c r="J100" s="25" t="s">
        <v>184</v>
      </c>
      <c r="K100" s="25" t="s">
        <v>184</v>
      </c>
      <c r="L100" s="25" t="s">
        <v>184</v>
      </c>
      <c r="M100" s="25" t="s">
        <v>184</v>
      </c>
      <c r="N100" s="25" t="s">
        <v>184</v>
      </c>
      <c r="O100" s="25" t="s">
        <v>184</v>
      </c>
      <c r="P100" s="25" t="s">
        <v>184</v>
      </c>
      <c r="Q100" s="25" t="s">
        <v>184</v>
      </c>
      <c r="R100" s="25" t="s">
        <v>184</v>
      </c>
    </row>
    <row r="101" spans="1:18" ht="12.75" hidden="1">
      <c r="A101" s="20" t="s">
        <v>26</v>
      </c>
      <c r="B101" s="20"/>
      <c r="C101" s="26" t="s">
        <v>30</v>
      </c>
      <c r="D101" s="26" t="s">
        <v>30</v>
      </c>
      <c r="E101" s="26" t="s">
        <v>30</v>
      </c>
      <c r="F101" s="26" t="s">
        <v>30</v>
      </c>
      <c r="G101" s="26" t="s">
        <v>30</v>
      </c>
      <c r="H101" s="26" t="s">
        <v>30</v>
      </c>
      <c r="I101" s="26" t="s">
        <v>30</v>
      </c>
      <c r="J101" s="26" t="s">
        <v>30</v>
      </c>
      <c r="K101" s="26" t="s">
        <v>30</v>
      </c>
      <c r="L101" s="26" t="s">
        <v>30</v>
      </c>
      <c r="M101" s="26" t="s">
        <v>30</v>
      </c>
      <c r="N101" s="26" t="s">
        <v>30</v>
      </c>
      <c r="O101" s="26" t="s">
        <v>30</v>
      </c>
      <c r="P101" s="26" t="s">
        <v>30</v>
      </c>
      <c r="Q101" s="26" t="s">
        <v>30</v>
      </c>
      <c r="R101" s="26" t="s">
        <v>30</v>
      </c>
    </row>
    <row r="102" spans="1:18" ht="12.75" hidden="1">
      <c r="A102" s="20" t="s">
        <v>215</v>
      </c>
      <c r="B102" s="20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 hidden="1">
      <c r="A103" s="20" t="s">
        <v>216</v>
      </c>
      <c r="B103" s="20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 hidden="1">
      <c r="A104" s="21" t="s">
        <v>217</v>
      </c>
      <c r="B104" s="2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ht="12.75" hidden="1"/>
    <row r="107" spans="1:18" ht="12.75">
      <c r="A107" s="22" t="s">
        <v>218</v>
      </c>
      <c r="B107" s="22" t="s">
        <v>186</v>
      </c>
      <c r="C107" s="37">
        <f aca="true" t="shared" si="2" ref="C107:R107">IF((Attenuation_Half_Life_Species_3)&lt;&gt;"No Decay",LN(2)/((Attenuation_Half_Life_Species_3)*s_per_day),0)</f>
        <v>0</v>
      </c>
      <c r="D107" s="37">
        <f t="shared" si="2"/>
        <v>0</v>
      </c>
      <c r="E107" s="37">
        <f t="shared" si="2"/>
        <v>0</v>
      </c>
      <c r="F107" s="37">
        <f t="shared" si="2"/>
        <v>0</v>
      </c>
      <c r="G107" s="37">
        <f t="shared" si="2"/>
        <v>0</v>
      </c>
      <c r="H107" s="37">
        <f t="shared" si="2"/>
        <v>0</v>
      </c>
      <c r="I107" s="37">
        <f t="shared" si="2"/>
        <v>0</v>
      </c>
      <c r="J107" s="37">
        <f t="shared" si="2"/>
        <v>0</v>
      </c>
      <c r="K107" s="37">
        <f t="shared" si="2"/>
        <v>0</v>
      </c>
      <c r="L107" s="37">
        <f t="shared" si="2"/>
        <v>0</v>
      </c>
      <c r="M107" s="37">
        <f t="shared" si="2"/>
        <v>0</v>
      </c>
      <c r="N107" s="37">
        <f t="shared" si="2"/>
        <v>0</v>
      </c>
      <c r="O107" s="37">
        <f t="shared" si="2"/>
        <v>0</v>
      </c>
      <c r="P107" s="37">
        <f t="shared" si="2"/>
        <v>0</v>
      </c>
      <c r="Q107" s="37">
        <f t="shared" si="2"/>
        <v>0</v>
      </c>
      <c r="R107" s="37">
        <f t="shared" si="2"/>
        <v>0</v>
      </c>
    </row>
    <row r="108" spans="1:18" ht="12.75" hidden="1">
      <c r="A108" s="20" t="s">
        <v>26</v>
      </c>
      <c r="B108" s="20"/>
      <c r="C108" s="26" t="s">
        <v>30</v>
      </c>
      <c r="D108" s="26" t="s">
        <v>30</v>
      </c>
      <c r="E108" s="26" t="s">
        <v>30</v>
      </c>
      <c r="F108" s="26" t="s">
        <v>30</v>
      </c>
      <c r="G108" s="26" t="s">
        <v>30</v>
      </c>
      <c r="H108" s="26" t="s">
        <v>30</v>
      </c>
      <c r="I108" s="26" t="s">
        <v>30</v>
      </c>
      <c r="J108" s="26" t="s">
        <v>30</v>
      </c>
      <c r="K108" s="26" t="s">
        <v>30</v>
      </c>
      <c r="L108" s="26" t="s">
        <v>30</v>
      </c>
      <c r="M108" s="26" t="s">
        <v>30</v>
      </c>
      <c r="N108" s="26" t="s">
        <v>30</v>
      </c>
      <c r="O108" s="26" t="s">
        <v>30</v>
      </c>
      <c r="P108" s="26" t="s">
        <v>30</v>
      </c>
      <c r="Q108" s="26" t="s">
        <v>30</v>
      </c>
      <c r="R108" s="26" t="s">
        <v>30</v>
      </c>
    </row>
    <row r="109" spans="1:18" ht="12.75" hidden="1">
      <c r="A109" s="20" t="s">
        <v>219</v>
      </c>
      <c r="B109" s="20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 hidden="1">
      <c r="A110" s="20" t="s">
        <v>220</v>
      </c>
      <c r="B110" s="20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 hidden="1">
      <c r="A111" s="21" t="s">
        <v>221</v>
      </c>
      <c r="B111" s="21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ht="12.75" hidden="1"/>
    <row r="114" ht="12.75">
      <c r="A114" s="31" t="str">
        <f>IF((Contaminants_Source_determinand_names Contaminants_Species4)=0,"Undefined",(Contaminants_Source_determinand_names Contaminants_Species4))</f>
        <v>Potassium</v>
      </c>
    </row>
    <row r="116" spans="1:18" ht="12.75">
      <c r="A116" s="22" t="s">
        <v>222</v>
      </c>
      <c r="B116" s="22" t="s">
        <v>37</v>
      </c>
      <c r="C116" s="91">
        <v>1E-09</v>
      </c>
      <c r="D116" s="91">
        <v>1E-09</v>
      </c>
      <c r="E116" s="37">
        <f>(Attenuation_Fraction_organic_carbon)*(Contaminants_Organic_Carbon_Water_Partition_Coefficient_Koc Contaminants_Species4)</f>
        <v>0</v>
      </c>
      <c r="F116" s="37">
        <f>(Attenuation_Fraction_organic_carbon)*(Contaminants_Organic_Carbon_Water_Partition_Coefficient_Koc Contaminants_Species4)</f>
        <v>0</v>
      </c>
      <c r="G116" s="37">
        <f>(Attenuation_Fraction_organic_carbon)*(Contaminants_Organic_Carbon_Water_Partition_Coefficient_Koc Contaminants_Species4)</f>
        <v>0</v>
      </c>
      <c r="H116" s="37">
        <f>(Attenuation_Fraction_organic_carbon)*(Contaminants_Organic_Carbon_Water_Partition_Coefficient_Koc Contaminants_Species4)</f>
        <v>0</v>
      </c>
      <c r="I116" s="37">
        <f>(Attenuation_Fraction_organic_carbon)*(Contaminants_Organic_Carbon_Water_Partition_Coefficient_Koc Contaminants_Species4)</f>
        <v>0</v>
      </c>
      <c r="J116" s="37">
        <f>(Attenuation_Fraction_organic_carbon)*(Contaminants_Organic_Carbon_Water_Partition_Coefficient_Koc Contaminants_Species4)</f>
        <v>0</v>
      </c>
      <c r="K116" s="37">
        <f>(Attenuation_Fraction_organic_carbon)*(Contaminants_Organic_Carbon_Water_Partition_Coefficient_Koc Contaminants_Species4)</f>
        <v>0</v>
      </c>
      <c r="L116" s="37">
        <f>(Attenuation_Fraction_organic_carbon)*(Contaminants_Organic_Carbon_Water_Partition_Coefficient_Koc Contaminants_Species4)</f>
        <v>0</v>
      </c>
      <c r="M116" s="37">
        <f>(Attenuation_Fraction_organic_carbon)*(Contaminants_Organic_Carbon_Water_Partition_Coefficient_Koc Contaminants_Species4)</f>
        <v>0</v>
      </c>
      <c r="N116" s="37">
        <f>(Attenuation_Fraction_organic_carbon)*(Contaminants_Organic_Carbon_Water_Partition_Coefficient_Koc Contaminants_Species4)</f>
        <v>0</v>
      </c>
      <c r="O116" s="37">
        <f>(Attenuation_Fraction_organic_carbon)*(Contaminants_Organic_Carbon_Water_Partition_Coefficient_Koc Contaminants_Species4)</f>
        <v>0</v>
      </c>
      <c r="P116" s="37">
        <f>(Attenuation_Fraction_organic_carbon)*(Contaminants_Organic_Carbon_Water_Partition_Coefficient_Koc Contaminants_Species4)</f>
        <v>0</v>
      </c>
      <c r="Q116" s="37">
        <f>(Attenuation_Fraction_organic_carbon)*(Contaminants_Organic_Carbon_Water_Partition_Coefficient_Koc Contaminants_Species4)</f>
        <v>0</v>
      </c>
      <c r="R116" s="37">
        <f>(Attenuation_Fraction_organic_carbon)*(Contaminants_Organic_Carbon_Water_Partition_Coefficient_Koc Contaminants_Species4)</f>
        <v>0</v>
      </c>
    </row>
    <row r="117" spans="1:18" ht="12.75" hidden="1">
      <c r="A117" s="20" t="s">
        <v>26</v>
      </c>
      <c r="B117" s="20"/>
      <c r="C117" s="26" t="s">
        <v>30</v>
      </c>
      <c r="D117" s="26" t="s">
        <v>30</v>
      </c>
      <c r="E117" s="26" t="s">
        <v>30</v>
      </c>
      <c r="F117" s="26" t="s">
        <v>30</v>
      </c>
      <c r="G117" s="26" t="s">
        <v>30</v>
      </c>
      <c r="H117" s="26" t="s">
        <v>30</v>
      </c>
      <c r="I117" s="26" t="s">
        <v>30</v>
      </c>
      <c r="J117" s="26" t="s">
        <v>30</v>
      </c>
      <c r="K117" s="26" t="s">
        <v>30</v>
      </c>
      <c r="L117" s="26" t="s">
        <v>30</v>
      </c>
      <c r="M117" s="26" t="s">
        <v>30</v>
      </c>
      <c r="N117" s="26" t="s">
        <v>30</v>
      </c>
      <c r="O117" s="26" t="s">
        <v>30</v>
      </c>
      <c r="P117" s="26" t="s">
        <v>30</v>
      </c>
      <c r="Q117" s="26" t="s">
        <v>30</v>
      </c>
      <c r="R117" s="26" t="s">
        <v>30</v>
      </c>
    </row>
    <row r="118" spans="1:18" ht="12.75" hidden="1">
      <c r="A118" s="20" t="s">
        <v>223</v>
      </c>
      <c r="B118" s="20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 hidden="1">
      <c r="A119" s="20" t="s">
        <v>224</v>
      </c>
      <c r="B119" s="20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 hidden="1">
      <c r="A120" s="21" t="s">
        <v>225</v>
      </c>
      <c r="B120" s="21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ht="12.75" hidden="1"/>
    <row r="123" spans="1:18" ht="12.75">
      <c r="A123" s="22" t="s">
        <v>226</v>
      </c>
      <c r="B123" s="22" t="s">
        <v>32</v>
      </c>
      <c r="C123" s="37">
        <f>1+0.001*(Attenuation_Partition_Coefficient_Kd_Species_4)*(Attenuation_Dry_bulk_density)/(Hydrogeology_Porosity Hydrogeology!$C:$C)</f>
        <v>1.000000005</v>
      </c>
      <c r="D123" s="37">
        <f>1+0.001*(Attenuation_Partition_Coefficient_Kd_Species_4)*(Attenuation_Dry_bulk_density)/(Hydrogeology_Porosity Hydrogeology!$D:$D)</f>
        <v>1.0000000045238095</v>
      </c>
      <c r="E123" s="37" t="e">
        <f>1+0.001*(Attenuation_Partition_Coefficient_Kd_Species_4)*(Attenuation_Dry_bulk_density)/(Hydrogeology_Porosity Hydrogeology!$E:$E)</f>
        <v>#DIV/0!</v>
      </c>
      <c r="F123" s="37" t="e">
        <f>1+0.001*(Attenuation_Partition_Coefficient_Kd_Species_4)*(Attenuation_Dry_bulk_density)/(Hydrogeology_Porosity Hydrogeology!$F:$F)</f>
        <v>#DIV/0!</v>
      </c>
      <c r="G123" s="37" t="e">
        <f>1+0.001*(Attenuation_Partition_Coefficient_Kd_Species_4)*(Attenuation_Dry_bulk_density)/(Hydrogeology_Porosity Hydrogeology!$G:$G)</f>
        <v>#DIV/0!</v>
      </c>
      <c r="H123" s="37" t="e">
        <f>1+0.001*(Attenuation_Partition_Coefficient_Kd_Species_4)*(Attenuation_Dry_bulk_density)/(Hydrogeology_Porosity Hydrogeology!$H:$H)</f>
        <v>#DIV/0!</v>
      </c>
      <c r="I123" s="37" t="e">
        <f>1+0.001*(Attenuation_Partition_Coefficient_Kd_Species_4)*(Attenuation_Dry_bulk_density)/(Hydrogeology_Porosity Hydrogeology!$I:$I)</f>
        <v>#DIV/0!</v>
      </c>
      <c r="J123" s="37" t="e">
        <f>1+0.001*(Attenuation_Partition_Coefficient_Kd_Species_4)*(Attenuation_Dry_bulk_density)/(Hydrogeology_Porosity Hydrogeology!$J:$J)</f>
        <v>#DIV/0!</v>
      </c>
      <c r="K123" s="37" t="e">
        <f>1+0.001*(Attenuation_Partition_Coefficient_Kd_Species_4)*(Attenuation_Dry_bulk_density)/(Hydrogeology_Porosity Hydrogeology!$K:$K)</f>
        <v>#DIV/0!</v>
      </c>
      <c r="L123" s="37" t="e">
        <f>1+0.001*(Attenuation_Partition_Coefficient_Kd_Species_4)*(Attenuation_Dry_bulk_density)/(Hydrogeology_Porosity Hydrogeology!$L:$L)</f>
        <v>#DIV/0!</v>
      </c>
      <c r="M123" s="37" t="e">
        <f>1+0.001*(Attenuation_Partition_Coefficient_Kd_Species_4)*(Attenuation_Dry_bulk_density)/(Hydrogeology_Porosity Hydrogeology!$M:$M)</f>
        <v>#DIV/0!</v>
      </c>
      <c r="N123" s="37" t="e">
        <f>1+0.001*(Attenuation_Partition_Coefficient_Kd_Species_4)*(Attenuation_Dry_bulk_density)/(Hydrogeology_Porosity Hydrogeology!$N:$N)</f>
        <v>#DIV/0!</v>
      </c>
      <c r="O123" s="37" t="e">
        <f>1+0.001*(Attenuation_Partition_Coefficient_Kd_Species_4)*(Attenuation_Dry_bulk_density)/(Hydrogeology_Porosity Hydrogeology!$O:$O)</f>
        <v>#DIV/0!</v>
      </c>
      <c r="P123" s="37" t="e">
        <f>1+0.001*(Attenuation_Partition_Coefficient_Kd_Species_4)*(Attenuation_Dry_bulk_density)/(Hydrogeology_Porosity Hydrogeology!$P:$P)</f>
        <v>#DIV/0!</v>
      </c>
      <c r="Q123" s="37" t="e">
        <f>1+0.001*(Attenuation_Partition_Coefficient_Kd_Species_4)*(Attenuation_Dry_bulk_density)/(Hydrogeology_Porosity Hydrogeology!$Q:$Q)</f>
        <v>#DIV/0!</v>
      </c>
      <c r="R123" s="37" t="e">
        <f>1+0.001*(Attenuation_Partition_Coefficient_Kd_Species_4)*(Attenuation_Dry_bulk_density)/(Hydrogeology_Porosity Hydrogeology!$R:$R)</f>
        <v>#DIV/0!</v>
      </c>
    </row>
    <row r="124" spans="1:18" ht="12.75" hidden="1">
      <c r="A124" s="20" t="s">
        <v>26</v>
      </c>
      <c r="B124" s="20"/>
      <c r="C124" s="26" t="s">
        <v>30</v>
      </c>
      <c r="D124" s="26" t="s">
        <v>30</v>
      </c>
      <c r="E124" s="26" t="s">
        <v>30</v>
      </c>
      <c r="F124" s="26" t="s">
        <v>30</v>
      </c>
      <c r="G124" s="26" t="s">
        <v>30</v>
      </c>
      <c r="H124" s="26" t="s">
        <v>30</v>
      </c>
      <c r="I124" s="26" t="s">
        <v>30</v>
      </c>
      <c r="J124" s="26" t="s">
        <v>30</v>
      </c>
      <c r="K124" s="26" t="s">
        <v>30</v>
      </c>
      <c r="L124" s="26" t="s">
        <v>30</v>
      </c>
      <c r="M124" s="26" t="s">
        <v>30</v>
      </c>
      <c r="N124" s="26" t="s">
        <v>30</v>
      </c>
      <c r="O124" s="26" t="s">
        <v>30</v>
      </c>
      <c r="P124" s="26" t="s">
        <v>30</v>
      </c>
      <c r="Q124" s="26" t="s">
        <v>30</v>
      </c>
      <c r="R124" s="26" t="s">
        <v>30</v>
      </c>
    </row>
    <row r="125" spans="1:18" ht="12.75" hidden="1">
      <c r="A125" s="20" t="s">
        <v>227</v>
      </c>
      <c r="B125" s="20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 hidden="1">
      <c r="A126" s="20" t="s">
        <v>228</v>
      </c>
      <c r="B126" s="20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2.75" hidden="1">
      <c r="A127" s="21" t="s">
        <v>229</v>
      </c>
      <c r="B127" s="21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ht="12.75" hidden="1"/>
    <row r="130" spans="1:18" ht="12.75">
      <c r="A130" s="22" t="s">
        <v>230</v>
      </c>
      <c r="B130" s="22" t="s">
        <v>180</v>
      </c>
      <c r="C130" s="25" t="s">
        <v>184</v>
      </c>
      <c r="D130" s="25" t="s">
        <v>184</v>
      </c>
      <c r="E130" s="25" t="s">
        <v>184</v>
      </c>
      <c r="F130" s="25" t="s">
        <v>184</v>
      </c>
      <c r="G130" s="25" t="s">
        <v>184</v>
      </c>
      <c r="H130" s="25" t="s">
        <v>184</v>
      </c>
      <c r="I130" s="25" t="s">
        <v>184</v>
      </c>
      <c r="J130" s="25" t="s">
        <v>184</v>
      </c>
      <c r="K130" s="25" t="s">
        <v>184</v>
      </c>
      <c r="L130" s="25" t="s">
        <v>184</v>
      </c>
      <c r="M130" s="25" t="s">
        <v>184</v>
      </c>
      <c r="N130" s="25" t="s">
        <v>184</v>
      </c>
      <c r="O130" s="25" t="s">
        <v>184</v>
      </c>
      <c r="P130" s="25" t="s">
        <v>184</v>
      </c>
      <c r="Q130" s="25" t="s">
        <v>184</v>
      </c>
      <c r="R130" s="25" t="s">
        <v>184</v>
      </c>
    </row>
    <row r="131" spans="1:18" ht="12.75" hidden="1">
      <c r="A131" s="20" t="s">
        <v>26</v>
      </c>
      <c r="B131" s="20"/>
      <c r="C131" s="26" t="s">
        <v>30</v>
      </c>
      <c r="D131" s="26" t="s">
        <v>30</v>
      </c>
      <c r="E131" s="26" t="s">
        <v>30</v>
      </c>
      <c r="F131" s="26" t="s">
        <v>30</v>
      </c>
      <c r="G131" s="26" t="s">
        <v>30</v>
      </c>
      <c r="H131" s="26" t="s">
        <v>30</v>
      </c>
      <c r="I131" s="26" t="s">
        <v>30</v>
      </c>
      <c r="J131" s="26" t="s">
        <v>30</v>
      </c>
      <c r="K131" s="26" t="s">
        <v>30</v>
      </c>
      <c r="L131" s="26" t="s">
        <v>30</v>
      </c>
      <c r="M131" s="26" t="s">
        <v>30</v>
      </c>
      <c r="N131" s="26" t="s">
        <v>30</v>
      </c>
      <c r="O131" s="26" t="s">
        <v>30</v>
      </c>
      <c r="P131" s="26" t="s">
        <v>30</v>
      </c>
      <c r="Q131" s="26" t="s">
        <v>30</v>
      </c>
      <c r="R131" s="26" t="s">
        <v>30</v>
      </c>
    </row>
    <row r="132" spans="1:18" ht="12.75" hidden="1">
      <c r="A132" s="20" t="s">
        <v>231</v>
      </c>
      <c r="B132" s="20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2.75" hidden="1">
      <c r="A133" s="20" t="s">
        <v>232</v>
      </c>
      <c r="B133" s="20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ht="12.75" hidden="1">
      <c r="A134" s="21" t="s">
        <v>233</v>
      </c>
      <c r="B134" s="21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ht="12.75" hidden="1"/>
    <row r="137" spans="1:18" ht="12.75">
      <c r="A137" s="22" t="s">
        <v>234</v>
      </c>
      <c r="B137" s="22" t="s">
        <v>186</v>
      </c>
      <c r="C137" s="37">
        <f aca="true" t="shared" si="3" ref="C137:R137">IF((Attenuation_Half_Life_Species_4)&lt;&gt;"No Decay",LN(2)/((Attenuation_Half_Life_Species_4)*s_per_day),0)</f>
        <v>0</v>
      </c>
      <c r="D137" s="37">
        <f t="shared" si="3"/>
        <v>0</v>
      </c>
      <c r="E137" s="37">
        <f t="shared" si="3"/>
        <v>0</v>
      </c>
      <c r="F137" s="37">
        <f t="shared" si="3"/>
        <v>0</v>
      </c>
      <c r="G137" s="37">
        <f t="shared" si="3"/>
        <v>0</v>
      </c>
      <c r="H137" s="37">
        <f t="shared" si="3"/>
        <v>0</v>
      </c>
      <c r="I137" s="37">
        <f t="shared" si="3"/>
        <v>0</v>
      </c>
      <c r="J137" s="37">
        <f t="shared" si="3"/>
        <v>0</v>
      </c>
      <c r="K137" s="37">
        <f t="shared" si="3"/>
        <v>0</v>
      </c>
      <c r="L137" s="37">
        <f t="shared" si="3"/>
        <v>0</v>
      </c>
      <c r="M137" s="37">
        <f t="shared" si="3"/>
        <v>0</v>
      </c>
      <c r="N137" s="37">
        <f t="shared" si="3"/>
        <v>0</v>
      </c>
      <c r="O137" s="37">
        <f t="shared" si="3"/>
        <v>0</v>
      </c>
      <c r="P137" s="37">
        <f t="shared" si="3"/>
        <v>0</v>
      </c>
      <c r="Q137" s="37">
        <f t="shared" si="3"/>
        <v>0</v>
      </c>
      <c r="R137" s="37">
        <f t="shared" si="3"/>
        <v>0</v>
      </c>
    </row>
    <row r="138" spans="1:18" ht="12.75" hidden="1">
      <c r="A138" s="20" t="s">
        <v>26</v>
      </c>
      <c r="B138" s="20"/>
      <c r="C138" s="26" t="s">
        <v>30</v>
      </c>
      <c r="D138" s="26" t="s">
        <v>30</v>
      </c>
      <c r="E138" s="26" t="s">
        <v>30</v>
      </c>
      <c r="F138" s="26" t="s">
        <v>30</v>
      </c>
      <c r="G138" s="26" t="s">
        <v>30</v>
      </c>
      <c r="H138" s="26" t="s">
        <v>30</v>
      </c>
      <c r="I138" s="26" t="s">
        <v>30</v>
      </c>
      <c r="J138" s="26" t="s">
        <v>30</v>
      </c>
      <c r="K138" s="26" t="s">
        <v>30</v>
      </c>
      <c r="L138" s="26" t="s">
        <v>30</v>
      </c>
      <c r="M138" s="26" t="s">
        <v>30</v>
      </c>
      <c r="N138" s="26" t="s">
        <v>30</v>
      </c>
      <c r="O138" s="26" t="s">
        <v>30</v>
      </c>
      <c r="P138" s="26" t="s">
        <v>30</v>
      </c>
      <c r="Q138" s="26" t="s">
        <v>30</v>
      </c>
      <c r="R138" s="26" t="s">
        <v>30</v>
      </c>
    </row>
    <row r="139" spans="1:18" ht="12.75" hidden="1">
      <c r="A139" s="20" t="s">
        <v>235</v>
      </c>
      <c r="B139" s="20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12.75" hidden="1">
      <c r="A140" s="20" t="s">
        <v>236</v>
      </c>
      <c r="B140" s="20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ht="12.75" hidden="1">
      <c r="A141" s="21" t="s">
        <v>237</v>
      </c>
      <c r="B141" s="21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ht="12.75" hidden="1"/>
    <row r="144" ht="12.75">
      <c r="A144" s="31" t="str">
        <f>IF((Contaminants_Source_determinand_names Contaminants_Species5)=0,"Undefined",(Contaminants_Source_determinand_names Contaminants_Species5))</f>
        <v>Nickel</v>
      </c>
    </row>
    <row r="146" spans="1:18" ht="12.75">
      <c r="A146" s="22" t="s">
        <v>238</v>
      </c>
      <c r="B146" s="22" t="s">
        <v>37</v>
      </c>
      <c r="C146" s="91">
        <v>110</v>
      </c>
      <c r="D146" s="91">
        <v>110</v>
      </c>
      <c r="E146" s="37">
        <f>(Attenuation_Fraction_organic_carbon)*(Contaminants_Organic_Carbon_Water_Partition_Coefficient_Koc Contaminants_Species5)</f>
        <v>0</v>
      </c>
      <c r="F146" s="37">
        <f>(Attenuation_Fraction_organic_carbon)*(Contaminants_Organic_Carbon_Water_Partition_Coefficient_Koc Contaminants_Species5)</f>
        <v>0</v>
      </c>
      <c r="G146" s="37">
        <f>(Attenuation_Fraction_organic_carbon)*(Contaminants_Organic_Carbon_Water_Partition_Coefficient_Koc Contaminants_Species5)</f>
        <v>0</v>
      </c>
      <c r="H146" s="37">
        <f>(Attenuation_Fraction_organic_carbon)*(Contaminants_Organic_Carbon_Water_Partition_Coefficient_Koc Contaminants_Species5)</f>
        <v>0</v>
      </c>
      <c r="I146" s="37">
        <f>(Attenuation_Fraction_organic_carbon)*(Contaminants_Organic_Carbon_Water_Partition_Coefficient_Koc Contaminants_Species5)</f>
        <v>0</v>
      </c>
      <c r="J146" s="37">
        <f>(Attenuation_Fraction_organic_carbon)*(Contaminants_Organic_Carbon_Water_Partition_Coefficient_Koc Contaminants_Species5)</f>
        <v>0</v>
      </c>
      <c r="K146" s="37">
        <f>(Attenuation_Fraction_organic_carbon)*(Contaminants_Organic_Carbon_Water_Partition_Coefficient_Koc Contaminants_Species5)</f>
        <v>0</v>
      </c>
      <c r="L146" s="37">
        <f>(Attenuation_Fraction_organic_carbon)*(Contaminants_Organic_Carbon_Water_Partition_Coefficient_Koc Contaminants_Species5)</f>
        <v>0</v>
      </c>
      <c r="M146" s="37">
        <f>(Attenuation_Fraction_organic_carbon)*(Contaminants_Organic_Carbon_Water_Partition_Coefficient_Koc Contaminants_Species5)</f>
        <v>0</v>
      </c>
      <c r="N146" s="37">
        <f>(Attenuation_Fraction_organic_carbon)*(Contaminants_Organic_Carbon_Water_Partition_Coefficient_Koc Contaminants_Species5)</f>
        <v>0</v>
      </c>
      <c r="O146" s="37">
        <f>(Attenuation_Fraction_organic_carbon)*(Contaminants_Organic_Carbon_Water_Partition_Coefficient_Koc Contaminants_Species5)</f>
        <v>0</v>
      </c>
      <c r="P146" s="37">
        <f>(Attenuation_Fraction_organic_carbon)*(Contaminants_Organic_Carbon_Water_Partition_Coefficient_Koc Contaminants_Species5)</f>
        <v>0</v>
      </c>
      <c r="Q146" s="37">
        <f>(Attenuation_Fraction_organic_carbon)*(Contaminants_Organic_Carbon_Water_Partition_Coefficient_Koc Contaminants_Species5)</f>
        <v>0</v>
      </c>
      <c r="R146" s="37">
        <f>(Attenuation_Fraction_organic_carbon)*(Contaminants_Organic_Carbon_Water_Partition_Coefficient_Koc Contaminants_Species5)</f>
        <v>0</v>
      </c>
    </row>
    <row r="147" spans="1:18" ht="12.75" hidden="1">
      <c r="A147" s="20" t="s">
        <v>26</v>
      </c>
      <c r="B147" s="20"/>
      <c r="C147" s="26" t="s">
        <v>30</v>
      </c>
      <c r="D147" s="26" t="s">
        <v>30</v>
      </c>
      <c r="E147" s="26" t="s">
        <v>30</v>
      </c>
      <c r="F147" s="26" t="s">
        <v>30</v>
      </c>
      <c r="G147" s="26" t="s">
        <v>30</v>
      </c>
      <c r="H147" s="26" t="s">
        <v>30</v>
      </c>
      <c r="I147" s="26" t="s">
        <v>30</v>
      </c>
      <c r="J147" s="26" t="s">
        <v>30</v>
      </c>
      <c r="K147" s="26" t="s">
        <v>30</v>
      </c>
      <c r="L147" s="26" t="s">
        <v>30</v>
      </c>
      <c r="M147" s="26" t="s">
        <v>30</v>
      </c>
      <c r="N147" s="26" t="s">
        <v>30</v>
      </c>
      <c r="O147" s="26" t="s">
        <v>30</v>
      </c>
      <c r="P147" s="26" t="s">
        <v>30</v>
      </c>
      <c r="Q147" s="26" t="s">
        <v>30</v>
      </c>
      <c r="R147" s="26" t="s">
        <v>30</v>
      </c>
    </row>
    <row r="148" spans="1:18" ht="12.75" hidden="1">
      <c r="A148" s="20" t="s">
        <v>239</v>
      </c>
      <c r="B148" s="20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.75" hidden="1">
      <c r="A149" s="20" t="s">
        <v>240</v>
      </c>
      <c r="B149" s="20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2.75" hidden="1">
      <c r="A150" s="21" t="s">
        <v>241</v>
      </c>
      <c r="B150" s="21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ht="12.75" hidden="1"/>
    <row r="153" spans="1:18" ht="12.75">
      <c r="A153" s="22" t="s">
        <v>242</v>
      </c>
      <c r="B153" s="22" t="s">
        <v>32</v>
      </c>
      <c r="C153" s="37">
        <f>1+0.001*(Attenuation_Partition_Coefficient_Kd_Species_5)*(Attenuation_Dry_bulk_density)/(Hydrogeology_Porosity Hydrogeology!$C:$C)</f>
        <v>551</v>
      </c>
      <c r="D153" s="37">
        <f>1+0.001*(Attenuation_Partition_Coefficient_Kd_Species_5)*(Attenuation_Dry_bulk_density)/(Hydrogeology_Porosity Hydrogeology!$D:$D)</f>
        <v>498.61904761904765</v>
      </c>
      <c r="E153" s="37" t="e">
        <f>1+0.001*(Attenuation_Partition_Coefficient_Kd_Species_5)*(Attenuation_Dry_bulk_density)/(Hydrogeology_Porosity Hydrogeology!$E:$E)</f>
        <v>#DIV/0!</v>
      </c>
      <c r="F153" s="37" t="e">
        <f>1+0.001*(Attenuation_Partition_Coefficient_Kd_Species_5)*(Attenuation_Dry_bulk_density)/(Hydrogeology_Porosity Hydrogeology!$F:$F)</f>
        <v>#DIV/0!</v>
      </c>
      <c r="G153" s="37" t="e">
        <f>1+0.001*(Attenuation_Partition_Coefficient_Kd_Species_5)*(Attenuation_Dry_bulk_density)/(Hydrogeology_Porosity Hydrogeology!$G:$G)</f>
        <v>#DIV/0!</v>
      </c>
      <c r="H153" s="37" t="e">
        <f>1+0.001*(Attenuation_Partition_Coefficient_Kd_Species_5)*(Attenuation_Dry_bulk_density)/(Hydrogeology_Porosity Hydrogeology!$H:$H)</f>
        <v>#DIV/0!</v>
      </c>
      <c r="I153" s="37" t="e">
        <f>1+0.001*(Attenuation_Partition_Coefficient_Kd_Species_5)*(Attenuation_Dry_bulk_density)/(Hydrogeology_Porosity Hydrogeology!$I:$I)</f>
        <v>#DIV/0!</v>
      </c>
      <c r="J153" s="37" t="e">
        <f>1+0.001*(Attenuation_Partition_Coefficient_Kd_Species_5)*(Attenuation_Dry_bulk_density)/(Hydrogeology_Porosity Hydrogeology!$J:$J)</f>
        <v>#DIV/0!</v>
      </c>
      <c r="K153" s="37" t="e">
        <f>1+0.001*(Attenuation_Partition_Coefficient_Kd_Species_5)*(Attenuation_Dry_bulk_density)/(Hydrogeology_Porosity Hydrogeology!$K:$K)</f>
        <v>#DIV/0!</v>
      </c>
      <c r="L153" s="37" t="e">
        <f>1+0.001*(Attenuation_Partition_Coefficient_Kd_Species_5)*(Attenuation_Dry_bulk_density)/(Hydrogeology_Porosity Hydrogeology!$L:$L)</f>
        <v>#DIV/0!</v>
      </c>
      <c r="M153" s="37" t="e">
        <f>1+0.001*(Attenuation_Partition_Coefficient_Kd_Species_5)*(Attenuation_Dry_bulk_density)/(Hydrogeology_Porosity Hydrogeology!$M:$M)</f>
        <v>#DIV/0!</v>
      </c>
      <c r="N153" s="37" t="e">
        <f>1+0.001*(Attenuation_Partition_Coefficient_Kd_Species_5)*(Attenuation_Dry_bulk_density)/(Hydrogeology_Porosity Hydrogeology!$N:$N)</f>
        <v>#DIV/0!</v>
      </c>
      <c r="O153" s="37" t="e">
        <f>1+0.001*(Attenuation_Partition_Coefficient_Kd_Species_5)*(Attenuation_Dry_bulk_density)/(Hydrogeology_Porosity Hydrogeology!$O:$O)</f>
        <v>#DIV/0!</v>
      </c>
      <c r="P153" s="37" t="e">
        <f>1+0.001*(Attenuation_Partition_Coefficient_Kd_Species_5)*(Attenuation_Dry_bulk_density)/(Hydrogeology_Porosity Hydrogeology!$P:$P)</f>
        <v>#DIV/0!</v>
      </c>
      <c r="Q153" s="37" t="e">
        <f>1+0.001*(Attenuation_Partition_Coefficient_Kd_Species_5)*(Attenuation_Dry_bulk_density)/(Hydrogeology_Porosity Hydrogeology!$Q:$Q)</f>
        <v>#DIV/0!</v>
      </c>
      <c r="R153" s="37" t="e">
        <f>1+0.001*(Attenuation_Partition_Coefficient_Kd_Species_5)*(Attenuation_Dry_bulk_density)/(Hydrogeology_Porosity Hydrogeology!$R:$R)</f>
        <v>#DIV/0!</v>
      </c>
    </row>
    <row r="154" spans="1:18" ht="12.75" hidden="1">
      <c r="A154" s="20" t="s">
        <v>26</v>
      </c>
      <c r="B154" s="20"/>
      <c r="C154" s="26" t="s">
        <v>30</v>
      </c>
      <c r="D154" s="26" t="s">
        <v>30</v>
      </c>
      <c r="E154" s="26" t="s">
        <v>30</v>
      </c>
      <c r="F154" s="26" t="s">
        <v>30</v>
      </c>
      <c r="G154" s="26" t="s">
        <v>30</v>
      </c>
      <c r="H154" s="26" t="s">
        <v>30</v>
      </c>
      <c r="I154" s="26" t="s">
        <v>30</v>
      </c>
      <c r="J154" s="26" t="s">
        <v>30</v>
      </c>
      <c r="K154" s="26" t="s">
        <v>30</v>
      </c>
      <c r="L154" s="26" t="s">
        <v>30</v>
      </c>
      <c r="M154" s="26" t="s">
        <v>30</v>
      </c>
      <c r="N154" s="26" t="s">
        <v>30</v>
      </c>
      <c r="O154" s="26" t="s">
        <v>30</v>
      </c>
      <c r="P154" s="26" t="s">
        <v>30</v>
      </c>
      <c r="Q154" s="26" t="s">
        <v>30</v>
      </c>
      <c r="R154" s="26" t="s">
        <v>30</v>
      </c>
    </row>
    <row r="155" spans="1:18" ht="12.75" hidden="1">
      <c r="A155" s="20" t="s">
        <v>243</v>
      </c>
      <c r="B155" s="20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2.75" hidden="1">
      <c r="A156" s="20" t="s">
        <v>244</v>
      </c>
      <c r="B156" s="20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ht="12.75" hidden="1">
      <c r="A157" s="21" t="s">
        <v>245</v>
      </c>
      <c r="B157" s="21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ht="12.75" hidden="1"/>
    <row r="160" spans="1:18" ht="12.75">
      <c r="A160" s="22" t="s">
        <v>246</v>
      </c>
      <c r="B160" s="22" t="s">
        <v>180</v>
      </c>
      <c r="C160" s="25" t="s">
        <v>184</v>
      </c>
      <c r="D160" s="25" t="s">
        <v>184</v>
      </c>
      <c r="E160" s="25" t="s">
        <v>184</v>
      </c>
      <c r="F160" s="25" t="s">
        <v>184</v>
      </c>
      <c r="G160" s="25" t="s">
        <v>184</v>
      </c>
      <c r="H160" s="25" t="s">
        <v>184</v>
      </c>
      <c r="I160" s="25" t="s">
        <v>184</v>
      </c>
      <c r="J160" s="25" t="s">
        <v>184</v>
      </c>
      <c r="K160" s="25" t="s">
        <v>184</v>
      </c>
      <c r="L160" s="25" t="s">
        <v>184</v>
      </c>
      <c r="M160" s="25" t="s">
        <v>184</v>
      </c>
      <c r="N160" s="25" t="s">
        <v>184</v>
      </c>
      <c r="O160" s="25" t="s">
        <v>184</v>
      </c>
      <c r="P160" s="25" t="s">
        <v>184</v>
      </c>
      <c r="Q160" s="25" t="s">
        <v>184</v>
      </c>
      <c r="R160" s="25" t="s">
        <v>184</v>
      </c>
    </row>
    <row r="161" spans="1:18" ht="12.75" hidden="1">
      <c r="A161" s="20" t="s">
        <v>26</v>
      </c>
      <c r="B161" s="20"/>
      <c r="C161" s="26" t="s">
        <v>30</v>
      </c>
      <c r="D161" s="26" t="s">
        <v>30</v>
      </c>
      <c r="E161" s="26" t="s">
        <v>30</v>
      </c>
      <c r="F161" s="26" t="s">
        <v>30</v>
      </c>
      <c r="G161" s="26" t="s">
        <v>30</v>
      </c>
      <c r="H161" s="26" t="s">
        <v>30</v>
      </c>
      <c r="I161" s="26" t="s">
        <v>30</v>
      </c>
      <c r="J161" s="26" t="s">
        <v>30</v>
      </c>
      <c r="K161" s="26" t="s">
        <v>30</v>
      </c>
      <c r="L161" s="26" t="s">
        <v>30</v>
      </c>
      <c r="M161" s="26" t="s">
        <v>30</v>
      </c>
      <c r="N161" s="26" t="s">
        <v>30</v>
      </c>
      <c r="O161" s="26" t="s">
        <v>30</v>
      </c>
      <c r="P161" s="26" t="s">
        <v>30</v>
      </c>
      <c r="Q161" s="26" t="s">
        <v>30</v>
      </c>
      <c r="R161" s="26" t="s">
        <v>30</v>
      </c>
    </row>
    <row r="162" spans="1:18" ht="12.75" hidden="1">
      <c r="A162" s="20" t="s">
        <v>247</v>
      </c>
      <c r="B162" s="20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2.75" hidden="1">
      <c r="A163" s="20" t="s">
        <v>248</v>
      </c>
      <c r="B163" s="20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2.75" hidden="1">
      <c r="A164" s="21" t="s">
        <v>249</v>
      </c>
      <c r="B164" s="2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ht="12.75" hidden="1"/>
    <row r="167" spans="1:18" ht="12.75">
      <c r="A167" s="22" t="s">
        <v>250</v>
      </c>
      <c r="B167" s="22" t="s">
        <v>186</v>
      </c>
      <c r="C167" s="37">
        <f aca="true" t="shared" si="4" ref="C167:R167">IF((Attenuation_Half_Life_Species_5)&lt;&gt;"No Decay",LN(2)/((Attenuation_Half_Life_Species_5)*s_per_day),0)</f>
        <v>0</v>
      </c>
      <c r="D167" s="37">
        <f t="shared" si="4"/>
        <v>0</v>
      </c>
      <c r="E167" s="37">
        <f t="shared" si="4"/>
        <v>0</v>
      </c>
      <c r="F167" s="37">
        <f t="shared" si="4"/>
        <v>0</v>
      </c>
      <c r="G167" s="37">
        <f t="shared" si="4"/>
        <v>0</v>
      </c>
      <c r="H167" s="37">
        <f t="shared" si="4"/>
        <v>0</v>
      </c>
      <c r="I167" s="37">
        <f t="shared" si="4"/>
        <v>0</v>
      </c>
      <c r="J167" s="37">
        <f t="shared" si="4"/>
        <v>0</v>
      </c>
      <c r="K167" s="37">
        <f t="shared" si="4"/>
        <v>0</v>
      </c>
      <c r="L167" s="37">
        <f t="shared" si="4"/>
        <v>0</v>
      </c>
      <c r="M167" s="37">
        <f t="shared" si="4"/>
        <v>0</v>
      </c>
      <c r="N167" s="37">
        <f t="shared" si="4"/>
        <v>0</v>
      </c>
      <c r="O167" s="37">
        <f t="shared" si="4"/>
        <v>0</v>
      </c>
      <c r="P167" s="37">
        <f t="shared" si="4"/>
        <v>0</v>
      </c>
      <c r="Q167" s="37">
        <f t="shared" si="4"/>
        <v>0</v>
      </c>
      <c r="R167" s="37">
        <f t="shared" si="4"/>
        <v>0</v>
      </c>
    </row>
    <row r="168" spans="1:18" ht="12.75" hidden="1">
      <c r="A168" s="20" t="s">
        <v>26</v>
      </c>
      <c r="B168" s="20"/>
      <c r="C168" s="26" t="s">
        <v>30</v>
      </c>
      <c r="D168" s="26" t="s">
        <v>30</v>
      </c>
      <c r="E168" s="26" t="s">
        <v>30</v>
      </c>
      <c r="F168" s="26" t="s">
        <v>30</v>
      </c>
      <c r="G168" s="26" t="s">
        <v>30</v>
      </c>
      <c r="H168" s="26" t="s">
        <v>30</v>
      </c>
      <c r="I168" s="26" t="s">
        <v>30</v>
      </c>
      <c r="J168" s="26" t="s">
        <v>30</v>
      </c>
      <c r="K168" s="26" t="s">
        <v>30</v>
      </c>
      <c r="L168" s="26" t="s">
        <v>30</v>
      </c>
      <c r="M168" s="26" t="s">
        <v>30</v>
      </c>
      <c r="N168" s="26" t="s">
        <v>30</v>
      </c>
      <c r="O168" s="26" t="s">
        <v>30</v>
      </c>
      <c r="P168" s="26" t="s">
        <v>30</v>
      </c>
      <c r="Q168" s="26" t="s">
        <v>30</v>
      </c>
      <c r="R168" s="26" t="s">
        <v>30</v>
      </c>
    </row>
    <row r="169" spans="1:18" ht="12.75" hidden="1">
      <c r="A169" s="20" t="s">
        <v>251</v>
      </c>
      <c r="B169" s="20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ht="12.75" hidden="1">
      <c r="A170" s="20" t="s">
        <v>252</v>
      </c>
      <c r="B170" s="20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ht="12.75" hidden="1">
      <c r="A171" s="21" t="s">
        <v>253</v>
      </c>
      <c r="B171" s="21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ht="12.75" hidden="1"/>
    <row r="174" ht="12.75">
      <c r="A174" s="31" t="str">
        <f>IF((Contaminants_Source_determinand_names Contaminants_Species6)=0,"Undefined",(Contaminants_Source_determinand_names Contaminants_Species6))</f>
        <v>Phenol</v>
      </c>
    </row>
    <row r="176" spans="1:18" ht="12.75">
      <c r="A176" s="22" t="s">
        <v>254</v>
      </c>
      <c r="B176" s="22" t="s">
        <v>37</v>
      </c>
      <c r="C176" s="37">
        <f>(Attenuation_Fraction_organic_carbon)*(Contaminants_Organic_Carbon_Water_Partition_Coefficient_Koc Contaminants_Species6)</f>
        <v>1.35</v>
      </c>
      <c r="D176" s="37">
        <f>(Attenuation_Fraction_organic_carbon)*(Contaminants_Organic_Carbon_Water_Partition_Coefficient_Koc Contaminants_Species6)</f>
        <v>0.054</v>
      </c>
      <c r="E176" s="37">
        <f>(Attenuation_Fraction_organic_carbon)*(Contaminants_Organic_Carbon_Water_Partition_Coefficient_Koc Contaminants_Species6)</f>
        <v>0</v>
      </c>
      <c r="F176" s="37">
        <f>(Attenuation_Fraction_organic_carbon)*(Contaminants_Organic_Carbon_Water_Partition_Coefficient_Koc Contaminants_Species6)</f>
        <v>0</v>
      </c>
      <c r="G176" s="37">
        <f>(Attenuation_Fraction_organic_carbon)*(Contaminants_Organic_Carbon_Water_Partition_Coefficient_Koc Contaminants_Species6)</f>
        <v>0</v>
      </c>
      <c r="H176" s="37">
        <f>(Attenuation_Fraction_organic_carbon)*(Contaminants_Organic_Carbon_Water_Partition_Coefficient_Koc Contaminants_Species6)</f>
        <v>0</v>
      </c>
      <c r="I176" s="37">
        <f>(Attenuation_Fraction_organic_carbon)*(Contaminants_Organic_Carbon_Water_Partition_Coefficient_Koc Contaminants_Species6)</f>
        <v>0</v>
      </c>
      <c r="J176" s="37">
        <f>(Attenuation_Fraction_organic_carbon)*(Contaminants_Organic_Carbon_Water_Partition_Coefficient_Koc Contaminants_Species6)</f>
        <v>0</v>
      </c>
      <c r="K176" s="37">
        <f>(Attenuation_Fraction_organic_carbon)*(Contaminants_Organic_Carbon_Water_Partition_Coefficient_Koc Contaminants_Species6)</f>
        <v>0</v>
      </c>
      <c r="L176" s="37">
        <f>(Attenuation_Fraction_organic_carbon)*(Contaminants_Organic_Carbon_Water_Partition_Coefficient_Koc Contaminants_Species6)</f>
        <v>0</v>
      </c>
      <c r="M176" s="37">
        <f>(Attenuation_Fraction_organic_carbon)*(Contaminants_Organic_Carbon_Water_Partition_Coefficient_Koc Contaminants_Species6)</f>
        <v>0</v>
      </c>
      <c r="N176" s="37">
        <f>(Attenuation_Fraction_organic_carbon)*(Contaminants_Organic_Carbon_Water_Partition_Coefficient_Koc Contaminants_Species6)</f>
        <v>0</v>
      </c>
      <c r="O176" s="37">
        <f>(Attenuation_Fraction_organic_carbon)*(Contaminants_Organic_Carbon_Water_Partition_Coefficient_Koc Contaminants_Species6)</f>
        <v>0</v>
      </c>
      <c r="P176" s="37">
        <f>(Attenuation_Fraction_organic_carbon)*(Contaminants_Organic_Carbon_Water_Partition_Coefficient_Koc Contaminants_Species6)</f>
        <v>0</v>
      </c>
      <c r="Q176" s="37">
        <f>(Attenuation_Fraction_organic_carbon)*(Contaminants_Organic_Carbon_Water_Partition_Coefficient_Koc Contaminants_Species6)</f>
        <v>0</v>
      </c>
      <c r="R176" s="37">
        <f>(Attenuation_Fraction_organic_carbon)*(Contaminants_Organic_Carbon_Water_Partition_Coefficient_Koc Contaminants_Species6)</f>
        <v>0</v>
      </c>
    </row>
    <row r="177" spans="1:18" ht="12.75" hidden="1">
      <c r="A177" s="20" t="s">
        <v>26</v>
      </c>
      <c r="B177" s="20"/>
      <c r="C177" s="26" t="s">
        <v>30</v>
      </c>
      <c r="D177" s="26" t="s">
        <v>30</v>
      </c>
      <c r="E177" s="26" t="s">
        <v>30</v>
      </c>
      <c r="F177" s="26" t="s">
        <v>30</v>
      </c>
      <c r="G177" s="26" t="s">
        <v>30</v>
      </c>
      <c r="H177" s="26" t="s">
        <v>30</v>
      </c>
      <c r="I177" s="26" t="s">
        <v>30</v>
      </c>
      <c r="J177" s="26" t="s">
        <v>30</v>
      </c>
      <c r="K177" s="26" t="s">
        <v>30</v>
      </c>
      <c r="L177" s="26" t="s">
        <v>30</v>
      </c>
      <c r="M177" s="26" t="s">
        <v>30</v>
      </c>
      <c r="N177" s="26" t="s">
        <v>30</v>
      </c>
      <c r="O177" s="26" t="s">
        <v>30</v>
      </c>
      <c r="P177" s="26" t="s">
        <v>30</v>
      </c>
      <c r="Q177" s="26" t="s">
        <v>30</v>
      </c>
      <c r="R177" s="26" t="s">
        <v>30</v>
      </c>
    </row>
    <row r="178" spans="1:18" ht="12.75" hidden="1">
      <c r="A178" s="20" t="s">
        <v>255</v>
      </c>
      <c r="B178" s="20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.75" hidden="1">
      <c r="A179" s="20" t="s">
        <v>256</v>
      </c>
      <c r="B179" s="20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2.75" hidden="1">
      <c r="A180" s="21" t="s">
        <v>257</v>
      </c>
      <c r="B180" s="21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ht="12.75" hidden="1"/>
    <row r="183" spans="1:18" ht="12.75">
      <c r="A183" s="22" t="s">
        <v>258</v>
      </c>
      <c r="B183" s="22" t="s">
        <v>32</v>
      </c>
      <c r="C183" s="37">
        <f>1+0.001*(Attenuation_Partition_Coefficient_Kd_Species_6)*(Attenuation_Dry_bulk_density)/(Hydrogeology_Porosity Hydrogeology!$C:$C)</f>
        <v>7.75</v>
      </c>
      <c r="D183" s="37">
        <f>1+0.001*(Attenuation_Partition_Coefficient_Kd_Species_6)*(Attenuation_Dry_bulk_density)/(Hydrogeology_Porosity Hydrogeology!$D:$D)</f>
        <v>1.2442857142857142</v>
      </c>
      <c r="E183" s="37" t="e">
        <f>1+0.001*(Attenuation_Partition_Coefficient_Kd_Species_6)*(Attenuation_Dry_bulk_density)/(Hydrogeology_Porosity Hydrogeology!$E:$E)</f>
        <v>#DIV/0!</v>
      </c>
      <c r="F183" s="37" t="e">
        <f>1+0.001*(Attenuation_Partition_Coefficient_Kd_Species_6)*(Attenuation_Dry_bulk_density)/(Hydrogeology_Porosity Hydrogeology!$F:$F)</f>
        <v>#DIV/0!</v>
      </c>
      <c r="G183" s="37" t="e">
        <f>1+0.001*(Attenuation_Partition_Coefficient_Kd_Species_6)*(Attenuation_Dry_bulk_density)/(Hydrogeology_Porosity Hydrogeology!$G:$G)</f>
        <v>#DIV/0!</v>
      </c>
      <c r="H183" s="37" t="e">
        <f>1+0.001*(Attenuation_Partition_Coefficient_Kd_Species_6)*(Attenuation_Dry_bulk_density)/(Hydrogeology_Porosity Hydrogeology!$H:$H)</f>
        <v>#DIV/0!</v>
      </c>
      <c r="I183" s="37" t="e">
        <f>1+0.001*(Attenuation_Partition_Coefficient_Kd_Species_6)*(Attenuation_Dry_bulk_density)/(Hydrogeology_Porosity Hydrogeology!$I:$I)</f>
        <v>#DIV/0!</v>
      </c>
      <c r="J183" s="37" t="e">
        <f>1+0.001*(Attenuation_Partition_Coefficient_Kd_Species_6)*(Attenuation_Dry_bulk_density)/(Hydrogeology_Porosity Hydrogeology!$J:$J)</f>
        <v>#DIV/0!</v>
      </c>
      <c r="K183" s="37" t="e">
        <f>1+0.001*(Attenuation_Partition_Coefficient_Kd_Species_6)*(Attenuation_Dry_bulk_density)/(Hydrogeology_Porosity Hydrogeology!$K:$K)</f>
        <v>#DIV/0!</v>
      </c>
      <c r="L183" s="37" t="e">
        <f>1+0.001*(Attenuation_Partition_Coefficient_Kd_Species_6)*(Attenuation_Dry_bulk_density)/(Hydrogeology_Porosity Hydrogeology!$L:$L)</f>
        <v>#DIV/0!</v>
      </c>
      <c r="M183" s="37" t="e">
        <f>1+0.001*(Attenuation_Partition_Coefficient_Kd_Species_6)*(Attenuation_Dry_bulk_density)/(Hydrogeology_Porosity Hydrogeology!$M:$M)</f>
        <v>#DIV/0!</v>
      </c>
      <c r="N183" s="37" t="e">
        <f>1+0.001*(Attenuation_Partition_Coefficient_Kd_Species_6)*(Attenuation_Dry_bulk_density)/(Hydrogeology_Porosity Hydrogeology!$N:$N)</f>
        <v>#DIV/0!</v>
      </c>
      <c r="O183" s="37" t="e">
        <f>1+0.001*(Attenuation_Partition_Coefficient_Kd_Species_6)*(Attenuation_Dry_bulk_density)/(Hydrogeology_Porosity Hydrogeology!$O:$O)</f>
        <v>#DIV/0!</v>
      </c>
      <c r="P183" s="37" t="e">
        <f>1+0.001*(Attenuation_Partition_Coefficient_Kd_Species_6)*(Attenuation_Dry_bulk_density)/(Hydrogeology_Porosity Hydrogeology!$P:$P)</f>
        <v>#DIV/0!</v>
      </c>
      <c r="Q183" s="37" t="e">
        <f>1+0.001*(Attenuation_Partition_Coefficient_Kd_Species_6)*(Attenuation_Dry_bulk_density)/(Hydrogeology_Porosity Hydrogeology!$Q:$Q)</f>
        <v>#DIV/0!</v>
      </c>
      <c r="R183" s="37" t="e">
        <f>1+0.001*(Attenuation_Partition_Coefficient_Kd_Species_6)*(Attenuation_Dry_bulk_density)/(Hydrogeology_Porosity Hydrogeology!$R:$R)</f>
        <v>#DIV/0!</v>
      </c>
    </row>
    <row r="184" spans="1:18" ht="12.75" hidden="1">
      <c r="A184" s="20" t="s">
        <v>26</v>
      </c>
      <c r="B184" s="20"/>
      <c r="C184" s="26" t="s">
        <v>30</v>
      </c>
      <c r="D184" s="26" t="s">
        <v>30</v>
      </c>
      <c r="E184" s="26" t="s">
        <v>30</v>
      </c>
      <c r="F184" s="26" t="s">
        <v>30</v>
      </c>
      <c r="G184" s="26" t="s">
        <v>30</v>
      </c>
      <c r="H184" s="26" t="s">
        <v>30</v>
      </c>
      <c r="I184" s="26" t="s">
        <v>30</v>
      </c>
      <c r="J184" s="26" t="s">
        <v>30</v>
      </c>
      <c r="K184" s="26" t="s">
        <v>30</v>
      </c>
      <c r="L184" s="26" t="s">
        <v>30</v>
      </c>
      <c r="M184" s="26" t="s">
        <v>30</v>
      </c>
      <c r="N184" s="26" t="s">
        <v>30</v>
      </c>
      <c r="O184" s="26" t="s">
        <v>30</v>
      </c>
      <c r="P184" s="26" t="s">
        <v>30</v>
      </c>
      <c r="Q184" s="26" t="s">
        <v>30</v>
      </c>
      <c r="R184" s="26" t="s">
        <v>30</v>
      </c>
    </row>
    <row r="185" spans="1:18" ht="12.75" hidden="1">
      <c r="A185" s="20" t="s">
        <v>259</v>
      </c>
      <c r="B185" s="20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2.75" hidden="1">
      <c r="A186" s="20" t="s">
        <v>260</v>
      </c>
      <c r="B186" s="20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ht="12.75" hidden="1">
      <c r="A187" s="21" t="s">
        <v>261</v>
      </c>
      <c r="B187" s="21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ht="12.75" hidden="1"/>
    <row r="190" spans="1:18" ht="12.75">
      <c r="A190" s="22" t="s">
        <v>262</v>
      </c>
      <c r="B190" s="22" t="s">
        <v>180</v>
      </c>
      <c r="C190" s="25">
        <v>10</v>
      </c>
      <c r="D190" s="25">
        <v>10</v>
      </c>
      <c r="E190" s="25" t="s">
        <v>184</v>
      </c>
      <c r="F190" s="25" t="s">
        <v>184</v>
      </c>
      <c r="G190" s="25" t="s">
        <v>184</v>
      </c>
      <c r="H190" s="25" t="s">
        <v>184</v>
      </c>
      <c r="I190" s="25" t="s">
        <v>184</v>
      </c>
      <c r="J190" s="25" t="s">
        <v>184</v>
      </c>
      <c r="K190" s="25" t="s">
        <v>184</v>
      </c>
      <c r="L190" s="25" t="s">
        <v>184</v>
      </c>
      <c r="M190" s="25" t="s">
        <v>184</v>
      </c>
      <c r="N190" s="25" t="s">
        <v>184</v>
      </c>
      <c r="O190" s="25" t="s">
        <v>184</v>
      </c>
      <c r="P190" s="25" t="s">
        <v>184</v>
      </c>
      <c r="Q190" s="25" t="s">
        <v>184</v>
      </c>
      <c r="R190" s="25" t="s">
        <v>184</v>
      </c>
    </row>
    <row r="191" spans="1:18" ht="12.75" hidden="1">
      <c r="A191" s="20" t="s">
        <v>26</v>
      </c>
      <c r="B191" s="20"/>
      <c r="C191" s="26" t="s">
        <v>30</v>
      </c>
      <c r="D191" s="26" t="s">
        <v>30</v>
      </c>
      <c r="E191" s="26" t="s">
        <v>30</v>
      </c>
      <c r="F191" s="26" t="s">
        <v>30</v>
      </c>
      <c r="G191" s="26" t="s">
        <v>30</v>
      </c>
      <c r="H191" s="26" t="s">
        <v>30</v>
      </c>
      <c r="I191" s="26" t="s">
        <v>30</v>
      </c>
      <c r="J191" s="26" t="s">
        <v>30</v>
      </c>
      <c r="K191" s="26" t="s">
        <v>30</v>
      </c>
      <c r="L191" s="26" t="s">
        <v>30</v>
      </c>
      <c r="M191" s="26" t="s">
        <v>30</v>
      </c>
      <c r="N191" s="26" t="s">
        <v>30</v>
      </c>
      <c r="O191" s="26" t="s">
        <v>30</v>
      </c>
      <c r="P191" s="26" t="s">
        <v>30</v>
      </c>
      <c r="Q191" s="26" t="s">
        <v>30</v>
      </c>
      <c r="R191" s="26" t="s">
        <v>30</v>
      </c>
    </row>
    <row r="192" spans="1:18" ht="12.75" hidden="1">
      <c r="A192" s="20" t="s">
        <v>263</v>
      </c>
      <c r="B192" s="20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1:18" ht="12.75" hidden="1">
      <c r="A193" s="20" t="s">
        <v>264</v>
      </c>
      <c r="B193" s="20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1:18" ht="12.75" hidden="1">
      <c r="A194" s="21" t="s">
        <v>265</v>
      </c>
      <c r="B194" s="2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ht="12.75" hidden="1"/>
    <row r="197" spans="1:18" ht="12.75">
      <c r="A197" s="22" t="s">
        <v>266</v>
      </c>
      <c r="B197" s="22" t="s">
        <v>186</v>
      </c>
      <c r="C197" s="37">
        <f aca="true" t="shared" si="5" ref="C197:R197">IF((Attenuation_Half_Life_Species_6)&lt;&gt;"No Decay",LN(2)/((Attenuation_Half_Life_Species_6)*s_per_day),0)</f>
        <v>8.022536812036404E-07</v>
      </c>
      <c r="D197" s="37">
        <f t="shared" si="5"/>
        <v>8.022536812036404E-07</v>
      </c>
      <c r="E197" s="37">
        <f t="shared" si="5"/>
        <v>0</v>
      </c>
      <c r="F197" s="37">
        <f t="shared" si="5"/>
        <v>0</v>
      </c>
      <c r="G197" s="37">
        <f t="shared" si="5"/>
        <v>0</v>
      </c>
      <c r="H197" s="37">
        <f t="shared" si="5"/>
        <v>0</v>
      </c>
      <c r="I197" s="37">
        <f t="shared" si="5"/>
        <v>0</v>
      </c>
      <c r="J197" s="37">
        <f t="shared" si="5"/>
        <v>0</v>
      </c>
      <c r="K197" s="37">
        <f t="shared" si="5"/>
        <v>0</v>
      </c>
      <c r="L197" s="37">
        <f t="shared" si="5"/>
        <v>0</v>
      </c>
      <c r="M197" s="37">
        <f t="shared" si="5"/>
        <v>0</v>
      </c>
      <c r="N197" s="37">
        <f t="shared" si="5"/>
        <v>0</v>
      </c>
      <c r="O197" s="37">
        <f t="shared" si="5"/>
        <v>0</v>
      </c>
      <c r="P197" s="37">
        <f t="shared" si="5"/>
        <v>0</v>
      </c>
      <c r="Q197" s="37">
        <f t="shared" si="5"/>
        <v>0</v>
      </c>
      <c r="R197" s="37">
        <f t="shared" si="5"/>
        <v>0</v>
      </c>
    </row>
    <row r="198" spans="1:18" ht="12.75" hidden="1">
      <c r="A198" s="20" t="s">
        <v>26</v>
      </c>
      <c r="B198" s="20"/>
      <c r="C198" s="26" t="s">
        <v>30</v>
      </c>
      <c r="D198" s="26" t="s">
        <v>30</v>
      </c>
      <c r="E198" s="26" t="s">
        <v>30</v>
      </c>
      <c r="F198" s="26" t="s">
        <v>30</v>
      </c>
      <c r="G198" s="26" t="s">
        <v>30</v>
      </c>
      <c r="H198" s="26" t="s">
        <v>30</v>
      </c>
      <c r="I198" s="26" t="s">
        <v>30</v>
      </c>
      <c r="J198" s="26" t="s">
        <v>30</v>
      </c>
      <c r="K198" s="26" t="s">
        <v>30</v>
      </c>
      <c r="L198" s="26" t="s">
        <v>30</v>
      </c>
      <c r="M198" s="26" t="s">
        <v>30</v>
      </c>
      <c r="N198" s="26" t="s">
        <v>30</v>
      </c>
      <c r="O198" s="26" t="s">
        <v>30</v>
      </c>
      <c r="P198" s="26" t="s">
        <v>30</v>
      </c>
      <c r="Q198" s="26" t="s">
        <v>30</v>
      </c>
      <c r="R198" s="26" t="s">
        <v>30</v>
      </c>
    </row>
    <row r="199" spans="1:18" ht="12.75" hidden="1">
      <c r="A199" s="20" t="s">
        <v>267</v>
      </c>
      <c r="B199" s="20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1:18" ht="12.75" hidden="1">
      <c r="A200" s="20" t="s">
        <v>268</v>
      </c>
      <c r="B200" s="20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ht="12.75" hidden="1">
      <c r="A201" s="21" t="s">
        <v>269</v>
      </c>
      <c r="B201" s="2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ht="12.75" hidden="1"/>
    <row r="203" ht="12.75" hidden="1"/>
    <row r="204" ht="12.75" hidden="1">
      <c r="A204" s="31" t="str">
        <f>IF((Contaminants_Source_determinand_names Contaminants_Species7)=0,"Undefined",(Contaminants_Source_determinand_names Contaminants_Species7))</f>
        <v>Undefined</v>
      </c>
    </row>
    <row r="205" ht="12.75" hidden="1"/>
    <row r="206" spans="1:18" ht="12.75" hidden="1">
      <c r="A206" s="22" t="s">
        <v>270</v>
      </c>
      <c r="B206" s="22" t="s">
        <v>37</v>
      </c>
      <c r="C206" s="37">
        <f>(Attenuation_Fraction_organic_carbon)*(Contaminants_Organic_Carbon_Water_Partition_Coefficient_Koc Contaminants_Species7)</f>
        <v>0</v>
      </c>
      <c r="D206" s="37">
        <f>(Attenuation_Fraction_organic_carbon)*(Contaminants_Organic_Carbon_Water_Partition_Coefficient_Koc Contaminants_Species7)</f>
        <v>0</v>
      </c>
      <c r="E206" s="37">
        <f>(Attenuation_Fraction_organic_carbon)*(Contaminants_Organic_Carbon_Water_Partition_Coefficient_Koc Contaminants_Species7)</f>
        <v>0</v>
      </c>
      <c r="F206" s="37">
        <f>(Attenuation_Fraction_organic_carbon)*(Contaminants_Organic_Carbon_Water_Partition_Coefficient_Koc Contaminants_Species7)</f>
        <v>0</v>
      </c>
      <c r="G206" s="37">
        <f>(Attenuation_Fraction_organic_carbon)*(Contaminants_Organic_Carbon_Water_Partition_Coefficient_Koc Contaminants_Species7)</f>
        <v>0</v>
      </c>
      <c r="H206" s="37">
        <f>(Attenuation_Fraction_organic_carbon)*(Contaminants_Organic_Carbon_Water_Partition_Coefficient_Koc Contaminants_Species7)</f>
        <v>0</v>
      </c>
      <c r="I206" s="37">
        <f>(Attenuation_Fraction_organic_carbon)*(Contaminants_Organic_Carbon_Water_Partition_Coefficient_Koc Contaminants_Species7)</f>
        <v>0</v>
      </c>
      <c r="J206" s="37">
        <f>(Attenuation_Fraction_organic_carbon)*(Contaminants_Organic_Carbon_Water_Partition_Coefficient_Koc Contaminants_Species7)</f>
        <v>0</v>
      </c>
      <c r="K206" s="37">
        <f>(Attenuation_Fraction_organic_carbon)*(Contaminants_Organic_Carbon_Water_Partition_Coefficient_Koc Contaminants_Species7)</f>
        <v>0</v>
      </c>
      <c r="L206" s="37">
        <f>(Attenuation_Fraction_organic_carbon)*(Contaminants_Organic_Carbon_Water_Partition_Coefficient_Koc Contaminants_Species7)</f>
        <v>0</v>
      </c>
      <c r="M206" s="37">
        <f>(Attenuation_Fraction_organic_carbon)*(Contaminants_Organic_Carbon_Water_Partition_Coefficient_Koc Contaminants_Species7)</f>
        <v>0</v>
      </c>
      <c r="N206" s="37">
        <f>(Attenuation_Fraction_organic_carbon)*(Contaminants_Organic_Carbon_Water_Partition_Coefficient_Koc Contaminants_Species7)</f>
        <v>0</v>
      </c>
      <c r="O206" s="37">
        <f>(Attenuation_Fraction_organic_carbon)*(Contaminants_Organic_Carbon_Water_Partition_Coefficient_Koc Contaminants_Species7)</f>
        <v>0</v>
      </c>
      <c r="P206" s="37">
        <f>(Attenuation_Fraction_organic_carbon)*(Contaminants_Organic_Carbon_Water_Partition_Coefficient_Koc Contaminants_Species7)</f>
        <v>0</v>
      </c>
      <c r="Q206" s="37">
        <f>(Attenuation_Fraction_organic_carbon)*(Contaminants_Organic_Carbon_Water_Partition_Coefficient_Koc Contaminants_Species7)</f>
        <v>0</v>
      </c>
      <c r="R206" s="37">
        <f>(Attenuation_Fraction_organic_carbon)*(Contaminants_Organic_Carbon_Water_Partition_Coefficient_Koc Contaminants_Species7)</f>
        <v>0</v>
      </c>
    </row>
    <row r="207" spans="1:18" ht="12.75" hidden="1">
      <c r="A207" s="20" t="s">
        <v>26</v>
      </c>
      <c r="B207" s="20"/>
      <c r="C207" s="26" t="s">
        <v>30</v>
      </c>
      <c r="D207" s="26" t="s">
        <v>30</v>
      </c>
      <c r="E207" s="26" t="s">
        <v>30</v>
      </c>
      <c r="F207" s="26" t="s">
        <v>30</v>
      </c>
      <c r="G207" s="26" t="s">
        <v>30</v>
      </c>
      <c r="H207" s="26" t="s">
        <v>30</v>
      </c>
      <c r="I207" s="26" t="s">
        <v>30</v>
      </c>
      <c r="J207" s="26" t="s">
        <v>30</v>
      </c>
      <c r="K207" s="26" t="s">
        <v>30</v>
      </c>
      <c r="L207" s="26" t="s">
        <v>30</v>
      </c>
      <c r="M207" s="26" t="s">
        <v>30</v>
      </c>
      <c r="N207" s="26" t="s">
        <v>30</v>
      </c>
      <c r="O207" s="26" t="s">
        <v>30</v>
      </c>
      <c r="P207" s="26" t="s">
        <v>30</v>
      </c>
      <c r="Q207" s="26" t="s">
        <v>30</v>
      </c>
      <c r="R207" s="26" t="s">
        <v>30</v>
      </c>
    </row>
    <row r="208" spans="1:18" ht="12.75" hidden="1">
      <c r="A208" s="20" t="s">
        <v>271</v>
      </c>
      <c r="B208" s="20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1:18" ht="12.75" hidden="1">
      <c r="A209" s="20" t="s">
        <v>272</v>
      </c>
      <c r="B209" s="20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ht="12.75" hidden="1">
      <c r="A210" s="21" t="s">
        <v>273</v>
      </c>
      <c r="B210" s="2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ht="12.75" hidden="1"/>
    <row r="212" ht="12.75" hidden="1"/>
    <row r="213" spans="1:18" ht="12.75" hidden="1">
      <c r="A213" s="22" t="s">
        <v>274</v>
      </c>
      <c r="B213" s="22" t="s">
        <v>32</v>
      </c>
      <c r="C213" s="37">
        <f>1+0.001*(Attenuation_Partition_Coefficient_Kd_Species_7)*(Attenuation_Dry_bulk_density)/(Hydrogeology_Porosity Hydrogeology!$C:$C)</f>
        <v>1</v>
      </c>
      <c r="D213" s="37">
        <f>1+0.001*(Attenuation_Partition_Coefficient_Kd_Species_7)*(Attenuation_Dry_bulk_density)/(Hydrogeology_Porosity Hydrogeology!$D:$D)</f>
        <v>1</v>
      </c>
      <c r="E213" s="37" t="e">
        <f>1+0.001*(Attenuation_Partition_Coefficient_Kd_Species_7)*(Attenuation_Dry_bulk_density)/(Hydrogeology_Porosity Hydrogeology!$E:$E)</f>
        <v>#DIV/0!</v>
      </c>
      <c r="F213" s="37" t="e">
        <f>1+0.001*(Attenuation_Partition_Coefficient_Kd_Species_7)*(Attenuation_Dry_bulk_density)/(Hydrogeology_Porosity Hydrogeology!$F:$F)</f>
        <v>#DIV/0!</v>
      </c>
      <c r="G213" s="37" t="e">
        <f>1+0.001*(Attenuation_Partition_Coefficient_Kd_Species_7)*(Attenuation_Dry_bulk_density)/(Hydrogeology_Porosity Hydrogeology!$G:$G)</f>
        <v>#DIV/0!</v>
      </c>
      <c r="H213" s="37" t="e">
        <f>1+0.001*(Attenuation_Partition_Coefficient_Kd_Species_7)*(Attenuation_Dry_bulk_density)/(Hydrogeology_Porosity Hydrogeology!$H:$H)</f>
        <v>#DIV/0!</v>
      </c>
      <c r="I213" s="37" t="e">
        <f>1+0.001*(Attenuation_Partition_Coefficient_Kd_Species_7)*(Attenuation_Dry_bulk_density)/(Hydrogeology_Porosity Hydrogeology!$I:$I)</f>
        <v>#DIV/0!</v>
      </c>
      <c r="J213" s="37" t="e">
        <f>1+0.001*(Attenuation_Partition_Coefficient_Kd_Species_7)*(Attenuation_Dry_bulk_density)/(Hydrogeology_Porosity Hydrogeology!$J:$J)</f>
        <v>#DIV/0!</v>
      </c>
      <c r="K213" s="37" t="e">
        <f>1+0.001*(Attenuation_Partition_Coefficient_Kd_Species_7)*(Attenuation_Dry_bulk_density)/(Hydrogeology_Porosity Hydrogeology!$K:$K)</f>
        <v>#DIV/0!</v>
      </c>
      <c r="L213" s="37" t="e">
        <f>1+0.001*(Attenuation_Partition_Coefficient_Kd_Species_7)*(Attenuation_Dry_bulk_density)/(Hydrogeology_Porosity Hydrogeology!$L:$L)</f>
        <v>#DIV/0!</v>
      </c>
      <c r="M213" s="37" t="e">
        <f>1+0.001*(Attenuation_Partition_Coefficient_Kd_Species_7)*(Attenuation_Dry_bulk_density)/(Hydrogeology_Porosity Hydrogeology!$M:$M)</f>
        <v>#DIV/0!</v>
      </c>
      <c r="N213" s="37" t="e">
        <f>1+0.001*(Attenuation_Partition_Coefficient_Kd_Species_7)*(Attenuation_Dry_bulk_density)/(Hydrogeology_Porosity Hydrogeology!$N:$N)</f>
        <v>#DIV/0!</v>
      </c>
      <c r="O213" s="37" t="e">
        <f>1+0.001*(Attenuation_Partition_Coefficient_Kd_Species_7)*(Attenuation_Dry_bulk_density)/(Hydrogeology_Porosity Hydrogeology!$O:$O)</f>
        <v>#DIV/0!</v>
      </c>
      <c r="P213" s="37" t="e">
        <f>1+0.001*(Attenuation_Partition_Coefficient_Kd_Species_7)*(Attenuation_Dry_bulk_density)/(Hydrogeology_Porosity Hydrogeology!$P:$P)</f>
        <v>#DIV/0!</v>
      </c>
      <c r="Q213" s="37" t="e">
        <f>1+0.001*(Attenuation_Partition_Coefficient_Kd_Species_7)*(Attenuation_Dry_bulk_density)/(Hydrogeology_Porosity Hydrogeology!$Q:$Q)</f>
        <v>#DIV/0!</v>
      </c>
      <c r="R213" s="37" t="e">
        <f>1+0.001*(Attenuation_Partition_Coefficient_Kd_Species_7)*(Attenuation_Dry_bulk_density)/(Hydrogeology_Porosity Hydrogeology!$R:$R)</f>
        <v>#DIV/0!</v>
      </c>
    </row>
    <row r="214" spans="1:18" ht="12.75" hidden="1">
      <c r="A214" s="20" t="s">
        <v>26</v>
      </c>
      <c r="B214" s="20"/>
      <c r="C214" s="26" t="s">
        <v>30</v>
      </c>
      <c r="D214" s="26" t="s">
        <v>30</v>
      </c>
      <c r="E214" s="26" t="s">
        <v>30</v>
      </c>
      <c r="F214" s="26" t="s">
        <v>30</v>
      </c>
      <c r="G214" s="26" t="s">
        <v>30</v>
      </c>
      <c r="H214" s="26" t="s">
        <v>30</v>
      </c>
      <c r="I214" s="26" t="s">
        <v>30</v>
      </c>
      <c r="J214" s="26" t="s">
        <v>30</v>
      </c>
      <c r="K214" s="26" t="s">
        <v>30</v>
      </c>
      <c r="L214" s="26" t="s">
        <v>30</v>
      </c>
      <c r="M214" s="26" t="s">
        <v>30</v>
      </c>
      <c r="N214" s="26" t="s">
        <v>30</v>
      </c>
      <c r="O214" s="26" t="s">
        <v>30</v>
      </c>
      <c r="P214" s="26" t="s">
        <v>30</v>
      </c>
      <c r="Q214" s="26" t="s">
        <v>30</v>
      </c>
      <c r="R214" s="26" t="s">
        <v>30</v>
      </c>
    </row>
    <row r="215" spans="1:18" ht="12.75" hidden="1">
      <c r="A215" s="20" t="s">
        <v>275</v>
      </c>
      <c r="B215" s="20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1:18" ht="12.75" hidden="1">
      <c r="A216" s="20" t="s">
        <v>276</v>
      </c>
      <c r="B216" s="20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1:18" ht="12.75" hidden="1">
      <c r="A217" s="21" t="s">
        <v>277</v>
      </c>
      <c r="B217" s="2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ht="12.75" hidden="1"/>
    <row r="219" ht="12.75" hidden="1"/>
    <row r="220" spans="1:18" ht="12.75" hidden="1">
      <c r="A220" s="22" t="s">
        <v>278</v>
      </c>
      <c r="B220" s="22" t="s">
        <v>180</v>
      </c>
      <c r="C220" s="25" t="s">
        <v>184</v>
      </c>
      <c r="D220" s="25" t="s">
        <v>184</v>
      </c>
      <c r="E220" s="25" t="s">
        <v>184</v>
      </c>
      <c r="F220" s="25" t="s">
        <v>184</v>
      </c>
      <c r="G220" s="25" t="s">
        <v>184</v>
      </c>
      <c r="H220" s="25" t="s">
        <v>184</v>
      </c>
      <c r="I220" s="25" t="s">
        <v>184</v>
      </c>
      <c r="J220" s="25" t="s">
        <v>184</v>
      </c>
      <c r="K220" s="25" t="s">
        <v>184</v>
      </c>
      <c r="L220" s="25" t="s">
        <v>184</v>
      </c>
      <c r="M220" s="25" t="s">
        <v>184</v>
      </c>
      <c r="N220" s="25" t="s">
        <v>184</v>
      </c>
      <c r="O220" s="25" t="s">
        <v>184</v>
      </c>
      <c r="P220" s="25" t="s">
        <v>184</v>
      </c>
      <c r="Q220" s="25" t="s">
        <v>184</v>
      </c>
      <c r="R220" s="25" t="s">
        <v>184</v>
      </c>
    </row>
    <row r="221" spans="1:18" ht="12.75" hidden="1">
      <c r="A221" s="20" t="s">
        <v>26</v>
      </c>
      <c r="B221" s="20"/>
      <c r="C221" s="26" t="s">
        <v>30</v>
      </c>
      <c r="D221" s="26" t="s">
        <v>30</v>
      </c>
      <c r="E221" s="26" t="s">
        <v>30</v>
      </c>
      <c r="F221" s="26" t="s">
        <v>30</v>
      </c>
      <c r="G221" s="26" t="s">
        <v>30</v>
      </c>
      <c r="H221" s="26" t="s">
        <v>30</v>
      </c>
      <c r="I221" s="26" t="s">
        <v>30</v>
      </c>
      <c r="J221" s="26" t="s">
        <v>30</v>
      </c>
      <c r="K221" s="26" t="s">
        <v>30</v>
      </c>
      <c r="L221" s="26" t="s">
        <v>30</v>
      </c>
      <c r="M221" s="26" t="s">
        <v>30</v>
      </c>
      <c r="N221" s="26" t="s">
        <v>30</v>
      </c>
      <c r="O221" s="26" t="s">
        <v>30</v>
      </c>
      <c r="P221" s="26" t="s">
        <v>30</v>
      </c>
      <c r="Q221" s="26" t="s">
        <v>30</v>
      </c>
      <c r="R221" s="26" t="s">
        <v>30</v>
      </c>
    </row>
    <row r="222" spans="1:18" ht="12.75" hidden="1">
      <c r="A222" s="20" t="s">
        <v>279</v>
      </c>
      <c r="B222" s="20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1:18" ht="12.75" hidden="1">
      <c r="A223" s="20" t="s">
        <v>280</v>
      </c>
      <c r="B223" s="20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ht="12.75" hidden="1">
      <c r="A224" s="21" t="s">
        <v>281</v>
      </c>
      <c r="B224" s="2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ht="12.75" hidden="1"/>
    <row r="226" ht="12.75" hidden="1"/>
    <row r="227" spans="1:18" ht="12.75" hidden="1">
      <c r="A227" s="22" t="s">
        <v>282</v>
      </c>
      <c r="B227" s="22" t="s">
        <v>186</v>
      </c>
      <c r="C227" s="37">
        <f aca="true" t="shared" si="6" ref="C227:R227">IF((Attenuation_Half_Life_Species_7)&lt;&gt;"No Decay",LN(2)/((Attenuation_Half_Life_Species_7)*s_per_day),0)</f>
        <v>0</v>
      </c>
      <c r="D227" s="37">
        <f t="shared" si="6"/>
        <v>0</v>
      </c>
      <c r="E227" s="37">
        <f t="shared" si="6"/>
        <v>0</v>
      </c>
      <c r="F227" s="37">
        <f t="shared" si="6"/>
        <v>0</v>
      </c>
      <c r="G227" s="37">
        <f t="shared" si="6"/>
        <v>0</v>
      </c>
      <c r="H227" s="37">
        <f t="shared" si="6"/>
        <v>0</v>
      </c>
      <c r="I227" s="37">
        <f t="shared" si="6"/>
        <v>0</v>
      </c>
      <c r="J227" s="37">
        <f t="shared" si="6"/>
        <v>0</v>
      </c>
      <c r="K227" s="37">
        <f t="shared" si="6"/>
        <v>0</v>
      </c>
      <c r="L227" s="37">
        <f t="shared" si="6"/>
        <v>0</v>
      </c>
      <c r="M227" s="37">
        <f t="shared" si="6"/>
        <v>0</v>
      </c>
      <c r="N227" s="37">
        <f t="shared" si="6"/>
        <v>0</v>
      </c>
      <c r="O227" s="37">
        <f t="shared" si="6"/>
        <v>0</v>
      </c>
      <c r="P227" s="37">
        <f t="shared" si="6"/>
        <v>0</v>
      </c>
      <c r="Q227" s="37">
        <f t="shared" si="6"/>
        <v>0</v>
      </c>
      <c r="R227" s="37">
        <f t="shared" si="6"/>
        <v>0</v>
      </c>
    </row>
    <row r="228" spans="1:18" ht="12.75" hidden="1">
      <c r="A228" s="20" t="s">
        <v>26</v>
      </c>
      <c r="B228" s="20"/>
      <c r="C228" s="26" t="s">
        <v>30</v>
      </c>
      <c r="D228" s="26" t="s">
        <v>30</v>
      </c>
      <c r="E228" s="26" t="s">
        <v>30</v>
      </c>
      <c r="F228" s="26" t="s">
        <v>30</v>
      </c>
      <c r="G228" s="26" t="s">
        <v>30</v>
      </c>
      <c r="H228" s="26" t="s">
        <v>30</v>
      </c>
      <c r="I228" s="26" t="s">
        <v>30</v>
      </c>
      <c r="J228" s="26" t="s">
        <v>30</v>
      </c>
      <c r="K228" s="26" t="s">
        <v>30</v>
      </c>
      <c r="L228" s="26" t="s">
        <v>30</v>
      </c>
      <c r="M228" s="26" t="s">
        <v>30</v>
      </c>
      <c r="N228" s="26" t="s">
        <v>30</v>
      </c>
      <c r="O228" s="26" t="s">
        <v>30</v>
      </c>
      <c r="P228" s="26" t="s">
        <v>30</v>
      </c>
      <c r="Q228" s="26" t="s">
        <v>30</v>
      </c>
      <c r="R228" s="26" t="s">
        <v>30</v>
      </c>
    </row>
    <row r="229" spans="1:18" ht="12.75" hidden="1">
      <c r="A229" s="20" t="s">
        <v>283</v>
      </c>
      <c r="B229" s="20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18" ht="12.75" hidden="1">
      <c r="A230" s="20" t="s">
        <v>284</v>
      </c>
      <c r="B230" s="20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ht="12.75" hidden="1">
      <c r="A231" s="21" t="s">
        <v>285</v>
      </c>
      <c r="B231" s="2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ht="12.75" hidden="1"/>
    <row r="233" ht="12.75" hidden="1"/>
    <row r="234" ht="12.75" hidden="1">
      <c r="A234" s="31" t="str">
        <f>IF((Contaminants_Source_determinand_names Contaminants_Species8)=0,"Undefined",(Contaminants_Source_determinand_names Contaminants_Species8))</f>
        <v>Undefined</v>
      </c>
    </row>
    <row r="235" ht="12.75" hidden="1"/>
    <row r="236" spans="1:18" ht="12.75" hidden="1">
      <c r="A236" s="22" t="s">
        <v>286</v>
      </c>
      <c r="B236" s="22" t="s">
        <v>37</v>
      </c>
      <c r="C236" s="37">
        <f>(Attenuation_Fraction_organic_carbon)*(Contaminants_Organic_Carbon_Water_Partition_Coefficient_Koc Contaminants_Species8)</f>
        <v>0</v>
      </c>
      <c r="D236" s="37">
        <f>(Attenuation_Fraction_organic_carbon)*(Contaminants_Organic_Carbon_Water_Partition_Coefficient_Koc Contaminants_Species8)</f>
        <v>0</v>
      </c>
      <c r="E236" s="37">
        <f>(Attenuation_Fraction_organic_carbon)*(Contaminants_Organic_Carbon_Water_Partition_Coefficient_Koc Contaminants_Species8)</f>
        <v>0</v>
      </c>
      <c r="F236" s="37">
        <f>(Attenuation_Fraction_organic_carbon)*(Contaminants_Organic_Carbon_Water_Partition_Coefficient_Koc Contaminants_Species8)</f>
        <v>0</v>
      </c>
      <c r="G236" s="37">
        <f>(Attenuation_Fraction_organic_carbon)*(Contaminants_Organic_Carbon_Water_Partition_Coefficient_Koc Contaminants_Species8)</f>
        <v>0</v>
      </c>
      <c r="H236" s="37">
        <f>(Attenuation_Fraction_organic_carbon)*(Contaminants_Organic_Carbon_Water_Partition_Coefficient_Koc Contaminants_Species8)</f>
        <v>0</v>
      </c>
      <c r="I236" s="37">
        <f>(Attenuation_Fraction_organic_carbon)*(Contaminants_Organic_Carbon_Water_Partition_Coefficient_Koc Contaminants_Species8)</f>
        <v>0</v>
      </c>
      <c r="J236" s="37">
        <f>(Attenuation_Fraction_organic_carbon)*(Contaminants_Organic_Carbon_Water_Partition_Coefficient_Koc Contaminants_Species8)</f>
        <v>0</v>
      </c>
      <c r="K236" s="37">
        <f>(Attenuation_Fraction_organic_carbon)*(Contaminants_Organic_Carbon_Water_Partition_Coefficient_Koc Contaminants_Species8)</f>
        <v>0</v>
      </c>
      <c r="L236" s="37">
        <f>(Attenuation_Fraction_organic_carbon)*(Contaminants_Organic_Carbon_Water_Partition_Coefficient_Koc Contaminants_Species8)</f>
        <v>0</v>
      </c>
      <c r="M236" s="37">
        <f>(Attenuation_Fraction_organic_carbon)*(Contaminants_Organic_Carbon_Water_Partition_Coefficient_Koc Contaminants_Species8)</f>
        <v>0</v>
      </c>
      <c r="N236" s="37">
        <f>(Attenuation_Fraction_organic_carbon)*(Contaminants_Organic_Carbon_Water_Partition_Coefficient_Koc Contaminants_Species8)</f>
        <v>0</v>
      </c>
      <c r="O236" s="37">
        <f>(Attenuation_Fraction_organic_carbon)*(Contaminants_Organic_Carbon_Water_Partition_Coefficient_Koc Contaminants_Species8)</f>
        <v>0</v>
      </c>
      <c r="P236" s="37">
        <f>(Attenuation_Fraction_organic_carbon)*(Contaminants_Organic_Carbon_Water_Partition_Coefficient_Koc Contaminants_Species8)</f>
        <v>0</v>
      </c>
      <c r="Q236" s="37">
        <f>(Attenuation_Fraction_organic_carbon)*(Contaminants_Organic_Carbon_Water_Partition_Coefficient_Koc Contaminants_Species8)</f>
        <v>0</v>
      </c>
      <c r="R236" s="37">
        <f>(Attenuation_Fraction_organic_carbon)*(Contaminants_Organic_Carbon_Water_Partition_Coefficient_Koc Contaminants_Species8)</f>
        <v>0</v>
      </c>
    </row>
    <row r="237" spans="1:18" ht="12.75" hidden="1">
      <c r="A237" s="20" t="s">
        <v>26</v>
      </c>
      <c r="B237" s="20"/>
      <c r="C237" s="26" t="s">
        <v>30</v>
      </c>
      <c r="D237" s="26" t="s">
        <v>30</v>
      </c>
      <c r="E237" s="26" t="s">
        <v>30</v>
      </c>
      <c r="F237" s="26" t="s">
        <v>30</v>
      </c>
      <c r="G237" s="26" t="s">
        <v>30</v>
      </c>
      <c r="H237" s="26" t="s">
        <v>30</v>
      </c>
      <c r="I237" s="26" t="s">
        <v>30</v>
      </c>
      <c r="J237" s="26" t="s">
        <v>30</v>
      </c>
      <c r="K237" s="26" t="s">
        <v>30</v>
      </c>
      <c r="L237" s="26" t="s">
        <v>30</v>
      </c>
      <c r="M237" s="26" t="s">
        <v>30</v>
      </c>
      <c r="N237" s="26" t="s">
        <v>30</v>
      </c>
      <c r="O237" s="26" t="s">
        <v>30</v>
      </c>
      <c r="P237" s="26" t="s">
        <v>30</v>
      </c>
      <c r="Q237" s="26" t="s">
        <v>30</v>
      </c>
      <c r="R237" s="26" t="s">
        <v>30</v>
      </c>
    </row>
    <row r="238" spans="1:18" ht="12.75" hidden="1">
      <c r="A238" s="20" t="s">
        <v>287</v>
      </c>
      <c r="B238" s="20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18" ht="12.75" hidden="1">
      <c r="A239" s="20" t="s">
        <v>288</v>
      </c>
      <c r="B239" s="20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12.75" hidden="1">
      <c r="A240" s="21" t="s">
        <v>289</v>
      </c>
      <c r="B240" s="2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ht="12.75" hidden="1"/>
    <row r="242" ht="12.75" hidden="1"/>
    <row r="243" spans="1:18" ht="12.75" hidden="1">
      <c r="A243" s="22" t="s">
        <v>290</v>
      </c>
      <c r="B243" s="22" t="s">
        <v>32</v>
      </c>
      <c r="C243" s="37">
        <f>1+0.001*(Attenuation_Partition_Coefficient_Kd_Species_8)*(Attenuation_Dry_bulk_density)/(Hydrogeology_Porosity Hydrogeology!$C:$C)</f>
        <v>1</v>
      </c>
      <c r="D243" s="37">
        <f>1+0.001*(Attenuation_Partition_Coefficient_Kd_Species_8)*(Attenuation_Dry_bulk_density)/(Hydrogeology_Porosity Hydrogeology!$D:$D)</f>
        <v>1</v>
      </c>
      <c r="E243" s="37" t="e">
        <f>1+0.001*(Attenuation_Partition_Coefficient_Kd_Species_8)*(Attenuation_Dry_bulk_density)/(Hydrogeology_Porosity Hydrogeology!$E:$E)</f>
        <v>#DIV/0!</v>
      </c>
      <c r="F243" s="37" t="e">
        <f>1+0.001*(Attenuation_Partition_Coefficient_Kd_Species_8)*(Attenuation_Dry_bulk_density)/(Hydrogeology_Porosity Hydrogeology!$F:$F)</f>
        <v>#DIV/0!</v>
      </c>
      <c r="G243" s="37" t="e">
        <f>1+0.001*(Attenuation_Partition_Coefficient_Kd_Species_8)*(Attenuation_Dry_bulk_density)/(Hydrogeology_Porosity Hydrogeology!$G:$G)</f>
        <v>#DIV/0!</v>
      </c>
      <c r="H243" s="37" t="e">
        <f>1+0.001*(Attenuation_Partition_Coefficient_Kd_Species_8)*(Attenuation_Dry_bulk_density)/(Hydrogeology_Porosity Hydrogeology!$H:$H)</f>
        <v>#DIV/0!</v>
      </c>
      <c r="I243" s="37" t="e">
        <f>1+0.001*(Attenuation_Partition_Coefficient_Kd_Species_8)*(Attenuation_Dry_bulk_density)/(Hydrogeology_Porosity Hydrogeology!$I:$I)</f>
        <v>#DIV/0!</v>
      </c>
      <c r="J243" s="37" t="e">
        <f>1+0.001*(Attenuation_Partition_Coefficient_Kd_Species_8)*(Attenuation_Dry_bulk_density)/(Hydrogeology_Porosity Hydrogeology!$J:$J)</f>
        <v>#DIV/0!</v>
      </c>
      <c r="K243" s="37" t="e">
        <f>1+0.001*(Attenuation_Partition_Coefficient_Kd_Species_8)*(Attenuation_Dry_bulk_density)/(Hydrogeology_Porosity Hydrogeology!$K:$K)</f>
        <v>#DIV/0!</v>
      </c>
      <c r="L243" s="37" t="e">
        <f>1+0.001*(Attenuation_Partition_Coefficient_Kd_Species_8)*(Attenuation_Dry_bulk_density)/(Hydrogeology_Porosity Hydrogeology!$L:$L)</f>
        <v>#DIV/0!</v>
      </c>
      <c r="M243" s="37" t="e">
        <f>1+0.001*(Attenuation_Partition_Coefficient_Kd_Species_8)*(Attenuation_Dry_bulk_density)/(Hydrogeology_Porosity Hydrogeology!$M:$M)</f>
        <v>#DIV/0!</v>
      </c>
      <c r="N243" s="37" t="e">
        <f>1+0.001*(Attenuation_Partition_Coefficient_Kd_Species_8)*(Attenuation_Dry_bulk_density)/(Hydrogeology_Porosity Hydrogeology!$N:$N)</f>
        <v>#DIV/0!</v>
      </c>
      <c r="O243" s="37" t="e">
        <f>1+0.001*(Attenuation_Partition_Coefficient_Kd_Species_8)*(Attenuation_Dry_bulk_density)/(Hydrogeology_Porosity Hydrogeology!$O:$O)</f>
        <v>#DIV/0!</v>
      </c>
      <c r="P243" s="37" t="e">
        <f>1+0.001*(Attenuation_Partition_Coefficient_Kd_Species_8)*(Attenuation_Dry_bulk_density)/(Hydrogeology_Porosity Hydrogeology!$P:$P)</f>
        <v>#DIV/0!</v>
      </c>
      <c r="Q243" s="37" t="e">
        <f>1+0.001*(Attenuation_Partition_Coefficient_Kd_Species_8)*(Attenuation_Dry_bulk_density)/(Hydrogeology_Porosity Hydrogeology!$Q:$Q)</f>
        <v>#DIV/0!</v>
      </c>
      <c r="R243" s="37" t="e">
        <f>1+0.001*(Attenuation_Partition_Coefficient_Kd_Species_8)*(Attenuation_Dry_bulk_density)/(Hydrogeology_Porosity Hydrogeology!$R:$R)</f>
        <v>#DIV/0!</v>
      </c>
    </row>
    <row r="244" spans="1:18" ht="12.75" hidden="1">
      <c r="A244" s="20" t="s">
        <v>26</v>
      </c>
      <c r="B244" s="20"/>
      <c r="C244" s="26" t="s">
        <v>30</v>
      </c>
      <c r="D244" s="26" t="s">
        <v>30</v>
      </c>
      <c r="E244" s="26" t="s">
        <v>30</v>
      </c>
      <c r="F244" s="26" t="s">
        <v>30</v>
      </c>
      <c r="G244" s="26" t="s">
        <v>30</v>
      </c>
      <c r="H244" s="26" t="s">
        <v>30</v>
      </c>
      <c r="I244" s="26" t="s">
        <v>30</v>
      </c>
      <c r="J244" s="26" t="s">
        <v>30</v>
      </c>
      <c r="K244" s="26" t="s">
        <v>30</v>
      </c>
      <c r="L244" s="26" t="s">
        <v>30</v>
      </c>
      <c r="M244" s="26" t="s">
        <v>30</v>
      </c>
      <c r="N244" s="26" t="s">
        <v>30</v>
      </c>
      <c r="O244" s="26" t="s">
        <v>30</v>
      </c>
      <c r="P244" s="26" t="s">
        <v>30</v>
      </c>
      <c r="Q244" s="26" t="s">
        <v>30</v>
      </c>
      <c r="R244" s="26" t="s">
        <v>30</v>
      </c>
    </row>
    <row r="245" spans="1:18" ht="12.75" hidden="1">
      <c r="A245" s="20" t="s">
        <v>291</v>
      </c>
      <c r="B245" s="20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ht="12.75" hidden="1">
      <c r="A246" s="20" t="s">
        <v>292</v>
      </c>
      <c r="B246" s="20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ht="12.75" hidden="1">
      <c r="A247" s="21" t="s">
        <v>293</v>
      </c>
      <c r="B247" s="2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ht="12.75" hidden="1"/>
    <row r="249" ht="12.75" hidden="1"/>
    <row r="250" spans="1:18" ht="12.75" hidden="1">
      <c r="A250" s="22" t="s">
        <v>294</v>
      </c>
      <c r="B250" s="22" t="s">
        <v>180</v>
      </c>
      <c r="C250" s="25" t="s">
        <v>184</v>
      </c>
      <c r="D250" s="25" t="s">
        <v>184</v>
      </c>
      <c r="E250" s="25" t="s">
        <v>184</v>
      </c>
      <c r="F250" s="25" t="s">
        <v>184</v>
      </c>
      <c r="G250" s="25" t="s">
        <v>184</v>
      </c>
      <c r="H250" s="25" t="s">
        <v>184</v>
      </c>
      <c r="I250" s="25" t="s">
        <v>184</v>
      </c>
      <c r="J250" s="25" t="s">
        <v>184</v>
      </c>
      <c r="K250" s="25" t="s">
        <v>184</v>
      </c>
      <c r="L250" s="25" t="s">
        <v>184</v>
      </c>
      <c r="M250" s="25" t="s">
        <v>184</v>
      </c>
      <c r="N250" s="25" t="s">
        <v>184</v>
      </c>
      <c r="O250" s="25" t="s">
        <v>184</v>
      </c>
      <c r="P250" s="25" t="s">
        <v>184</v>
      </c>
      <c r="Q250" s="25" t="s">
        <v>184</v>
      </c>
      <c r="R250" s="25" t="s">
        <v>184</v>
      </c>
    </row>
    <row r="251" spans="1:18" ht="12.75" hidden="1">
      <c r="A251" s="20" t="s">
        <v>26</v>
      </c>
      <c r="B251" s="20"/>
      <c r="C251" s="26" t="s">
        <v>30</v>
      </c>
      <c r="D251" s="26" t="s">
        <v>30</v>
      </c>
      <c r="E251" s="26" t="s">
        <v>30</v>
      </c>
      <c r="F251" s="26" t="s">
        <v>30</v>
      </c>
      <c r="G251" s="26" t="s">
        <v>30</v>
      </c>
      <c r="H251" s="26" t="s">
        <v>30</v>
      </c>
      <c r="I251" s="26" t="s">
        <v>30</v>
      </c>
      <c r="J251" s="26" t="s">
        <v>30</v>
      </c>
      <c r="K251" s="26" t="s">
        <v>30</v>
      </c>
      <c r="L251" s="26" t="s">
        <v>30</v>
      </c>
      <c r="M251" s="26" t="s">
        <v>30</v>
      </c>
      <c r="N251" s="26" t="s">
        <v>30</v>
      </c>
      <c r="O251" s="26" t="s">
        <v>30</v>
      </c>
      <c r="P251" s="26" t="s">
        <v>30</v>
      </c>
      <c r="Q251" s="26" t="s">
        <v>30</v>
      </c>
      <c r="R251" s="26" t="s">
        <v>30</v>
      </c>
    </row>
    <row r="252" spans="1:18" ht="12.75" hidden="1">
      <c r="A252" s="20" t="s">
        <v>295</v>
      </c>
      <c r="B252" s="20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</row>
    <row r="253" spans="1:18" ht="12.75" hidden="1">
      <c r="A253" s="20" t="s">
        <v>296</v>
      </c>
      <c r="B253" s="20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ht="12.75" hidden="1">
      <c r="A254" s="21" t="s">
        <v>297</v>
      </c>
      <c r="B254" s="2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ht="12.75" hidden="1"/>
    <row r="256" ht="12.75" hidden="1"/>
    <row r="257" spans="1:18" ht="12.75" hidden="1">
      <c r="A257" s="22" t="s">
        <v>298</v>
      </c>
      <c r="B257" s="22" t="s">
        <v>186</v>
      </c>
      <c r="C257" s="37">
        <f aca="true" t="shared" si="7" ref="C257:R257">IF((Attenuation_Half_Life_Species_8)&lt;&gt;"No Decay",LN(2)/((Attenuation_Half_Life_Species_8)*s_per_day),0)</f>
        <v>0</v>
      </c>
      <c r="D257" s="37">
        <f t="shared" si="7"/>
        <v>0</v>
      </c>
      <c r="E257" s="37">
        <f t="shared" si="7"/>
        <v>0</v>
      </c>
      <c r="F257" s="37">
        <f t="shared" si="7"/>
        <v>0</v>
      </c>
      <c r="G257" s="37">
        <f t="shared" si="7"/>
        <v>0</v>
      </c>
      <c r="H257" s="37">
        <f t="shared" si="7"/>
        <v>0</v>
      </c>
      <c r="I257" s="37">
        <f t="shared" si="7"/>
        <v>0</v>
      </c>
      <c r="J257" s="37">
        <f t="shared" si="7"/>
        <v>0</v>
      </c>
      <c r="K257" s="37">
        <f t="shared" si="7"/>
        <v>0</v>
      </c>
      <c r="L257" s="37">
        <f t="shared" si="7"/>
        <v>0</v>
      </c>
      <c r="M257" s="37">
        <f t="shared" si="7"/>
        <v>0</v>
      </c>
      <c r="N257" s="37">
        <f t="shared" si="7"/>
        <v>0</v>
      </c>
      <c r="O257" s="37">
        <f t="shared" si="7"/>
        <v>0</v>
      </c>
      <c r="P257" s="37">
        <f t="shared" si="7"/>
        <v>0</v>
      </c>
      <c r="Q257" s="37">
        <f t="shared" si="7"/>
        <v>0</v>
      </c>
      <c r="R257" s="37">
        <f t="shared" si="7"/>
        <v>0</v>
      </c>
    </row>
    <row r="258" spans="1:18" ht="12.75" hidden="1">
      <c r="A258" s="20" t="s">
        <v>26</v>
      </c>
      <c r="B258" s="20"/>
      <c r="C258" s="26" t="s">
        <v>30</v>
      </c>
      <c r="D258" s="26" t="s">
        <v>30</v>
      </c>
      <c r="E258" s="26" t="s">
        <v>30</v>
      </c>
      <c r="F258" s="26" t="s">
        <v>30</v>
      </c>
      <c r="G258" s="26" t="s">
        <v>30</v>
      </c>
      <c r="H258" s="26" t="s">
        <v>30</v>
      </c>
      <c r="I258" s="26" t="s">
        <v>30</v>
      </c>
      <c r="J258" s="26" t="s">
        <v>30</v>
      </c>
      <c r="K258" s="26" t="s">
        <v>30</v>
      </c>
      <c r="L258" s="26" t="s">
        <v>30</v>
      </c>
      <c r="M258" s="26" t="s">
        <v>30</v>
      </c>
      <c r="N258" s="26" t="s">
        <v>30</v>
      </c>
      <c r="O258" s="26" t="s">
        <v>30</v>
      </c>
      <c r="P258" s="26" t="s">
        <v>30</v>
      </c>
      <c r="Q258" s="26" t="s">
        <v>30</v>
      </c>
      <c r="R258" s="26" t="s">
        <v>30</v>
      </c>
    </row>
    <row r="259" spans="1:18" ht="12.75" hidden="1">
      <c r="A259" s="20" t="s">
        <v>299</v>
      </c>
      <c r="B259" s="20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1:18" ht="12.75" hidden="1">
      <c r="A260" s="20" t="s">
        <v>300</v>
      </c>
      <c r="B260" s="20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1:18" ht="12.75" hidden="1">
      <c r="A261" s="21" t="s">
        <v>301</v>
      </c>
      <c r="B261" s="2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ht="12.75" hidden="1"/>
    <row r="263" ht="12.75" hidden="1"/>
  </sheetData>
  <sheetProtection password="DE75" sheet="1" scenarios="1"/>
  <dataValidations count="544">
    <dataValidation type="list" allowBlank="1" showInputMessage="1" showErrorMessage="1" prompt="Choose a distribution type" errorTitle="RAM3" error="Not a valid distribution type" sqref="C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5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3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4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4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5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6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7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7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8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9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0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0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1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2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3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3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4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5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6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6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7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8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9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19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0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1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2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2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37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44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51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C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D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E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F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G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H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I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J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K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L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M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N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O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P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Q258">
      <formula1>"constant,uniform,triangular,normal,lognormal"</formula1>
    </dataValidation>
    <dataValidation type="list" allowBlank="1" showInputMessage="1" showErrorMessage="1" prompt="Choose a distribution type" errorTitle="RAM3" error="Not a valid distribution type" sqref="R258">
      <formula1>"constant,uniform,triangular,normal,lognormal"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13"/>
  <sheetViews>
    <sheetView showGridLines="0" showRowColHeaders="0" workbookViewId="0" topLeftCell="A1">
      <selection activeCell="M34" sqref="A1:M34"/>
    </sheetView>
  </sheetViews>
  <sheetFormatPr defaultColWidth="9.140625" defaultRowHeight="12.75"/>
  <cols>
    <col min="3" max="3" width="25.7109375" style="0" customWidth="1"/>
  </cols>
  <sheetData>
    <row r="1" ht="18">
      <c r="A1" s="9" t="s">
        <v>316</v>
      </c>
    </row>
    <row r="5" ht="15.75">
      <c r="C5" s="13" t="s">
        <v>317</v>
      </c>
    </row>
    <row r="6" ht="15.75">
      <c r="C6" s="15" t="s">
        <v>318</v>
      </c>
    </row>
    <row r="8" spans="3:5" ht="12.75">
      <c r="C8" s="8" t="s">
        <v>319</v>
      </c>
      <c r="D8" s="35">
        <v>98</v>
      </c>
      <c r="E8" s="8" t="s">
        <v>320</v>
      </c>
    </row>
    <row r="9" spans="3:5" ht="12.75">
      <c r="C9" s="8" t="s">
        <v>321</v>
      </c>
      <c r="D9" s="35">
        <v>0.6</v>
      </c>
      <c r="E9" s="8" t="s">
        <v>32</v>
      </c>
    </row>
    <row r="10" spans="3:5" ht="12.75">
      <c r="C10" s="8" t="s">
        <v>322</v>
      </c>
      <c r="D10" s="36">
        <f>Effective_Rainfall*Infiltration_Factor</f>
        <v>58.8</v>
      </c>
      <c r="E10" s="8" t="s">
        <v>320</v>
      </c>
    </row>
    <row r="11" spans="3:5" ht="12.75">
      <c r="C11" s="8" t="s">
        <v>323</v>
      </c>
      <c r="D11" s="36">
        <f>Inert_Source_area</f>
        <v>126000</v>
      </c>
      <c r="E11" s="8" t="s">
        <v>56</v>
      </c>
    </row>
    <row r="13" spans="3:5" ht="12.75">
      <c r="C13" s="8" t="s">
        <v>324</v>
      </c>
      <c r="D13" s="36">
        <f>0.001*Infiltration_Area*Infiltration_Rate/s_per_year</f>
        <v>0.00023477070499657767</v>
      </c>
      <c r="E13" s="8" t="s">
        <v>325</v>
      </c>
    </row>
  </sheetData>
  <sheetProtection password="DE75" sheet="1" objects="1" scenarios="1"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13"/>
  <sheetViews>
    <sheetView showGridLines="0" showRowColHeaders="0" workbookViewId="0" topLeftCell="A1">
      <selection activeCell="I31" sqref="A1:I31"/>
    </sheetView>
  </sheetViews>
  <sheetFormatPr defaultColWidth="9.140625" defaultRowHeight="12.75"/>
  <cols>
    <col min="1" max="1" width="30.421875" style="0" bestFit="1" customWidth="1"/>
    <col min="2" max="2" width="20.8515625" style="46" bestFit="1" customWidth="1"/>
    <col min="3" max="3" width="17.7109375" style="0" customWidth="1"/>
    <col min="4" max="4" width="14.7109375" style="46" bestFit="1" customWidth="1"/>
    <col min="5" max="5" width="17.7109375" style="0" customWidth="1"/>
    <col min="6" max="6" width="18.7109375" style="46" bestFit="1" customWidth="1"/>
    <col min="7" max="7" width="17.7109375" style="0" customWidth="1"/>
    <col min="8" max="8" width="14.57421875" style="46" bestFit="1" customWidth="1"/>
    <col min="9" max="9" width="17.7109375" style="0" customWidth="1"/>
  </cols>
  <sheetData>
    <row r="1" ht="18">
      <c r="A1" s="9" t="s">
        <v>326</v>
      </c>
    </row>
    <row r="3" spans="1:9" ht="15.75">
      <c r="A3" s="15" t="s">
        <v>327</v>
      </c>
      <c r="B3" s="49"/>
      <c r="C3" s="50" t="s">
        <v>338</v>
      </c>
      <c r="D3" s="49"/>
      <c r="E3" s="50" t="s">
        <v>345</v>
      </c>
      <c r="F3" s="49"/>
      <c r="G3" s="50" t="s">
        <v>353</v>
      </c>
      <c r="H3" s="49"/>
      <c r="I3" s="50" t="s">
        <v>358</v>
      </c>
    </row>
    <row r="4" spans="1:9" ht="12.75">
      <c r="A4" s="8" t="s">
        <v>328</v>
      </c>
      <c r="B4" s="48"/>
      <c r="C4" s="53" t="s">
        <v>339</v>
      </c>
      <c r="D4" s="48"/>
      <c r="E4" s="53" t="s">
        <v>346</v>
      </c>
      <c r="F4" s="48"/>
      <c r="G4" s="53" t="s">
        <v>346</v>
      </c>
      <c r="H4" s="48"/>
      <c r="I4" s="53" t="s">
        <v>359</v>
      </c>
    </row>
    <row r="5" spans="1:9" ht="12.75">
      <c r="A5" s="8" t="s">
        <v>329</v>
      </c>
      <c r="B5" s="47"/>
      <c r="C5" s="54" t="s">
        <v>340</v>
      </c>
      <c r="D5" s="47"/>
      <c r="E5" s="54" t="s">
        <v>347</v>
      </c>
      <c r="F5" s="47"/>
      <c r="G5" s="54" t="s">
        <v>354</v>
      </c>
      <c r="H5" s="47"/>
      <c r="I5" s="54" t="s">
        <v>360</v>
      </c>
    </row>
    <row r="6" spans="1:9" ht="12.75">
      <c r="A6" s="8" t="s">
        <v>330</v>
      </c>
      <c r="B6" s="47"/>
      <c r="C6" s="55" t="s">
        <v>385</v>
      </c>
      <c r="D6" s="47"/>
      <c r="E6" s="62" t="s">
        <v>491</v>
      </c>
      <c r="F6" s="47"/>
      <c r="G6" s="62" t="s">
        <v>355</v>
      </c>
      <c r="H6" s="47"/>
      <c r="I6" s="55" t="s">
        <v>361</v>
      </c>
    </row>
    <row r="7" spans="1:9" ht="12.75">
      <c r="A7" s="8" t="s">
        <v>331</v>
      </c>
      <c r="B7" s="52"/>
      <c r="C7" s="56"/>
      <c r="D7" s="52"/>
      <c r="E7" s="56"/>
      <c r="F7" s="52"/>
      <c r="G7" s="56"/>
      <c r="H7" s="52" t="s">
        <v>49</v>
      </c>
      <c r="I7" s="68" t="s">
        <v>405</v>
      </c>
    </row>
    <row r="8" spans="1:9" ht="12.75">
      <c r="A8" t="s">
        <v>332</v>
      </c>
      <c r="B8" s="57" t="s">
        <v>341</v>
      </c>
      <c r="C8" s="59">
        <v>0</v>
      </c>
      <c r="D8" s="92"/>
      <c r="E8" s="96"/>
      <c r="F8" s="57" t="s">
        <v>349</v>
      </c>
      <c r="G8" s="64">
        <f>(SG Hydrogeology_Velocity)</f>
        <v>2.14270914603508E-06</v>
      </c>
      <c r="H8" s="69"/>
      <c r="I8" s="71"/>
    </row>
    <row r="9" spans="1:9" ht="12.75">
      <c r="A9" t="s">
        <v>333</v>
      </c>
      <c r="B9" s="58" t="s">
        <v>342</v>
      </c>
      <c r="C9" s="60">
        <v>0</v>
      </c>
      <c r="D9" s="93"/>
      <c r="E9" s="94"/>
      <c r="F9" s="58" t="s">
        <v>350</v>
      </c>
      <c r="G9" s="65">
        <v>2.5</v>
      </c>
      <c r="H9" s="70"/>
      <c r="I9" s="72"/>
    </row>
    <row r="10" spans="1:9" ht="12.75">
      <c r="A10" t="s">
        <v>334</v>
      </c>
      <c r="B10" s="58" t="s">
        <v>343</v>
      </c>
      <c r="C10" s="60">
        <f>Q_Infiltration</f>
        <v>0.00023477070499657767</v>
      </c>
      <c r="D10" s="93"/>
      <c r="E10" s="94"/>
      <c r="F10" s="58" t="s">
        <v>351</v>
      </c>
      <c r="G10" s="65">
        <v>25</v>
      </c>
      <c r="H10" s="70"/>
      <c r="I10" s="72"/>
    </row>
    <row r="11" spans="1:9" ht="12.75">
      <c r="A11" t="s">
        <v>335</v>
      </c>
      <c r="B11" s="58" t="s">
        <v>344</v>
      </c>
      <c r="C11" s="60">
        <f>Q_Infiltration</f>
        <v>0.00023477070499657767</v>
      </c>
      <c r="D11" s="93"/>
      <c r="E11" s="94"/>
      <c r="F11" s="58" t="s">
        <v>356</v>
      </c>
      <c r="G11" s="65">
        <v>3</v>
      </c>
      <c r="H11" s="70"/>
      <c r="I11" s="72"/>
    </row>
    <row r="12" spans="1:9" ht="12.75">
      <c r="A12" t="s">
        <v>336</v>
      </c>
      <c r="B12" s="47"/>
      <c r="C12" s="61"/>
      <c r="D12" s="93"/>
      <c r="E12" s="94"/>
      <c r="F12" s="58" t="s">
        <v>357</v>
      </c>
      <c r="G12" s="65">
        <v>315</v>
      </c>
      <c r="H12" s="70"/>
      <c r="I12" s="72"/>
    </row>
    <row r="13" spans="1:9" ht="12.75">
      <c r="A13" t="s">
        <v>337</v>
      </c>
      <c r="B13" s="52"/>
      <c r="C13" s="56"/>
      <c r="D13" s="95" t="s">
        <v>352</v>
      </c>
      <c r="E13" s="66">
        <v>0</v>
      </c>
      <c r="F13" s="63" t="s">
        <v>352</v>
      </c>
      <c r="G13" s="67">
        <f>Path1_Param5*Path1_Param4*(SG Hydrogeology_Hydraulic_Conductivity)*(SG Hydrogeology_Hydraulic_Gradient)</f>
        <v>0.0008504412600613233</v>
      </c>
      <c r="H13" s="63" t="s">
        <v>362</v>
      </c>
      <c r="I13" s="73">
        <v>0</v>
      </c>
    </row>
  </sheetData>
  <sheetProtection password="DE75" sheet="1" scenarios="1"/>
  <dataValidations count="3">
    <dataValidation type="list" allowBlank="1" showInputMessage="1" showErrorMessage="1" prompt="Choose pathway type" errorTitle="RAM3" error="Not a valid pathway type" sqref="E6">
      <formula1>"ADRD (1D),  No Processes"</formula1>
    </dataValidation>
    <dataValidation type="list" allowBlank="1" showInputMessage="1" showErrorMessage="1" prompt="Choose pathway type" errorTitle="RAM3" error="Not a valid pathway type" sqref="G6">
      <formula1>"ADRD (1D) + Dilution, Aquifer Dilution Only, No Processes"</formula1>
    </dataValidation>
    <dataValidation type="list" allowBlank="1" showInputMessage="1" showErrorMessage="1" prompt="Choose quality standards" errorTitle="RAM3" error="Not a named standard" sqref="I7">
      <formula1>Quality_Standards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31"/>
  <sheetViews>
    <sheetView showGridLines="0" showRowColHeaders="0" workbookViewId="0" topLeftCell="A1">
      <selection activeCell="O33" sqref="A1:O33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8" width="10.7109375" style="0" customWidth="1"/>
    <col min="9" max="9" width="5.7109375" style="0" customWidth="1"/>
    <col min="10" max="14" width="10.7109375" style="0" customWidth="1"/>
  </cols>
  <sheetData>
    <row r="1" ht="18">
      <c r="A1" s="9" t="s">
        <v>363</v>
      </c>
    </row>
    <row r="2" ht="13.5" thickBot="1"/>
    <row r="3" spans="2:13" ht="15.75">
      <c r="B3" s="77" t="s">
        <v>372</v>
      </c>
      <c r="C3" s="78"/>
      <c r="D3" s="78"/>
      <c r="E3" s="78"/>
      <c r="F3" s="78"/>
      <c r="G3" s="78"/>
      <c r="H3" s="81"/>
      <c r="J3" s="77" t="s">
        <v>364</v>
      </c>
      <c r="K3" s="78"/>
      <c r="L3" s="78"/>
      <c r="M3" s="81"/>
    </row>
    <row r="4" spans="2:13" ht="12.75">
      <c r="B4" s="76"/>
      <c r="C4" s="10"/>
      <c r="D4" s="10"/>
      <c r="E4" s="10"/>
      <c r="F4" s="10"/>
      <c r="G4" s="10"/>
      <c r="H4" s="82"/>
      <c r="J4" s="76"/>
      <c r="K4" s="10"/>
      <c r="L4" s="10"/>
      <c r="M4" s="82"/>
    </row>
    <row r="5" spans="2:13" ht="12.75">
      <c r="B5" s="76"/>
      <c r="C5" s="51" t="s">
        <v>373</v>
      </c>
      <c r="D5" s="10"/>
      <c r="E5" s="10"/>
      <c r="F5" s="35">
        <v>95</v>
      </c>
      <c r="G5" s="10"/>
      <c r="H5" s="82"/>
      <c r="J5" s="76"/>
      <c r="K5" s="51" t="s">
        <v>365</v>
      </c>
      <c r="L5" s="74">
        <f>365.25*60*60*24</f>
        <v>31557600</v>
      </c>
      <c r="M5" s="84"/>
    </row>
    <row r="6" spans="2:13" ht="12.75">
      <c r="B6" s="76"/>
      <c r="C6" s="51" t="s">
        <v>374</v>
      </c>
      <c r="D6" s="10"/>
      <c r="E6" s="10"/>
      <c r="F6" s="35">
        <v>10000</v>
      </c>
      <c r="G6" s="10"/>
      <c r="H6" s="82"/>
      <c r="J6" s="76"/>
      <c r="K6" s="51" t="s">
        <v>366</v>
      </c>
      <c r="L6" s="74">
        <f>60*60*24</f>
        <v>86400</v>
      </c>
      <c r="M6" s="84"/>
    </row>
    <row r="7" spans="2:13" ht="13.5" thickBot="1">
      <c r="B7" s="76"/>
      <c r="C7" s="10"/>
      <c r="D7" s="10"/>
      <c r="E7" s="10"/>
      <c r="F7" s="10"/>
      <c r="G7" s="10"/>
      <c r="H7" s="82"/>
      <c r="J7" s="79"/>
      <c r="K7" s="80"/>
      <c r="L7" s="80"/>
      <c r="M7" s="83"/>
    </row>
    <row r="8" spans="2:8" ht="13.5" thickBot="1">
      <c r="B8" s="76"/>
      <c r="C8" s="10"/>
      <c r="D8" s="10"/>
      <c r="E8" s="10"/>
      <c r="F8" s="10"/>
      <c r="G8" s="10"/>
      <c r="H8" s="82"/>
    </row>
    <row r="9" spans="2:13" ht="15.75">
      <c r="B9" s="76"/>
      <c r="C9" s="10"/>
      <c r="D9" s="10"/>
      <c r="E9" s="10"/>
      <c r="F9" s="10"/>
      <c r="G9" s="10"/>
      <c r="H9" s="82"/>
      <c r="J9" s="77" t="s">
        <v>367</v>
      </c>
      <c r="K9" s="78"/>
      <c r="L9" s="78"/>
      <c r="M9" s="81"/>
    </row>
    <row r="10" spans="2:13" ht="12.75">
      <c r="B10" s="76"/>
      <c r="C10" s="10"/>
      <c r="D10" s="10"/>
      <c r="E10" s="10"/>
      <c r="F10" s="10"/>
      <c r="G10" s="10"/>
      <c r="H10" s="82"/>
      <c r="J10" s="76"/>
      <c r="K10" s="10"/>
      <c r="L10" s="10"/>
      <c r="M10" s="82"/>
    </row>
    <row r="11" spans="2:13" ht="12.75">
      <c r="B11" s="76"/>
      <c r="C11" s="75" t="s">
        <v>375</v>
      </c>
      <c r="D11" s="10"/>
      <c r="E11" s="10"/>
      <c r="F11" s="10"/>
      <c r="G11" s="10"/>
      <c r="H11" s="82"/>
      <c r="J11" s="76"/>
      <c r="K11" s="51" t="s">
        <v>368</v>
      </c>
      <c r="L11" s="35">
        <v>0</v>
      </c>
      <c r="M11" s="84"/>
    </row>
    <row r="12" spans="2:13" ht="15" customHeight="1">
      <c r="B12" s="76"/>
      <c r="C12" s="10"/>
      <c r="D12" s="10"/>
      <c r="E12" s="10"/>
      <c r="F12" s="10"/>
      <c r="G12" s="10"/>
      <c r="H12" s="82"/>
      <c r="J12" s="76"/>
      <c r="K12" s="51" t="s">
        <v>369</v>
      </c>
      <c r="L12" s="35">
        <v>1</v>
      </c>
      <c r="M12" s="84"/>
    </row>
    <row r="13" spans="2:13" ht="15" customHeight="1">
      <c r="B13" s="76"/>
      <c r="C13" s="10"/>
      <c r="D13" s="10"/>
      <c r="E13" s="10"/>
      <c r="F13" s="10"/>
      <c r="G13" s="10"/>
      <c r="H13" s="82"/>
      <c r="J13" s="76"/>
      <c r="K13" s="51" t="s">
        <v>370</v>
      </c>
      <c r="L13" s="35">
        <v>16</v>
      </c>
      <c r="M13" s="84"/>
    </row>
    <row r="14" spans="2:13" ht="15" customHeight="1">
      <c r="B14" s="76"/>
      <c r="C14" s="10"/>
      <c r="D14" s="10"/>
      <c r="E14" s="10"/>
      <c r="F14" s="10"/>
      <c r="G14" s="10"/>
      <c r="H14" s="82"/>
      <c r="J14" s="76"/>
      <c r="K14" s="51" t="s">
        <v>371</v>
      </c>
      <c r="L14" s="35">
        <v>11</v>
      </c>
      <c r="M14" s="84"/>
    </row>
    <row r="15" spans="2:13" ht="13.5" thickBot="1">
      <c r="B15" s="79"/>
      <c r="C15" s="80"/>
      <c r="D15" s="80"/>
      <c r="E15" s="80"/>
      <c r="F15" s="80"/>
      <c r="G15" s="80"/>
      <c r="H15" s="83"/>
      <c r="J15" s="79"/>
      <c r="K15" s="80"/>
      <c r="L15" s="80"/>
      <c r="M15" s="83"/>
    </row>
    <row r="17" ht="15.75">
      <c r="B17" s="15" t="s">
        <v>376</v>
      </c>
    </row>
    <row r="18" ht="15" customHeight="1"/>
    <row r="19" ht="15" customHeight="1"/>
    <row r="20" ht="15" customHeight="1"/>
    <row r="22" spans="3:8" ht="12.75">
      <c r="C22" s="44" t="s">
        <v>377</v>
      </c>
      <c r="F22" s="8"/>
      <c r="G22" s="35">
        <v>5</v>
      </c>
      <c r="H22" s="8"/>
    </row>
    <row r="24" ht="15.75">
      <c r="B24" s="15" t="s">
        <v>378</v>
      </c>
    </row>
    <row r="25" ht="12.75">
      <c r="C25" s="8" t="s">
        <v>379</v>
      </c>
    </row>
    <row r="26" ht="12.75">
      <c r="C26" s="8" t="s">
        <v>380</v>
      </c>
    </row>
    <row r="27" ht="12.75">
      <c r="C27" s="85">
        <v>1</v>
      </c>
    </row>
    <row r="28" ht="12.75">
      <c r="C28" s="86">
        <v>10</v>
      </c>
    </row>
    <row r="29" ht="12.75">
      <c r="C29" s="86">
        <v>100</v>
      </c>
    </row>
    <row r="30" ht="12.75">
      <c r="C30" s="86">
        <v>1000</v>
      </c>
    </row>
    <row r="31" ht="12.75">
      <c r="C31" s="87">
        <v>10000</v>
      </c>
    </row>
  </sheetData>
  <sheetProtection password="DE75" sheet="1" scenarios="1"/>
  <dataValidations count="1">
    <dataValidation type="decimal" allowBlank="1" showInputMessage="1" showErrorMessage="1" prompt="Enter a number between 0 and 100" errorTitle="RAM3" error="The percentile must be a number between 0 and 100" sqref="F5">
      <formula1>0</formula1>
      <formula2>100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X972"/>
  <sheetViews>
    <sheetView showGridLines="0" showRowColHeaders="0" workbookViewId="0" topLeftCell="A1">
      <selection activeCell="A924" sqref="A924"/>
    </sheetView>
  </sheetViews>
  <sheetFormatPr defaultColWidth="9.140625" defaultRowHeight="12.75"/>
  <cols>
    <col min="1" max="9" width="14.7109375" style="19" customWidth="1"/>
    <col min="10" max="16384" width="9.140625" style="19" customWidth="1"/>
  </cols>
  <sheetData>
    <row r="1" ht="18">
      <c r="A1" s="30" t="s">
        <v>308</v>
      </c>
    </row>
    <row r="3" spans="1:9" ht="12.75">
      <c r="A3" s="29" t="s">
        <v>309</v>
      </c>
      <c r="B3" s="29" t="s">
        <v>310</v>
      </c>
      <c r="C3" s="29" t="s">
        <v>311</v>
      </c>
      <c r="E3" s="29" t="s">
        <v>312</v>
      </c>
      <c r="G3" s="29" t="s">
        <v>313</v>
      </c>
      <c r="H3" s="29" t="s">
        <v>314</v>
      </c>
      <c r="I3" s="29" t="s">
        <v>315</v>
      </c>
    </row>
    <row r="5" spans="1:9" ht="12.75">
      <c r="A5" s="19" t="s">
        <v>381</v>
      </c>
      <c r="B5" s="88">
        <v>43857</v>
      </c>
      <c r="C5" s="89">
        <v>0.6155324074074074</v>
      </c>
      <c r="E5" s="19" t="s">
        <v>382</v>
      </c>
      <c r="G5" s="19">
        <v>400</v>
      </c>
      <c r="I5" s="19" t="s">
        <v>52</v>
      </c>
    </row>
    <row r="7" spans="1:9" ht="12.75">
      <c r="A7" s="19" t="s">
        <v>381</v>
      </c>
      <c r="B7" s="88">
        <v>43857</v>
      </c>
      <c r="C7" s="89">
        <v>0.6161805555555556</v>
      </c>
      <c r="E7" s="19" t="s">
        <v>383</v>
      </c>
      <c r="G7" s="19">
        <v>320</v>
      </c>
      <c r="I7" s="19" t="s">
        <v>54</v>
      </c>
    </row>
    <row r="9" spans="1:9" ht="12.75">
      <c r="A9" s="19" t="s">
        <v>381</v>
      </c>
      <c r="B9" s="88">
        <v>43857</v>
      </c>
      <c r="C9" s="89">
        <v>0.6166782407407407</v>
      </c>
      <c r="E9" s="19" t="s">
        <v>384</v>
      </c>
      <c r="G9" s="19">
        <v>6</v>
      </c>
      <c r="I9" s="19" t="s">
        <v>57</v>
      </c>
    </row>
    <row r="11" spans="1:9" ht="12.75">
      <c r="A11" s="19" t="s">
        <v>381</v>
      </c>
      <c r="B11" s="88">
        <v>43857</v>
      </c>
      <c r="C11" s="89">
        <v>0.6168865740740741</v>
      </c>
      <c r="E11" s="19" t="s">
        <v>383</v>
      </c>
      <c r="G11" s="19">
        <v>310</v>
      </c>
      <c r="H11" s="19">
        <v>320</v>
      </c>
      <c r="I11" s="19" t="s">
        <v>54</v>
      </c>
    </row>
    <row r="13" spans="1:9" ht="12.75">
      <c r="A13" s="19" t="s">
        <v>381</v>
      </c>
      <c r="B13" s="88">
        <v>43857</v>
      </c>
      <c r="C13" s="89">
        <v>0.6169328703703704</v>
      </c>
      <c r="E13" s="19" t="s">
        <v>383</v>
      </c>
      <c r="G13" s="19">
        <v>315</v>
      </c>
      <c r="H13" s="19">
        <v>310</v>
      </c>
      <c r="I13" s="19" t="s">
        <v>54</v>
      </c>
    </row>
    <row r="15" spans="1:9" ht="12.75">
      <c r="A15" s="19" t="s">
        <v>381</v>
      </c>
      <c r="B15" s="88">
        <v>43857</v>
      </c>
      <c r="C15" s="89">
        <v>0.6172453703703703</v>
      </c>
      <c r="E15" s="19" t="s">
        <v>386</v>
      </c>
      <c r="G15" s="19">
        <v>0.2</v>
      </c>
      <c r="I15" s="19" t="s">
        <v>61</v>
      </c>
    </row>
    <row r="17" spans="1:9" ht="12.75">
      <c r="A17" s="19" t="s">
        <v>381</v>
      </c>
      <c r="B17" s="88">
        <v>43857</v>
      </c>
      <c r="C17" s="89">
        <v>0.6174537037037037</v>
      </c>
      <c r="E17" s="19" t="s">
        <v>388</v>
      </c>
      <c r="G17" s="19" t="s">
        <v>387</v>
      </c>
      <c r="I17" s="19" t="s">
        <v>389</v>
      </c>
    </row>
    <row r="19" spans="1:9" ht="12.75">
      <c r="A19" s="19" t="s">
        <v>381</v>
      </c>
      <c r="B19" s="88">
        <v>43857</v>
      </c>
      <c r="C19" s="89">
        <v>0.6175</v>
      </c>
      <c r="E19" s="19" t="s">
        <v>391</v>
      </c>
      <c r="G19" s="19" t="s">
        <v>390</v>
      </c>
      <c r="I19" s="19" t="s">
        <v>392</v>
      </c>
    </row>
    <row r="21" spans="1:9" ht="12.75">
      <c r="A21" s="19" t="s">
        <v>381</v>
      </c>
      <c r="B21" s="88">
        <v>43857</v>
      </c>
      <c r="C21" s="89">
        <v>0.6175462962962963</v>
      </c>
      <c r="E21" s="19" t="s">
        <v>394</v>
      </c>
      <c r="G21" s="19" t="s">
        <v>393</v>
      </c>
      <c r="I21" s="19" t="s">
        <v>395</v>
      </c>
    </row>
    <row r="23" spans="1:9" ht="12.75">
      <c r="A23" s="19" t="s">
        <v>381</v>
      </c>
      <c r="B23" s="88">
        <v>43857</v>
      </c>
      <c r="C23" s="89">
        <v>0.6175925925925926</v>
      </c>
      <c r="E23" s="19" t="s">
        <v>397</v>
      </c>
      <c r="G23" s="19" t="s">
        <v>396</v>
      </c>
      <c r="I23" s="19" t="s">
        <v>398</v>
      </c>
    </row>
    <row r="25" spans="1:9" ht="12.75">
      <c r="A25" s="19" t="s">
        <v>381</v>
      </c>
      <c r="B25" s="88">
        <v>43857</v>
      </c>
      <c r="C25" s="89">
        <v>0.6176273148148148</v>
      </c>
      <c r="E25" s="19" t="s">
        <v>400</v>
      </c>
      <c r="G25" s="19" t="s">
        <v>399</v>
      </c>
      <c r="I25" s="19" t="s">
        <v>401</v>
      </c>
    </row>
    <row r="27" spans="1:9" ht="12.75">
      <c r="A27" s="19" t="s">
        <v>381</v>
      </c>
      <c r="B27" s="88">
        <v>43857</v>
      </c>
      <c r="C27" s="89">
        <v>0.617662037037037</v>
      </c>
      <c r="E27" s="19" t="s">
        <v>403</v>
      </c>
      <c r="G27" s="19" t="s">
        <v>402</v>
      </c>
      <c r="I27" s="19" t="s">
        <v>404</v>
      </c>
    </row>
    <row r="29" spans="1:7" ht="12.75">
      <c r="A29" s="19" t="s">
        <v>381</v>
      </c>
      <c r="B29" s="88">
        <v>43857</v>
      </c>
      <c r="C29" s="89">
        <v>0.6178356481481482</v>
      </c>
      <c r="E29" s="19" t="s">
        <v>406</v>
      </c>
      <c r="G29" s="19" t="s">
        <v>405</v>
      </c>
    </row>
    <row r="31" spans="1:9" ht="12.75">
      <c r="A31" s="19" t="s">
        <v>381</v>
      </c>
      <c r="B31" s="88">
        <v>43857</v>
      </c>
      <c r="C31" s="89">
        <v>0.6178819444444444</v>
      </c>
      <c r="E31" s="19" t="s">
        <v>407</v>
      </c>
      <c r="G31" s="19">
        <v>0.5</v>
      </c>
      <c r="I31" s="19" t="s">
        <v>408</v>
      </c>
    </row>
    <row r="33" spans="1:9" ht="12.75">
      <c r="A33" s="19" t="s">
        <v>381</v>
      </c>
      <c r="B33" s="88">
        <v>43857</v>
      </c>
      <c r="C33" s="89">
        <v>0.6179282407407407</v>
      </c>
      <c r="E33" s="19" t="s">
        <v>409</v>
      </c>
      <c r="G33" s="19">
        <v>0.005</v>
      </c>
      <c r="I33" s="19" t="s">
        <v>410</v>
      </c>
    </row>
    <row r="35" spans="1:9" ht="12.75">
      <c r="A35" s="19" t="s">
        <v>381</v>
      </c>
      <c r="B35" s="88">
        <v>43857</v>
      </c>
      <c r="C35" s="89">
        <v>0.6179398148148149</v>
      </c>
      <c r="E35" s="19" t="s">
        <v>411</v>
      </c>
      <c r="G35" s="19">
        <v>250</v>
      </c>
      <c r="I35" s="19" t="s">
        <v>412</v>
      </c>
    </row>
    <row r="37" spans="1:9" ht="12.75">
      <c r="A37" s="19" t="s">
        <v>381</v>
      </c>
      <c r="B37" s="88">
        <v>43857</v>
      </c>
      <c r="C37" s="89">
        <v>0.6179513888888889</v>
      </c>
      <c r="E37" s="19" t="s">
        <v>413</v>
      </c>
      <c r="G37" s="19">
        <v>10</v>
      </c>
      <c r="I37" s="19" t="s">
        <v>414</v>
      </c>
    </row>
    <row r="39" spans="1:9" ht="12.75">
      <c r="A39" s="19" t="s">
        <v>381</v>
      </c>
      <c r="B39" s="88">
        <v>43857</v>
      </c>
      <c r="C39" s="89">
        <v>0.617974537037037</v>
      </c>
      <c r="E39" s="19" t="s">
        <v>415</v>
      </c>
      <c r="G39" s="19">
        <v>0.02</v>
      </c>
      <c r="I39" s="19" t="s">
        <v>416</v>
      </c>
    </row>
    <row r="41" spans="1:9" ht="12.75">
      <c r="A41" s="19" t="s">
        <v>381</v>
      </c>
      <c r="B41" s="88">
        <v>43857</v>
      </c>
      <c r="C41" s="89">
        <v>0.6180208333333334</v>
      </c>
      <c r="E41" s="19" t="s">
        <v>417</v>
      </c>
      <c r="G41" s="19">
        <v>0.0005</v>
      </c>
      <c r="I41" s="19" t="s">
        <v>418</v>
      </c>
    </row>
    <row r="43" spans="1:9" ht="12.75">
      <c r="A43" s="19" t="s">
        <v>381</v>
      </c>
      <c r="B43" s="88">
        <v>43857</v>
      </c>
      <c r="C43" s="89">
        <v>0.6181134259259259</v>
      </c>
      <c r="E43" s="19" t="s">
        <v>419</v>
      </c>
      <c r="G43" s="19">
        <v>27</v>
      </c>
      <c r="I43" s="19" t="s">
        <v>420</v>
      </c>
    </row>
    <row r="45" spans="1:9" ht="12.75">
      <c r="A45" s="19" t="s">
        <v>381</v>
      </c>
      <c r="B45" s="88">
        <v>43857</v>
      </c>
      <c r="C45" s="89">
        <v>0.6182060185185185</v>
      </c>
      <c r="E45" s="19" t="s">
        <v>421</v>
      </c>
      <c r="G45" s="19">
        <v>6.36E-10</v>
      </c>
      <c r="I45" s="19" t="s">
        <v>422</v>
      </c>
    </row>
    <row r="47" spans="1:9" ht="12.75">
      <c r="A47" s="19" t="s">
        <v>381</v>
      </c>
      <c r="B47" s="88">
        <v>43857</v>
      </c>
      <c r="C47" s="89">
        <v>0.6222800925925925</v>
      </c>
      <c r="E47" s="19" t="s">
        <v>409</v>
      </c>
      <c r="G47" s="19">
        <v>0.0001</v>
      </c>
      <c r="H47" s="19">
        <v>0.005</v>
      </c>
      <c r="I47" s="19" t="s">
        <v>410</v>
      </c>
    </row>
    <row r="49" spans="1:9" ht="12.75">
      <c r="A49" s="19" t="s">
        <v>381</v>
      </c>
      <c r="B49" s="88">
        <v>43857</v>
      </c>
      <c r="C49" s="89">
        <v>0.622349537037037</v>
      </c>
      <c r="E49" s="19" t="s">
        <v>417</v>
      </c>
      <c r="G49" s="19">
        <v>0.0001</v>
      </c>
      <c r="H49" s="19">
        <v>0.0005</v>
      </c>
      <c r="I49" s="19" t="s">
        <v>418</v>
      </c>
    </row>
    <row r="51" spans="1:9" ht="12.75">
      <c r="A51" s="19" t="s">
        <v>381</v>
      </c>
      <c r="B51" s="88">
        <v>43857</v>
      </c>
      <c r="C51" s="89">
        <v>0.6228935185185185</v>
      </c>
      <c r="E51" s="19" t="s">
        <v>423</v>
      </c>
      <c r="G51" s="19">
        <v>0.53</v>
      </c>
      <c r="I51" s="19" t="s">
        <v>424</v>
      </c>
    </row>
    <row r="53" spans="1:9" ht="12.75">
      <c r="A53" s="19" t="s">
        <v>381</v>
      </c>
      <c r="B53" s="88">
        <v>43857</v>
      </c>
      <c r="C53" s="89">
        <v>0.6229513888888889</v>
      </c>
      <c r="E53" s="19" t="s">
        <v>425</v>
      </c>
      <c r="G53" s="19">
        <v>0.02</v>
      </c>
      <c r="I53" s="19" t="s">
        <v>426</v>
      </c>
    </row>
    <row r="55" spans="1:9" ht="12.75">
      <c r="A55" s="19" t="s">
        <v>381</v>
      </c>
      <c r="B55" s="88">
        <v>43857</v>
      </c>
      <c r="C55" s="89">
        <v>0.6230208333333334</v>
      </c>
      <c r="E55" s="19" t="s">
        <v>427</v>
      </c>
      <c r="G55" s="19">
        <v>460</v>
      </c>
      <c r="I55" s="19" t="s">
        <v>428</v>
      </c>
    </row>
    <row r="57" spans="1:9" ht="12.75">
      <c r="A57" s="19" t="s">
        <v>381</v>
      </c>
      <c r="B57" s="88">
        <v>43857</v>
      </c>
      <c r="C57" s="89">
        <v>0.6230787037037037</v>
      </c>
      <c r="E57" s="19" t="s">
        <v>429</v>
      </c>
      <c r="G57" s="19">
        <v>20.605</v>
      </c>
      <c r="I57" s="19" t="s">
        <v>430</v>
      </c>
    </row>
    <row r="59" spans="1:9" ht="12.75">
      <c r="A59" s="19" t="s">
        <v>381</v>
      </c>
      <c r="B59" s="88">
        <v>43857</v>
      </c>
      <c r="C59" s="89">
        <v>0.623125</v>
      </c>
      <c r="E59" s="19" t="s">
        <v>431</v>
      </c>
      <c r="G59" s="19">
        <v>0.12</v>
      </c>
      <c r="I59" s="19" t="s">
        <v>432</v>
      </c>
    </row>
    <row r="61" spans="1:9" ht="12.75">
      <c r="A61" s="19" t="s">
        <v>381</v>
      </c>
      <c r="B61" s="88">
        <v>43857</v>
      </c>
      <c r="C61" s="89">
        <v>0.6231481481481481</v>
      </c>
      <c r="E61" s="19" t="s">
        <v>433</v>
      </c>
      <c r="G61" s="19">
        <v>0.3</v>
      </c>
      <c r="I61" s="19" t="s">
        <v>434</v>
      </c>
    </row>
    <row r="63" spans="1:9" ht="12.75">
      <c r="A63" s="19" t="s">
        <v>381</v>
      </c>
      <c r="B63" s="88">
        <v>43857</v>
      </c>
      <c r="C63" s="89">
        <v>0.625</v>
      </c>
      <c r="E63" s="19" t="s">
        <v>435</v>
      </c>
      <c r="G63" s="19">
        <v>98</v>
      </c>
      <c r="I63" s="19" t="s">
        <v>319</v>
      </c>
    </row>
    <row r="65" spans="1:9" ht="12.75">
      <c r="A65" s="19" t="s">
        <v>381</v>
      </c>
      <c r="B65" s="88">
        <v>43857</v>
      </c>
      <c r="C65" s="89">
        <v>0.6250347222222222</v>
      </c>
      <c r="E65" s="19" t="s">
        <v>436</v>
      </c>
      <c r="G65" s="19">
        <v>0.6</v>
      </c>
      <c r="H65" s="19">
        <v>1</v>
      </c>
      <c r="I65" s="19" t="s">
        <v>321</v>
      </c>
    </row>
    <row r="67" spans="1:9" ht="12.75">
      <c r="A67" s="19" t="s">
        <v>381</v>
      </c>
      <c r="B67" s="88">
        <v>43857</v>
      </c>
      <c r="C67" s="89">
        <v>0.6252662037037037</v>
      </c>
      <c r="E67" s="19" t="s">
        <v>437</v>
      </c>
      <c r="G67" s="19">
        <v>1</v>
      </c>
      <c r="I67" s="19" t="s">
        <v>438</v>
      </c>
    </row>
    <row r="69" spans="1:9" ht="12.75">
      <c r="A69" s="19" t="s">
        <v>381</v>
      </c>
      <c r="B69" s="88">
        <v>43857</v>
      </c>
      <c r="C69" s="89">
        <v>0.6253125</v>
      </c>
      <c r="E69" s="19" t="s">
        <v>439</v>
      </c>
      <c r="G69" s="19">
        <v>-7</v>
      </c>
      <c r="I69" s="19" t="s">
        <v>440</v>
      </c>
    </row>
    <row r="71" spans="1:9" ht="12.75">
      <c r="A71" s="19" t="s">
        <v>381</v>
      </c>
      <c r="B71" s="88">
        <v>43857</v>
      </c>
      <c r="C71" s="89">
        <v>0.6253472222222222</v>
      </c>
      <c r="E71" s="19" t="s">
        <v>441</v>
      </c>
      <c r="G71" s="19">
        <v>10</v>
      </c>
      <c r="I71" s="19" t="s">
        <v>442</v>
      </c>
    </row>
    <row r="73" spans="1:9" ht="12.75">
      <c r="A73" s="19" t="s">
        <v>381</v>
      </c>
      <c r="B73" s="88">
        <v>43857</v>
      </c>
      <c r="C73" s="89">
        <v>0.6253935185185185</v>
      </c>
      <c r="E73" s="19" t="s">
        <v>443</v>
      </c>
      <c r="G73" s="19">
        <v>0.4</v>
      </c>
      <c r="I73" s="19" t="s">
        <v>444</v>
      </c>
    </row>
    <row r="75" spans="1:9" ht="12.75">
      <c r="A75" s="19" t="s">
        <v>381</v>
      </c>
      <c r="B75" s="88">
        <v>43857</v>
      </c>
      <c r="C75" s="89">
        <v>0.625451388888889</v>
      </c>
      <c r="E75" s="19" t="s">
        <v>445</v>
      </c>
      <c r="G75" s="19">
        <v>10</v>
      </c>
      <c r="I75" s="19" t="s">
        <v>446</v>
      </c>
    </row>
    <row r="77" spans="1:9" ht="12.75">
      <c r="A77" s="19" t="s">
        <v>381</v>
      </c>
      <c r="B77" s="88">
        <v>43857</v>
      </c>
      <c r="C77" s="89">
        <v>0.6264467592592592</v>
      </c>
      <c r="E77" s="19" t="s">
        <v>447</v>
      </c>
      <c r="G77" s="19">
        <v>3</v>
      </c>
      <c r="I77" s="19" t="s">
        <v>448</v>
      </c>
    </row>
    <row r="79" spans="1:9" ht="12.75">
      <c r="A79" s="19" t="s">
        <v>381</v>
      </c>
      <c r="B79" s="88">
        <v>43857</v>
      </c>
      <c r="C79" s="89">
        <v>0.6268981481481481</v>
      </c>
      <c r="E79" s="19" t="s">
        <v>449</v>
      </c>
      <c r="G79" s="19">
        <v>-3.699</v>
      </c>
      <c r="I79" s="19" t="s">
        <v>450</v>
      </c>
    </row>
    <row r="81" spans="1:9" ht="12.75">
      <c r="A81" s="19" t="s">
        <v>381</v>
      </c>
      <c r="B81" s="88">
        <v>43857</v>
      </c>
      <c r="C81" s="89">
        <v>0.6269791666666666</v>
      </c>
      <c r="E81" s="19" t="s">
        <v>451</v>
      </c>
      <c r="G81" s="19">
        <v>0.0045</v>
      </c>
      <c r="I81" s="19" t="s">
        <v>452</v>
      </c>
    </row>
    <row r="83" spans="1:9" ht="12.75">
      <c r="A83" s="19" t="s">
        <v>381</v>
      </c>
      <c r="B83" s="88">
        <v>43857</v>
      </c>
      <c r="C83" s="89">
        <v>0.6270486111111111</v>
      </c>
      <c r="E83" s="19" t="s">
        <v>453</v>
      </c>
      <c r="G83" s="19">
        <v>0.42</v>
      </c>
      <c r="I83" s="19" t="s">
        <v>454</v>
      </c>
    </row>
    <row r="85" spans="1:9" ht="12.75">
      <c r="A85" s="19" t="s">
        <v>381</v>
      </c>
      <c r="B85" s="88">
        <v>43857</v>
      </c>
      <c r="C85" s="89">
        <v>0.6270833333333333</v>
      </c>
      <c r="E85" s="19" t="s">
        <v>455</v>
      </c>
      <c r="G85" s="19">
        <v>10</v>
      </c>
      <c r="I85" s="19" t="s">
        <v>456</v>
      </c>
    </row>
    <row r="87" spans="1:9" ht="12.75">
      <c r="A87" s="19" t="s">
        <v>381</v>
      </c>
      <c r="B87" s="88">
        <v>43857</v>
      </c>
      <c r="C87" s="89">
        <v>0.6272453703703703</v>
      </c>
      <c r="E87" s="19" t="s">
        <v>457</v>
      </c>
      <c r="G87" s="19">
        <v>2000</v>
      </c>
      <c r="I87" s="19" t="s">
        <v>458</v>
      </c>
    </row>
    <row r="89" spans="1:9" ht="12.75">
      <c r="A89" s="19" t="s">
        <v>381</v>
      </c>
      <c r="B89" s="88">
        <v>43857</v>
      </c>
      <c r="C89" s="89">
        <v>0.6272685185185185</v>
      </c>
      <c r="E89" s="19" t="s">
        <v>459</v>
      </c>
      <c r="G89" s="19">
        <v>0.05</v>
      </c>
      <c r="I89" s="19" t="s">
        <v>460</v>
      </c>
    </row>
    <row r="91" spans="1:9" ht="12.75">
      <c r="A91" s="19" t="s">
        <v>381</v>
      </c>
      <c r="B91" s="88">
        <v>43857</v>
      </c>
      <c r="C91" s="89">
        <v>0.6273032407407407</v>
      </c>
      <c r="E91" s="19" t="s">
        <v>461</v>
      </c>
      <c r="G91" s="19">
        <v>1900</v>
      </c>
      <c r="I91" s="19" t="s">
        <v>462</v>
      </c>
    </row>
    <row r="93" spans="1:9" ht="12.75">
      <c r="A93" s="19" t="s">
        <v>381</v>
      </c>
      <c r="B93" s="88">
        <v>43857</v>
      </c>
      <c r="C93" s="89">
        <v>0.6273495370370371</v>
      </c>
      <c r="E93" s="19" t="s">
        <v>463</v>
      </c>
      <c r="G93" s="19">
        <v>0.002</v>
      </c>
      <c r="I93" s="19" t="s">
        <v>464</v>
      </c>
    </row>
    <row r="95" spans="1:9" ht="12.75">
      <c r="A95" s="19" t="s">
        <v>381</v>
      </c>
      <c r="B95" s="88">
        <v>43857</v>
      </c>
      <c r="C95" s="89">
        <v>0.6274537037037037</v>
      </c>
      <c r="E95" s="19" t="s">
        <v>465</v>
      </c>
      <c r="G95" s="19">
        <v>1.25</v>
      </c>
      <c r="H95" s="19">
        <v>0</v>
      </c>
      <c r="I95" s="19" t="s">
        <v>466</v>
      </c>
    </row>
    <row r="97" spans="1:9" ht="12.75">
      <c r="A97" s="19" t="s">
        <v>381</v>
      </c>
      <c r="B97" s="88">
        <v>43857</v>
      </c>
      <c r="C97" s="89">
        <v>0.6274884259259259</v>
      </c>
      <c r="E97" s="19" t="s">
        <v>467</v>
      </c>
      <c r="G97" s="19">
        <v>1.25</v>
      </c>
      <c r="H97" s="19">
        <v>0</v>
      </c>
      <c r="I97" s="19" t="s">
        <v>468</v>
      </c>
    </row>
    <row r="99" spans="1:9" ht="12.75">
      <c r="A99" s="19" t="s">
        <v>381</v>
      </c>
      <c r="B99" s="88">
        <v>43857</v>
      </c>
      <c r="C99" s="89">
        <v>0.6275694444444445</v>
      </c>
      <c r="E99" s="19" t="s">
        <v>469</v>
      </c>
      <c r="G99" s="19">
        <v>188.3</v>
      </c>
      <c r="H99" s="19">
        <v>0</v>
      </c>
      <c r="I99" s="19" t="s">
        <v>470</v>
      </c>
    </row>
    <row r="101" spans="1:9" ht="12.75">
      <c r="A101" s="19" t="s">
        <v>381</v>
      </c>
      <c r="B101" s="88">
        <v>43857</v>
      </c>
      <c r="C101" s="89">
        <v>0.6276041666666666</v>
      </c>
      <c r="E101" s="19" t="s">
        <v>471</v>
      </c>
      <c r="G101" s="19">
        <v>188.3</v>
      </c>
      <c r="H101" s="19">
        <v>0</v>
      </c>
      <c r="I101" s="19" t="s">
        <v>472</v>
      </c>
    </row>
    <row r="103" spans="1:9" ht="12.75">
      <c r="A103" s="19" t="s">
        <v>381</v>
      </c>
      <c r="B103" s="88">
        <v>43857</v>
      </c>
      <c r="C103" s="89">
        <v>0.6278125</v>
      </c>
      <c r="E103" s="19" t="s">
        <v>473</v>
      </c>
      <c r="G103" s="19">
        <v>1E-09</v>
      </c>
      <c r="H103" s="19">
        <v>0</v>
      </c>
      <c r="I103" s="19" t="s">
        <v>474</v>
      </c>
    </row>
    <row r="105" spans="1:9" ht="12.75">
      <c r="A105" s="19" t="s">
        <v>381</v>
      </c>
      <c r="B105" s="88">
        <v>43857</v>
      </c>
      <c r="C105" s="89">
        <v>0.6278935185185185</v>
      </c>
      <c r="E105" s="19" t="s">
        <v>475</v>
      </c>
      <c r="G105" s="19">
        <v>1E-09</v>
      </c>
      <c r="H105" s="19">
        <v>0</v>
      </c>
      <c r="I105" s="19" t="s">
        <v>476</v>
      </c>
    </row>
    <row r="107" spans="1:9" ht="12.75">
      <c r="A107" s="19" t="s">
        <v>381</v>
      </c>
      <c r="B107" s="88">
        <v>43857</v>
      </c>
      <c r="C107" s="89">
        <v>0.6282060185185185</v>
      </c>
      <c r="E107" s="19" t="s">
        <v>477</v>
      </c>
      <c r="G107" s="19">
        <v>1E-09</v>
      </c>
      <c r="H107" s="19">
        <v>0</v>
      </c>
      <c r="I107" s="19" t="s">
        <v>478</v>
      </c>
    </row>
    <row r="109" spans="1:9" ht="12.75">
      <c r="A109" s="19" t="s">
        <v>381</v>
      </c>
      <c r="B109" s="88">
        <v>43857</v>
      </c>
      <c r="C109" s="89">
        <v>0.628275462962963</v>
      </c>
      <c r="E109" s="19" t="s">
        <v>479</v>
      </c>
      <c r="G109" s="19">
        <v>1E-09</v>
      </c>
      <c r="H109" s="19">
        <v>0</v>
      </c>
      <c r="I109" s="19" t="s">
        <v>480</v>
      </c>
    </row>
    <row r="111" spans="1:9" ht="12.75">
      <c r="A111" s="19" t="s">
        <v>381</v>
      </c>
      <c r="B111" s="88">
        <v>43857</v>
      </c>
      <c r="C111" s="89">
        <v>0.6283912037037037</v>
      </c>
      <c r="E111" s="19" t="s">
        <v>481</v>
      </c>
      <c r="G111" s="19">
        <v>110</v>
      </c>
      <c r="H111" s="19">
        <v>0</v>
      </c>
      <c r="I111" s="19" t="s">
        <v>482</v>
      </c>
    </row>
    <row r="113" spans="1:9" ht="12.75">
      <c r="A113" s="19" t="s">
        <v>381</v>
      </c>
      <c r="B113" s="88">
        <v>43857</v>
      </c>
      <c r="C113" s="89">
        <v>0.6284143518518518</v>
      </c>
      <c r="E113" s="19" t="s">
        <v>483</v>
      </c>
      <c r="G113" s="19">
        <v>110</v>
      </c>
      <c r="H113" s="19">
        <v>0</v>
      </c>
      <c r="I113" s="19" t="s">
        <v>484</v>
      </c>
    </row>
    <row r="115" spans="1:9" ht="12.75">
      <c r="A115" s="19" t="s">
        <v>381</v>
      </c>
      <c r="B115" s="88">
        <v>43857</v>
      </c>
      <c r="C115" s="89">
        <v>0.6287847222222223</v>
      </c>
      <c r="E115" s="19" t="s">
        <v>485</v>
      </c>
      <c r="G115" s="19">
        <v>1300</v>
      </c>
      <c r="H115" s="19" t="s">
        <v>184</v>
      </c>
      <c r="I115" s="19" t="s">
        <v>486</v>
      </c>
    </row>
    <row r="117" spans="1:9" ht="12.75">
      <c r="A117" s="19" t="s">
        <v>381</v>
      </c>
      <c r="B117" s="88">
        <v>43857</v>
      </c>
      <c r="C117" s="89">
        <v>0.628912037037037</v>
      </c>
      <c r="E117" s="19" t="s">
        <v>487</v>
      </c>
      <c r="G117" s="19">
        <v>10</v>
      </c>
      <c r="H117" s="19" t="s">
        <v>184</v>
      </c>
      <c r="I117" s="19" t="s">
        <v>488</v>
      </c>
    </row>
    <row r="119" spans="1:9" ht="12.75">
      <c r="A119" s="19" t="s">
        <v>381</v>
      </c>
      <c r="B119" s="88">
        <v>43857</v>
      </c>
      <c r="C119" s="89">
        <v>0.6289236111111111</v>
      </c>
      <c r="E119" s="19" t="s">
        <v>489</v>
      </c>
      <c r="G119" s="19">
        <v>10</v>
      </c>
      <c r="H119" s="19" t="s">
        <v>184</v>
      </c>
      <c r="I119" s="19" t="s">
        <v>490</v>
      </c>
    </row>
    <row r="121" spans="1:9" ht="12.75">
      <c r="A121" s="19" t="s">
        <v>381</v>
      </c>
      <c r="B121" s="88">
        <v>43857</v>
      </c>
      <c r="C121" s="89">
        <v>0.6291087962962963</v>
      </c>
      <c r="E121" s="19" t="s">
        <v>492</v>
      </c>
      <c r="G121" s="19" t="s">
        <v>491</v>
      </c>
      <c r="H121" s="19" t="s">
        <v>348</v>
      </c>
      <c r="I121" s="19" t="s">
        <v>493</v>
      </c>
    </row>
    <row r="123" spans="1:9" ht="12.75">
      <c r="A123" s="19" t="s">
        <v>381</v>
      </c>
      <c r="B123" s="88">
        <v>43857</v>
      </c>
      <c r="C123" s="89">
        <v>0.6292013888888889</v>
      </c>
      <c r="E123" s="19" t="s">
        <v>492</v>
      </c>
      <c r="G123" s="19" t="s">
        <v>348</v>
      </c>
      <c r="H123" s="19" t="s">
        <v>348</v>
      </c>
      <c r="I123" s="19" t="s">
        <v>493</v>
      </c>
    </row>
    <row r="125" spans="1:9" ht="12.75">
      <c r="A125" s="19" t="s">
        <v>381</v>
      </c>
      <c r="B125" s="88">
        <v>43857</v>
      </c>
      <c r="C125" s="89">
        <v>0.6292708333333333</v>
      </c>
      <c r="E125" s="19" t="s">
        <v>492</v>
      </c>
      <c r="G125" s="19" t="s">
        <v>491</v>
      </c>
      <c r="H125" s="19" t="s">
        <v>348</v>
      </c>
      <c r="I125" s="19" t="s">
        <v>493</v>
      </c>
    </row>
    <row r="127" spans="1:9" ht="12.75">
      <c r="A127" s="19" t="s">
        <v>381</v>
      </c>
      <c r="B127" s="88">
        <v>43857</v>
      </c>
      <c r="C127" s="89">
        <v>0.6294791666666667</v>
      </c>
      <c r="E127" s="19" t="s">
        <v>494</v>
      </c>
      <c r="G127" s="19">
        <v>3</v>
      </c>
      <c r="I127" s="19" t="s">
        <v>495</v>
      </c>
    </row>
    <row r="129" spans="1:9" ht="12.75">
      <c r="A129" s="19" t="s">
        <v>381</v>
      </c>
      <c r="B129" s="88">
        <v>43857</v>
      </c>
      <c r="C129" s="89">
        <v>0.6296527777777777</v>
      </c>
      <c r="E129" s="19" t="s">
        <v>496</v>
      </c>
      <c r="G129" s="19">
        <v>315</v>
      </c>
      <c r="I129" s="19" t="s">
        <v>497</v>
      </c>
    </row>
    <row r="131" spans="1:9" ht="12.75">
      <c r="A131" s="19" t="s">
        <v>381</v>
      </c>
      <c r="B131" s="88">
        <v>43857</v>
      </c>
      <c r="C131" s="89">
        <v>0.6296875</v>
      </c>
      <c r="E131" s="19" t="s">
        <v>498</v>
      </c>
      <c r="G131" s="19">
        <v>4</v>
      </c>
      <c r="I131" s="19" t="s">
        <v>499</v>
      </c>
    </row>
    <row r="133" spans="1:9" ht="12.75">
      <c r="A133" s="19" t="s">
        <v>381</v>
      </c>
      <c r="B133" s="88">
        <v>43857</v>
      </c>
      <c r="C133" s="89">
        <v>0.6297106481481481</v>
      </c>
      <c r="E133" s="19" t="s">
        <v>500</v>
      </c>
      <c r="G133" s="19">
        <v>40</v>
      </c>
      <c r="I133" s="19" t="s">
        <v>501</v>
      </c>
    </row>
    <row r="135" spans="1:9" ht="12.75">
      <c r="A135" s="19" t="s">
        <v>381</v>
      </c>
      <c r="B135" s="88">
        <v>43857</v>
      </c>
      <c r="C135" s="89">
        <v>0.6297916666666666</v>
      </c>
      <c r="E135" s="19" t="s">
        <v>502</v>
      </c>
      <c r="G135" s="19" t="s">
        <v>405</v>
      </c>
      <c r="H135" s="19" t="s">
        <v>18</v>
      </c>
      <c r="I135" s="19" t="s">
        <v>503</v>
      </c>
    </row>
    <row r="137" spans="1:9" ht="12.75">
      <c r="A137" s="19" t="s">
        <v>381</v>
      </c>
      <c r="B137" s="88">
        <v>43857</v>
      </c>
      <c r="C137" s="89">
        <v>0.6339467592592593</v>
      </c>
      <c r="E137" s="19" t="s">
        <v>498</v>
      </c>
      <c r="G137" s="19">
        <v>1.5</v>
      </c>
      <c r="H137" s="19">
        <v>4</v>
      </c>
      <c r="I137" s="19" t="s">
        <v>499</v>
      </c>
    </row>
    <row r="139" spans="1:9" ht="12.75">
      <c r="A139" s="19" t="s">
        <v>381</v>
      </c>
      <c r="B139" s="88">
        <v>43857</v>
      </c>
      <c r="C139" s="89">
        <v>0.6339699074074074</v>
      </c>
      <c r="E139" s="19" t="s">
        <v>500</v>
      </c>
      <c r="G139" s="19">
        <v>15</v>
      </c>
      <c r="H139" s="19">
        <v>40</v>
      </c>
      <c r="I139" s="19" t="s">
        <v>501</v>
      </c>
    </row>
    <row r="142" ht="12.75">
      <c r="A142" s="29" t="s">
        <v>516</v>
      </c>
    </row>
    <row r="144" spans="1:50" ht="18">
      <c r="A144" s="9" t="s">
        <v>504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1:50" ht="12.75">
      <c r="A145" s="8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1:50" ht="12.75">
      <c r="A146" s="8" t="s">
        <v>505</v>
      </c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1:50" ht="15.75">
      <c r="A147" s="97" t="s">
        <v>506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1:50" ht="15.75">
      <c r="A148" s="13" t="s">
        <v>507</v>
      </c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1:5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1:50" ht="14.25">
      <c r="A150" s="102" t="s">
        <v>509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1:50" ht="12.75">
      <c r="A151"/>
      <c r="B151" s="45">
        <v>0.5</v>
      </c>
      <c r="C151" s="45">
        <v>0.0001</v>
      </c>
      <c r="D151" s="45">
        <v>250</v>
      </c>
      <c r="E151" s="45">
        <v>10</v>
      </c>
      <c r="F151" s="45">
        <v>0.02</v>
      </c>
      <c r="G151" s="45">
        <v>0.0001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1:5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1:50" ht="14.25">
      <c r="A153" s="98" t="s">
        <v>508</v>
      </c>
      <c r="B153" s="98" t="s">
        <v>6</v>
      </c>
      <c r="C153" s="98" t="s">
        <v>7</v>
      </c>
      <c r="D153" s="98" t="s">
        <v>8</v>
      </c>
      <c r="E153" s="98" t="s">
        <v>9</v>
      </c>
      <c r="F153" s="98" t="s">
        <v>10</v>
      </c>
      <c r="G153" s="98" t="s">
        <v>11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1:50" ht="15">
      <c r="A154"/>
      <c r="B154" s="99" t="s">
        <v>387</v>
      </c>
      <c r="C154" s="99" t="s">
        <v>390</v>
      </c>
      <c r="D154" s="99" t="s">
        <v>393</v>
      </c>
      <c r="E154" s="99" t="s">
        <v>396</v>
      </c>
      <c r="F154" s="99" t="s">
        <v>399</v>
      </c>
      <c r="G154" s="99" t="s">
        <v>402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1:50" ht="12.75">
      <c r="A155" s="100">
        <v>1</v>
      </c>
      <c r="B155" s="101">
        <v>0.028092889609397462</v>
      </c>
      <c r="C155" s="101">
        <v>0</v>
      </c>
      <c r="D155" s="101">
        <v>95.78898512629218</v>
      </c>
      <c r="E155" s="101">
        <v>4.290721822885327</v>
      </c>
      <c r="F155" s="101">
        <v>0</v>
      </c>
      <c r="G155" s="101">
        <v>0.0005434241638156453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1:50" ht="12.75">
      <c r="A156" s="100">
        <v>10</v>
      </c>
      <c r="B156" s="101">
        <v>0.07555208091951392</v>
      </c>
      <c r="C156" s="101">
        <v>1.938717285240743E-23</v>
      </c>
      <c r="D156" s="101">
        <v>61.63234434734858</v>
      </c>
      <c r="E156" s="101">
        <v>2.760727076689386</v>
      </c>
      <c r="F156" s="101">
        <v>3.144627372943295E-13</v>
      </c>
      <c r="G156" s="101">
        <v>0.0003496351435745387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1:50" ht="12.75">
      <c r="A157" s="100">
        <v>100</v>
      </c>
      <c r="B157" s="101">
        <v>0.0009183491402776504</v>
      </c>
      <c r="C157" s="101">
        <v>1.401757750372605E-10</v>
      </c>
      <c r="D157" s="101">
        <v>0.7491521364325221</v>
      </c>
      <c r="E157" s="101">
        <v>0.033557129937374176</v>
      </c>
      <c r="F157" s="101">
        <v>0.004650432133275623</v>
      </c>
      <c r="G157" s="101">
        <v>4.249877520555861E-06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1:50" ht="12.75">
      <c r="A158" s="100">
        <v>1000</v>
      </c>
      <c r="B158" s="101">
        <v>6.465783696582749E-23</v>
      </c>
      <c r="C158" s="101">
        <v>9.903929359977728E-30</v>
      </c>
      <c r="D158" s="101">
        <v>5.274525186077172E-20</v>
      </c>
      <c r="E158" s="101">
        <v>2.3626432925895683E-21</v>
      </c>
      <c r="F158" s="101">
        <v>5.2696621286439814E-12</v>
      </c>
      <c r="G158" s="101">
        <v>2.9921940991467237E-25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1:50" ht="12.75">
      <c r="A159" s="100">
        <v>10000</v>
      </c>
      <c r="B159" s="101">
        <v>0</v>
      </c>
      <c r="C159" s="101">
        <v>0</v>
      </c>
      <c r="D159" s="101">
        <v>0</v>
      </c>
      <c r="E159" s="101">
        <v>0</v>
      </c>
      <c r="F159" s="101">
        <v>0</v>
      </c>
      <c r="G159" s="101">
        <v>0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1:5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1:5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1:50" ht="15.75">
      <c r="A162" s="97" t="s">
        <v>506</v>
      </c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1:50" ht="15.75">
      <c r="A163" s="13" t="s">
        <v>510</v>
      </c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1:5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1:50" ht="14.25">
      <c r="A165" s="98" t="s">
        <v>508</v>
      </c>
      <c r="B165" s="98" t="s">
        <v>6</v>
      </c>
      <c r="C165" s="98" t="s">
        <v>7</v>
      </c>
      <c r="D165" s="98" t="s">
        <v>8</v>
      </c>
      <c r="E165" s="98" t="s">
        <v>9</v>
      </c>
      <c r="F165" s="98" t="s">
        <v>10</v>
      </c>
      <c r="G165" s="98" t="s">
        <v>11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1:50" ht="15">
      <c r="A166"/>
      <c r="B166" s="99" t="s">
        <v>387</v>
      </c>
      <c r="C166" s="99" t="s">
        <v>390</v>
      </c>
      <c r="D166" s="99" t="s">
        <v>393</v>
      </c>
      <c r="E166" s="99" t="s">
        <v>396</v>
      </c>
      <c r="F166" s="99" t="s">
        <v>399</v>
      </c>
      <c r="G166" s="99" t="s">
        <v>402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1:50" ht="12.75">
      <c r="A167" s="103">
        <v>1</v>
      </c>
      <c r="B167" s="101">
        <v>9.432991895264268</v>
      </c>
      <c r="C167" s="101">
        <v>1E+40</v>
      </c>
      <c r="D167" s="101">
        <v>1200.5555737789603</v>
      </c>
      <c r="E167" s="101">
        <v>48.022222951158405</v>
      </c>
      <c r="F167" s="101">
        <v>1E+40</v>
      </c>
      <c r="G167" s="101">
        <v>0.055205495076544646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1:50" ht="12.75">
      <c r="A168" s="103">
        <v>10</v>
      </c>
      <c r="B168" s="101">
        <v>3.507514244145123</v>
      </c>
      <c r="C168" s="101">
        <v>1.0316099284954008E+17</v>
      </c>
      <c r="D168" s="101">
        <v>1865.9033859215401</v>
      </c>
      <c r="E168" s="101">
        <v>74.6361354368616</v>
      </c>
      <c r="F168" s="101">
        <v>7632064837.474393</v>
      </c>
      <c r="G168" s="101">
        <v>0.08580373155081392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1:50" ht="12.75">
      <c r="A169" s="103">
        <v>100</v>
      </c>
      <c r="B169" s="101">
        <v>288.5612762918043</v>
      </c>
      <c r="C169" s="101">
        <v>14267.800548763686</v>
      </c>
      <c r="D169" s="101">
        <v>153506.87051048453</v>
      </c>
      <c r="E169" s="101">
        <v>6140.2748204193795</v>
      </c>
      <c r="F169" s="101">
        <v>0.5160810718700916</v>
      </c>
      <c r="G169" s="101">
        <v>7.059026961340797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1:50" ht="12.75">
      <c r="A170" s="103">
        <v>1000</v>
      </c>
      <c r="B170" s="101">
        <v>4.0984977604502293E+21</v>
      </c>
      <c r="C170" s="101">
        <v>2.019400509945174E+23</v>
      </c>
      <c r="D170" s="101">
        <v>2.1802910393443217E+24</v>
      </c>
      <c r="E170" s="101">
        <v>8.721164157377287E+22</v>
      </c>
      <c r="F170" s="101">
        <v>455437168.723677</v>
      </c>
      <c r="G170" s="101">
        <v>1.0026087548449823E+20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1:50" ht="12.75">
      <c r="A171" s="103">
        <v>10000</v>
      </c>
      <c r="B171" s="101">
        <v>1E+40</v>
      </c>
      <c r="C171" s="101">
        <v>1E+40</v>
      </c>
      <c r="D171" s="101">
        <v>1E+40</v>
      </c>
      <c r="E171" s="101">
        <v>1E+40</v>
      </c>
      <c r="F171" s="101">
        <v>1E+40</v>
      </c>
      <c r="G171" s="101">
        <v>1E+40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1:5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1:50" ht="14.25">
      <c r="A173" s="102" t="s">
        <v>511</v>
      </c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1:50" ht="12.75">
      <c r="A174"/>
      <c r="B174" s="45">
        <v>0.53</v>
      </c>
      <c r="C174" s="45">
        <v>0.02</v>
      </c>
      <c r="D174" s="45">
        <v>460</v>
      </c>
      <c r="E174" s="45">
        <v>20.605</v>
      </c>
      <c r="F174" s="45">
        <v>0.12</v>
      </c>
      <c r="G174" s="45">
        <v>0.3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1:5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1:5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1:50" ht="15.75">
      <c r="A177" s="97" t="s">
        <v>506</v>
      </c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1:50" ht="15.75">
      <c r="A178" s="13" t="s">
        <v>512</v>
      </c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1:5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1:50" ht="12.75">
      <c r="A180"/>
      <c r="B180" s="101">
        <v>4.622433472156249</v>
      </c>
      <c r="C180" s="42" t="s">
        <v>513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1:5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1:50" ht="12.75">
      <c r="A182"/>
      <c r="B182"/>
      <c r="C182"/>
      <c r="D182"/>
      <c r="E182"/>
      <c r="F182"/>
      <c r="G182"/>
      <c r="H182"/>
      <c r="I182" s="104" t="s">
        <v>515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1:50" ht="15.75">
      <c r="A183" s="97" t="s">
        <v>506</v>
      </c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1:50" ht="15.75">
      <c r="A184" s="13" t="s">
        <v>514</v>
      </c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1:5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1:50" ht="14.25">
      <c r="A186" s="98" t="s">
        <v>508</v>
      </c>
      <c r="B186" s="98" t="s">
        <v>6</v>
      </c>
      <c r="C186" s="98" t="s">
        <v>7</v>
      </c>
      <c r="D186" s="98" t="s">
        <v>8</v>
      </c>
      <c r="E186" s="98" t="s">
        <v>9</v>
      </c>
      <c r="F186" s="98" t="s">
        <v>10</v>
      </c>
      <c r="G186" s="98" t="s">
        <v>11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1:50" ht="15">
      <c r="A187"/>
      <c r="B187" s="99" t="s">
        <v>387</v>
      </c>
      <c r="C187" s="99" t="s">
        <v>390</v>
      </c>
      <c r="D187" s="99" t="s">
        <v>393</v>
      </c>
      <c r="E187" s="99" t="s">
        <v>396</v>
      </c>
      <c r="F187" s="99" t="s">
        <v>399</v>
      </c>
      <c r="G187" s="99" t="s">
        <v>402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1:50" ht="12.75">
      <c r="A188" s="103">
        <v>1</v>
      </c>
      <c r="B188" s="101">
        <v>4.081396499088612</v>
      </c>
      <c r="C188" s="101">
        <v>1E+40</v>
      </c>
      <c r="D188" s="101">
        <v>1.0388948427365305</v>
      </c>
      <c r="E188" s="101">
        <v>1.0388948427365303</v>
      </c>
      <c r="F188" s="101">
        <v>1E+40</v>
      </c>
      <c r="G188" s="101">
        <v>119.42950700984922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1:50" ht="12.75">
      <c r="A189" s="103">
        <v>10</v>
      </c>
      <c r="B189" s="101">
        <v>1.5176050732900892</v>
      </c>
      <c r="C189" s="101">
        <v>2.231746405241784E+20</v>
      </c>
      <c r="D189" s="101">
        <v>1.6146502894296004</v>
      </c>
      <c r="E189" s="101">
        <v>1.6146502894296002</v>
      </c>
      <c r="F189" s="101">
        <v>82554620671.63324</v>
      </c>
      <c r="G189" s="101">
        <v>185.62458944549962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1:50" ht="12.75">
      <c r="A190" s="103">
        <v>100</v>
      </c>
      <c r="B190" s="101">
        <v>124.85253839995136</v>
      </c>
      <c r="C190" s="101">
        <v>30866427.03395818</v>
      </c>
      <c r="D190" s="101">
        <v>132.83641305831702</v>
      </c>
      <c r="E190" s="101">
        <v>132.836413058317</v>
      </c>
      <c r="F190" s="101">
        <v>5.582352617714936</v>
      </c>
      <c r="G190" s="101">
        <v>15271.235386862016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1:50" ht="12.75">
      <c r="A191" s="103">
        <v>1000</v>
      </c>
      <c r="B191" s="101">
        <v>1.7733074083761265E+21</v>
      </c>
      <c r="C191" s="101">
        <v>4.3686956710340146E+26</v>
      </c>
      <c r="D191" s="101">
        <v>1.88670409426338E+21</v>
      </c>
      <c r="E191" s="101">
        <v>1.8867040942633798E+21</v>
      </c>
      <c r="F191" s="101">
        <v>4926378837.759962</v>
      </c>
      <c r="G191" s="101">
        <v>2.1690063488946018E+23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1:50" ht="12.75">
      <c r="A192" s="103">
        <v>10000</v>
      </c>
      <c r="B192" s="101">
        <v>1E+40</v>
      </c>
      <c r="C192" s="101">
        <v>1E+40</v>
      </c>
      <c r="D192" s="101">
        <v>1E+40</v>
      </c>
      <c r="E192" s="101">
        <v>1E+40</v>
      </c>
      <c r="F192" s="101">
        <v>1E+40</v>
      </c>
      <c r="G192" s="101">
        <v>1E+40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4" spans="1:9" ht="12.75">
      <c r="A194" s="19" t="s">
        <v>381</v>
      </c>
      <c r="B194" s="88">
        <v>43857</v>
      </c>
      <c r="C194" s="89">
        <v>0.6375</v>
      </c>
      <c r="E194" s="19" t="s">
        <v>436</v>
      </c>
      <c r="G194" s="19">
        <v>0.8</v>
      </c>
      <c r="H194" s="19">
        <v>0.6</v>
      </c>
      <c r="I194" s="19" t="s">
        <v>321</v>
      </c>
    </row>
    <row r="197" ht="12.75">
      <c r="A197" s="29" t="s">
        <v>517</v>
      </c>
    </row>
    <row r="199" spans="1:50" ht="18">
      <c r="A199" s="9" t="s">
        <v>504</v>
      </c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1:50" ht="12.75">
      <c r="A200" s="8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1:50" ht="12.75">
      <c r="A201" s="8" t="s">
        <v>505</v>
      </c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1:50" ht="15.75">
      <c r="A202" s="97" t="s">
        <v>506</v>
      </c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1:50" ht="15.75">
      <c r="A203" s="13" t="s">
        <v>507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1:5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1:50" ht="14.25">
      <c r="A205" s="102" t="s">
        <v>509</v>
      </c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1:50" ht="12.75">
      <c r="A206"/>
      <c r="B206" s="45">
        <v>0.5</v>
      </c>
      <c r="C206" s="45">
        <v>0.0001</v>
      </c>
      <c r="D206" s="45">
        <v>250</v>
      </c>
      <c r="E206" s="45">
        <v>10</v>
      </c>
      <c r="F206" s="45">
        <v>0.02</v>
      </c>
      <c r="G206" s="45">
        <v>0.0001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1:5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1:50" ht="14.25">
      <c r="A208" s="98" t="s">
        <v>508</v>
      </c>
      <c r="B208" s="98" t="s">
        <v>6</v>
      </c>
      <c r="C208" s="98" t="s">
        <v>7</v>
      </c>
      <c r="D208" s="98" t="s">
        <v>8</v>
      </c>
      <c r="E208" s="98" t="s">
        <v>9</v>
      </c>
      <c r="F208" s="98" t="s">
        <v>10</v>
      </c>
      <c r="G208" s="98" t="s">
        <v>11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1:50" ht="15">
      <c r="A209"/>
      <c r="B209" s="99" t="s">
        <v>387</v>
      </c>
      <c r="C209" s="99" t="s">
        <v>390</v>
      </c>
      <c r="D209" s="99" t="s">
        <v>393</v>
      </c>
      <c r="E209" s="99" t="s">
        <v>396</v>
      </c>
      <c r="F209" s="99" t="s">
        <v>399</v>
      </c>
      <c r="G209" s="99" t="s">
        <v>402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1:50" ht="12.75">
      <c r="A210" s="100">
        <v>1</v>
      </c>
      <c r="B210" s="101">
        <v>0.03482171366720482</v>
      </c>
      <c r="C210" s="101">
        <v>0</v>
      </c>
      <c r="D210" s="101">
        <v>117.62454721897937</v>
      </c>
      <c r="E210" s="101">
        <v>5.268812598797978</v>
      </c>
      <c r="F210" s="101">
        <v>0</v>
      </c>
      <c r="G210" s="101">
        <v>0.0006664228544284452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1:50" ht="12.75">
      <c r="A211" s="100">
        <v>10</v>
      </c>
      <c r="B211" s="101">
        <v>0.08178303924583914</v>
      </c>
      <c r="C211" s="101">
        <v>2.4029557464234886E-23</v>
      </c>
      <c r="D211" s="101">
        <v>65.33562226610343</v>
      </c>
      <c r="E211" s="101">
        <v>2.9266097756370892</v>
      </c>
      <c r="F211" s="101">
        <v>3.8898385767192133E-13</v>
      </c>
      <c r="G211" s="101">
        <v>0.00037015594344870175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1:50" ht="12.75">
      <c r="A212" s="100">
        <v>100</v>
      </c>
      <c r="B212" s="101">
        <v>0.00022856606948067358</v>
      </c>
      <c r="C212" s="101">
        <v>8.460572487145593E-11</v>
      </c>
      <c r="D212" s="101">
        <v>0.18259903504463304</v>
      </c>
      <c r="E212" s="101">
        <v>0.00817924590672753</v>
      </c>
      <c r="F212" s="101">
        <v>0.004567019185571089</v>
      </c>
      <c r="G212" s="101">
        <v>1.0345063802178612E-06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1:50" ht="12.75">
      <c r="A213" s="100">
        <v>1000</v>
      </c>
      <c r="B213" s="101">
        <v>6.645018955338612E-30</v>
      </c>
      <c r="C213" s="101">
        <v>2.4799285003760394E-36</v>
      </c>
      <c r="D213" s="101">
        <v>5.308635931203974E-27</v>
      </c>
      <c r="E213" s="101">
        <v>2.3779226817925625E-28</v>
      </c>
      <c r="F213" s="101">
        <v>3.970717672054611E-12</v>
      </c>
      <c r="G213" s="101">
        <v>3.0075831122118104E-32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1:50" ht="12.75">
      <c r="A214" s="100">
        <v>10000</v>
      </c>
      <c r="B214" s="101">
        <v>0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1:5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1:5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1:50" ht="15.75">
      <c r="A217" s="97" t="s">
        <v>506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1:50" ht="15.75">
      <c r="A218" s="13" t="s">
        <v>510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1:5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1:50" ht="14.25">
      <c r="A220" s="98" t="s">
        <v>508</v>
      </c>
      <c r="B220" s="98" t="s">
        <v>6</v>
      </c>
      <c r="C220" s="98" t="s">
        <v>7</v>
      </c>
      <c r="D220" s="98" t="s">
        <v>8</v>
      </c>
      <c r="E220" s="98" t="s">
        <v>9</v>
      </c>
      <c r="F220" s="98" t="s">
        <v>10</v>
      </c>
      <c r="G220" s="98" t="s">
        <v>11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1:50" ht="15">
      <c r="A221"/>
      <c r="B221" s="99" t="s">
        <v>387</v>
      </c>
      <c r="C221" s="99" t="s">
        <v>390</v>
      </c>
      <c r="D221" s="99" t="s">
        <v>393</v>
      </c>
      <c r="E221" s="99" t="s">
        <v>396</v>
      </c>
      <c r="F221" s="99" t="s">
        <v>399</v>
      </c>
      <c r="G221" s="99" t="s">
        <v>402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1:50" ht="12.75">
      <c r="A222" s="103">
        <v>1</v>
      </c>
      <c r="B222" s="101">
        <v>7.610194102812857</v>
      </c>
      <c r="C222" s="101">
        <v>1E+40</v>
      </c>
      <c r="D222" s="101">
        <v>977.6870790916346</v>
      </c>
      <c r="E222" s="101">
        <v>39.10748316366539</v>
      </c>
      <c r="F222" s="101">
        <v>1E+40</v>
      </c>
      <c r="G222" s="101">
        <v>0.045016463347028184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1:50" ht="12.75">
      <c r="A223" s="103">
        <v>10</v>
      </c>
      <c r="B223" s="101">
        <v>3.240280655300816</v>
      </c>
      <c r="C223" s="101">
        <v>83230829488922580</v>
      </c>
      <c r="D223" s="101">
        <v>1760.1424155971158</v>
      </c>
      <c r="E223" s="101">
        <v>70.40569662388465</v>
      </c>
      <c r="F223" s="101">
        <v>6169921842.937296</v>
      </c>
      <c r="G223" s="101">
        <v>0.0810469223335801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1:50" ht="12.75">
      <c r="A224" s="103">
        <v>100</v>
      </c>
      <c r="B224" s="101">
        <v>1159.4021833691597</v>
      </c>
      <c r="C224" s="101">
        <v>23639.06228613562</v>
      </c>
      <c r="D224" s="101">
        <v>629795.2230245374</v>
      </c>
      <c r="E224" s="101">
        <v>25191.8089209815</v>
      </c>
      <c r="F224" s="101">
        <v>0.5255068793191173</v>
      </c>
      <c r="G224" s="101">
        <v>28.999337823012915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1:50" ht="12.75">
      <c r="A225" s="103">
        <v>1000</v>
      </c>
      <c r="B225" s="101">
        <v>3.987949496925044E+28</v>
      </c>
      <c r="C225" s="101">
        <v>8.064748639715758E+29</v>
      </c>
      <c r="D225" s="101">
        <v>2.1662815361670233E+31</v>
      </c>
      <c r="E225" s="101">
        <v>8.665126144668094E+29</v>
      </c>
      <c r="F225" s="101">
        <v>604424740.8701164</v>
      </c>
      <c r="G225" s="101">
        <v>9.974786691077562E+26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1:50" ht="12.75">
      <c r="A226" s="103">
        <v>10000</v>
      </c>
      <c r="B226" s="101">
        <v>1E+40</v>
      </c>
      <c r="C226" s="101">
        <v>1E+40</v>
      </c>
      <c r="D226" s="101">
        <v>1E+40</v>
      </c>
      <c r="E226" s="101">
        <v>1E+40</v>
      </c>
      <c r="F226" s="101">
        <v>1E+40</v>
      </c>
      <c r="G226" s="101">
        <v>1E+40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1:5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1:50" ht="14.25">
      <c r="A228" s="102" t="s">
        <v>511</v>
      </c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1:50" ht="12.75">
      <c r="A229"/>
      <c r="B229" s="45">
        <v>0.53</v>
      </c>
      <c r="C229" s="45">
        <v>0.02</v>
      </c>
      <c r="D229" s="45">
        <v>460</v>
      </c>
      <c r="E229" s="45">
        <v>20.605</v>
      </c>
      <c r="F229" s="45">
        <v>0.12</v>
      </c>
      <c r="G229" s="45">
        <v>0.3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1:5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1:5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1:50" ht="15.75">
      <c r="A232" s="97" t="s">
        <v>506</v>
      </c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1:50" ht="15.75">
      <c r="A233" s="13" t="s">
        <v>512</v>
      </c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1:5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1:50" ht="12.75">
      <c r="A235"/>
      <c r="B235" s="101">
        <v>3.716825104117186</v>
      </c>
      <c r="C235" s="42" t="s">
        <v>513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1:5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1:50" ht="12.75">
      <c r="A237"/>
      <c r="B237"/>
      <c r="C237"/>
      <c r="D237"/>
      <c r="E237"/>
      <c r="F237"/>
      <c r="G237"/>
      <c r="H237"/>
      <c r="I237" s="104" t="s">
        <v>515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1:50" ht="15.75">
      <c r="A238" s="97" t="s">
        <v>506</v>
      </c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1:50" ht="15.75">
      <c r="A239" s="13" t="s">
        <v>514</v>
      </c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1:5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1:50" ht="14.25">
      <c r="A241" s="98" t="s">
        <v>508</v>
      </c>
      <c r="B241" s="98" t="s">
        <v>6</v>
      </c>
      <c r="C241" s="98" t="s">
        <v>7</v>
      </c>
      <c r="D241" s="98" t="s">
        <v>8</v>
      </c>
      <c r="E241" s="98" t="s">
        <v>9</v>
      </c>
      <c r="F241" s="98" t="s">
        <v>10</v>
      </c>
      <c r="G241" s="98" t="s">
        <v>11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1:50" ht="15">
      <c r="A242"/>
      <c r="B242" s="99" t="s">
        <v>387</v>
      </c>
      <c r="C242" s="99" t="s">
        <v>390</v>
      </c>
      <c r="D242" s="99" t="s">
        <v>393</v>
      </c>
      <c r="E242" s="99" t="s">
        <v>396</v>
      </c>
      <c r="F242" s="99" t="s">
        <v>399</v>
      </c>
      <c r="G242" s="99" t="s">
        <v>402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1:50" ht="12.75">
      <c r="A243" s="103">
        <v>1</v>
      </c>
      <c r="B243" s="101">
        <v>4.094997149251347</v>
      </c>
      <c r="C243" s="101">
        <v>1E+40</v>
      </c>
      <c r="D243" s="101">
        <v>1.0521744248968132</v>
      </c>
      <c r="E243" s="101">
        <v>1.0521744248968135</v>
      </c>
      <c r="F243" s="101">
        <v>1E+40</v>
      </c>
      <c r="G243" s="101">
        <v>121.11536616873022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1:50" ht="12.75">
      <c r="A244" s="103">
        <v>10</v>
      </c>
      <c r="B244" s="101">
        <v>1.7435744564421425</v>
      </c>
      <c r="C244" s="101">
        <v>2.2392990565180604E+20</v>
      </c>
      <c r="D244" s="101">
        <v>1.894242926466869</v>
      </c>
      <c r="E244" s="101">
        <v>1.8942429264668692</v>
      </c>
      <c r="F244" s="101">
        <v>82999894669.54977</v>
      </c>
      <c r="G244" s="101">
        <v>218.05417275029473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1:50" ht="12.75">
      <c r="A245" s="103">
        <v>100</v>
      </c>
      <c r="B245" s="101">
        <v>623.8669568201483</v>
      </c>
      <c r="C245" s="101">
        <v>63600146.964004986</v>
      </c>
      <c r="D245" s="101">
        <v>677.7776251316246</v>
      </c>
      <c r="E245" s="101">
        <v>677.7776251316247</v>
      </c>
      <c r="F245" s="101">
        <v>7.069297916883485</v>
      </c>
      <c r="G245" s="101">
        <v>78021.79820322966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1:50" ht="12.75">
      <c r="A246" s="103">
        <v>1000</v>
      </c>
      <c r="B246" s="101">
        <v>2.1458903151012025E+28</v>
      </c>
      <c r="C246" s="101">
        <v>2.1697950303828683E+33</v>
      </c>
      <c r="D246" s="101">
        <v>2.3313246929670154E+28</v>
      </c>
      <c r="E246" s="101">
        <v>2.3313246929670154E+28</v>
      </c>
      <c r="F246" s="101">
        <v>8130927928.255024</v>
      </c>
      <c r="G246" s="101">
        <v>2.6836847071519007E+30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1:50" ht="12.75">
      <c r="A247" s="103">
        <v>10000</v>
      </c>
      <c r="B247" s="101">
        <v>1E+40</v>
      </c>
      <c r="C247" s="101">
        <v>1E+40</v>
      </c>
      <c r="D247" s="101">
        <v>1E+40</v>
      </c>
      <c r="E247" s="101">
        <v>1E+40</v>
      </c>
      <c r="F247" s="101">
        <v>1E+40</v>
      </c>
      <c r="G247" s="101">
        <v>1E+40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9" spans="1:9" ht="12.75">
      <c r="A249" s="19" t="s">
        <v>381</v>
      </c>
      <c r="B249" s="88">
        <v>43857</v>
      </c>
      <c r="C249" s="89">
        <v>0.6391550925925926</v>
      </c>
      <c r="E249" s="19" t="s">
        <v>436</v>
      </c>
      <c r="G249" s="19">
        <v>0.6</v>
      </c>
      <c r="H249" s="19">
        <v>0.8</v>
      </c>
      <c r="I249" s="19" t="s">
        <v>321</v>
      </c>
    </row>
    <row r="252" ht="12.75">
      <c r="A252" s="29" t="s">
        <v>518</v>
      </c>
    </row>
    <row r="254" spans="1:50" ht="18">
      <c r="A254" s="9" t="s">
        <v>504</v>
      </c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1:50" ht="12.75">
      <c r="A255" s="8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1:50" ht="12.75">
      <c r="A256" s="8" t="s">
        <v>505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1:50" ht="15.75">
      <c r="A257" s="97" t="s">
        <v>506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1:50" ht="15.75">
      <c r="A258" s="13" t="s">
        <v>507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1:5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1:50" ht="14.25">
      <c r="A260" s="102" t="s">
        <v>509</v>
      </c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1:50" ht="12.75">
      <c r="A261"/>
      <c r="B261" s="45">
        <v>0.5</v>
      </c>
      <c r="C261" s="45">
        <v>0.0001</v>
      </c>
      <c r="D261" s="45">
        <v>250</v>
      </c>
      <c r="E261" s="45">
        <v>10</v>
      </c>
      <c r="F261" s="45">
        <v>0.02</v>
      </c>
      <c r="G261" s="45">
        <v>0.0001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1:5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1:50" ht="14.25">
      <c r="A263" s="98" t="s">
        <v>508</v>
      </c>
      <c r="B263" s="98" t="s">
        <v>6</v>
      </c>
      <c r="C263" s="98" t="s">
        <v>7</v>
      </c>
      <c r="D263" s="98" t="s">
        <v>8</v>
      </c>
      <c r="E263" s="98" t="s">
        <v>9</v>
      </c>
      <c r="F263" s="98" t="s">
        <v>10</v>
      </c>
      <c r="G263" s="98" t="s">
        <v>11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1:50" ht="15">
      <c r="A264"/>
      <c r="B264" s="99" t="s">
        <v>387</v>
      </c>
      <c r="C264" s="99" t="s">
        <v>390</v>
      </c>
      <c r="D264" s="99" t="s">
        <v>393</v>
      </c>
      <c r="E264" s="99" t="s">
        <v>396</v>
      </c>
      <c r="F264" s="99" t="s">
        <v>399</v>
      </c>
      <c r="G264" s="99" t="s">
        <v>402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1:50" ht="12.75">
      <c r="A265" s="100">
        <v>1</v>
      </c>
      <c r="B265" s="101">
        <v>0.028092889609397462</v>
      </c>
      <c r="C265" s="101">
        <v>0</v>
      </c>
      <c r="D265" s="101">
        <v>95.78898512629218</v>
      </c>
      <c r="E265" s="101">
        <v>4.290721822885327</v>
      </c>
      <c r="F265" s="101">
        <v>0</v>
      </c>
      <c r="G265" s="101">
        <v>0.0005434241638156453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1:50" ht="12.75">
      <c r="A266" s="100">
        <v>10</v>
      </c>
      <c r="B266" s="101">
        <v>0.07555208091951392</v>
      </c>
      <c r="C266" s="101">
        <v>1.938717285240743E-23</v>
      </c>
      <c r="D266" s="101">
        <v>61.63234434734858</v>
      </c>
      <c r="E266" s="101">
        <v>2.760727076689386</v>
      </c>
      <c r="F266" s="101">
        <v>3.144627372943295E-13</v>
      </c>
      <c r="G266" s="101">
        <v>0.0003496351435745387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1:50" ht="12.75">
      <c r="A267" s="100">
        <v>100</v>
      </c>
      <c r="B267" s="101">
        <v>0.0009183491402776504</v>
      </c>
      <c r="C267" s="101">
        <v>1.401757750372605E-10</v>
      </c>
      <c r="D267" s="101">
        <v>0.7491521364325221</v>
      </c>
      <c r="E267" s="101">
        <v>0.033557129937374176</v>
      </c>
      <c r="F267" s="101">
        <v>0.004650432133275623</v>
      </c>
      <c r="G267" s="101">
        <v>4.249877520555861E-06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1:50" ht="12.75">
      <c r="A268" s="100">
        <v>1000</v>
      </c>
      <c r="B268" s="101">
        <v>6.465783696582749E-23</v>
      </c>
      <c r="C268" s="101">
        <v>9.903929359977728E-30</v>
      </c>
      <c r="D268" s="101">
        <v>5.274525186077172E-20</v>
      </c>
      <c r="E268" s="101">
        <v>2.3626432925895683E-21</v>
      </c>
      <c r="F268" s="101">
        <v>5.2696621286439814E-12</v>
      </c>
      <c r="G268" s="101">
        <v>2.9921940991467237E-25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1:50" ht="12.75">
      <c r="A269" s="100">
        <v>10000</v>
      </c>
      <c r="B269" s="101">
        <v>0</v>
      </c>
      <c r="C269" s="101">
        <v>0</v>
      </c>
      <c r="D269" s="101">
        <v>0</v>
      </c>
      <c r="E269" s="101">
        <v>0</v>
      </c>
      <c r="F269" s="101">
        <v>0</v>
      </c>
      <c r="G269" s="101">
        <v>0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1:5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1:5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1:50" ht="15.75">
      <c r="A272" s="97" t="s">
        <v>506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1:50" ht="15.75">
      <c r="A273" s="13" t="s">
        <v>510</v>
      </c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1:5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1:50" ht="14.25">
      <c r="A275" s="98" t="s">
        <v>508</v>
      </c>
      <c r="B275" s="98" t="s">
        <v>6</v>
      </c>
      <c r="C275" s="98" t="s">
        <v>7</v>
      </c>
      <c r="D275" s="98" t="s">
        <v>8</v>
      </c>
      <c r="E275" s="98" t="s">
        <v>9</v>
      </c>
      <c r="F275" s="98" t="s">
        <v>10</v>
      </c>
      <c r="G275" s="98" t="s">
        <v>11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1:50" ht="15">
      <c r="A276"/>
      <c r="B276" s="99" t="s">
        <v>387</v>
      </c>
      <c r="C276" s="99" t="s">
        <v>390</v>
      </c>
      <c r="D276" s="99" t="s">
        <v>393</v>
      </c>
      <c r="E276" s="99" t="s">
        <v>396</v>
      </c>
      <c r="F276" s="99" t="s">
        <v>399</v>
      </c>
      <c r="G276" s="99" t="s">
        <v>402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1:50" ht="12.75">
      <c r="A277" s="103">
        <v>1</v>
      </c>
      <c r="B277" s="101">
        <v>9.432991895264268</v>
      </c>
      <c r="C277" s="101">
        <v>1E+40</v>
      </c>
      <c r="D277" s="101">
        <v>1200.5555737789603</v>
      </c>
      <c r="E277" s="101">
        <v>48.022222951158405</v>
      </c>
      <c r="F277" s="101">
        <v>1E+40</v>
      </c>
      <c r="G277" s="101">
        <v>0.055205495076544646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1:50" ht="12.75">
      <c r="A278" s="103">
        <v>10</v>
      </c>
      <c r="B278" s="101">
        <v>3.507514244145123</v>
      </c>
      <c r="C278" s="101">
        <v>1.0316099284954008E+17</v>
      </c>
      <c r="D278" s="101">
        <v>1865.9033859215401</v>
      </c>
      <c r="E278" s="101">
        <v>74.6361354368616</v>
      </c>
      <c r="F278" s="101">
        <v>7632064837.474393</v>
      </c>
      <c r="G278" s="101">
        <v>0.08580373155081392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 ht="12.75">
      <c r="A279" s="103">
        <v>100</v>
      </c>
      <c r="B279" s="101">
        <v>288.5612762918043</v>
      </c>
      <c r="C279" s="101">
        <v>14267.800548763686</v>
      </c>
      <c r="D279" s="101">
        <v>153506.87051048453</v>
      </c>
      <c r="E279" s="101">
        <v>6140.2748204193795</v>
      </c>
      <c r="F279" s="101">
        <v>0.5160810718700916</v>
      </c>
      <c r="G279" s="101">
        <v>7.059026961340797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1:50" ht="12.75">
      <c r="A280" s="103">
        <v>1000</v>
      </c>
      <c r="B280" s="101">
        <v>4.0984977604502293E+21</v>
      </c>
      <c r="C280" s="101">
        <v>2.019400509945174E+23</v>
      </c>
      <c r="D280" s="101">
        <v>2.1802910393443217E+24</v>
      </c>
      <c r="E280" s="101">
        <v>8.721164157377287E+22</v>
      </c>
      <c r="F280" s="101">
        <v>455437168.723677</v>
      </c>
      <c r="G280" s="101">
        <v>1.0026087548449823E+20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1:50" ht="12.75">
      <c r="A281" s="103">
        <v>10000</v>
      </c>
      <c r="B281" s="101">
        <v>1E+40</v>
      </c>
      <c r="C281" s="101">
        <v>1E+40</v>
      </c>
      <c r="D281" s="101">
        <v>1E+40</v>
      </c>
      <c r="E281" s="101">
        <v>1E+40</v>
      </c>
      <c r="F281" s="101">
        <v>1E+40</v>
      </c>
      <c r="G281" s="101">
        <v>1E+40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1:5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1:50" ht="14.25">
      <c r="A283" s="102" t="s">
        <v>511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1:50" ht="12.75">
      <c r="A284"/>
      <c r="B284" s="45">
        <v>0.53</v>
      </c>
      <c r="C284" s="45">
        <v>0.02</v>
      </c>
      <c r="D284" s="45">
        <v>460</v>
      </c>
      <c r="E284" s="45">
        <v>20.605</v>
      </c>
      <c r="F284" s="45">
        <v>0.12</v>
      </c>
      <c r="G284" s="45">
        <v>0.3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1:5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1:5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 ht="15.75">
      <c r="A287" s="97" t="s">
        <v>506</v>
      </c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 ht="15.75">
      <c r="A288" s="13" t="s">
        <v>512</v>
      </c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 ht="12.75">
      <c r="A290"/>
      <c r="B290" s="101">
        <v>4.622433472156249</v>
      </c>
      <c r="C290" s="42" t="s">
        <v>513</v>
      </c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 ht="12.75">
      <c r="A292"/>
      <c r="B292"/>
      <c r="C292"/>
      <c r="D292"/>
      <c r="E292"/>
      <c r="F292"/>
      <c r="G292"/>
      <c r="H292"/>
      <c r="I292" s="104" t="s">
        <v>515</v>
      </c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 ht="15.75">
      <c r="A293" s="97" t="s">
        <v>506</v>
      </c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 ht="15.75">
      <c r="A294" s="13" t="s">
        <v>514</v>
      </c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 ht="14.25">
      <c r="A296" s="98" t="s">
        <v>508</v>
      </c>
      <c r="B296" s="98" t="s">
        <v>6</v>
      </c>
      <c r="C296" s="98" t="s">
        <v>7</v>
      </c>
      <c r="D296" s="98" t="s">
        <v>8</v>
      </c>
      <c r="E296" s="98" t="s">
        <v>9</v>
      </c>
      <c r="F296" s="98" t="s">
        <v>10</v>
      </c>
      <c r="G296" s="98" t="s">
        <v>11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 ht="15">
      <c r="A297"/>
      <c r="B297" s="99" t="s">
        <v>387</v>
      </c>
      <c r="C297" s="99" t="s">
        <v>390</v>
      </c>
      <c r="D297" s="99" t="s">
        <v>393</v>
      </c>
      <c r="E297" s="99" t="s">
        <v>396</v>
      </c>
      <c r="F297" s="99" t="s">
        <v>399</v>
      </c>
      <c r="G297" s="99" t="s">
        <v>402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 ht="12.75">
      <c r="A298" s="103">
        <v>1</v>
      </c>
      <c r="B298" s="101">
        <v>4.081396499088612</v>
      </c>
      <c r="C298" s="101">
        <v>1E+40</v>
      </c>
      <c r="D298" s="101">
        <v>1.0388948427365305</v>
      </c>
      <c r="E298" s="101">
        <v>1.0388948427365303</v>
      </c>
      <c r="F298" s="101">
        <v>1E+40</v>
      </c>
      <c r="G298" s="101">
        <v>119.42950700984922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 ht="12.75">
      <c r="A299" s="103">
        <v>10</v>
      </c>
      <c r="B299" s="101">
        <v>1.5176050732900892</v>
      </c>
      <c r="C299" s="101">
        <v>2.231746405241784E+20</v>
      </c>
      <c r="D299" s="101">
        <v>1.6146502894296004</v>
      </c>
      <c r="E299" s="101">
        <v>1.6146502894296002</v>
      </c>
      <c r="F299" s="101">
        <v>82554620671.63324</v>
      </c>
      <c r="G299" s="101">
        <v>185.62458944549962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ht="12.75">
      <c r="A300" s="103">
        <v>100</v>
      </c>
      <c r="B300" s="101">
        <v>124.85253839995136</v>
      </c>
      <c r="C300" s="101">
        <v>30866427.03395818</v>
      </c>
      <c r="D300" s="101">
        <v>132.83641305831702</v>
      </c>
      <c r="E300" s="101">
        <v>132.836413058317</v>
      </c>
      <c r="F300" s="101">
        <v>5.582352617714936</v>
      </c>
      <c r="G300" s="101">
        <v>15271.235386862016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ht="12.75">
      <c r="A301" s="103">
        <v>1000</v>
      </c>
      <c r="B301" s="101">
        <v>1.7733074083761265E+21</v>
      </c>
      <c r="C301" s="101">
        <v>4.3686956710340146E+26</v>
      </c>
      <c r="D301" s="101">
        <v>1.88670409426338E+21</v>
      </c>
      <c r="E301" s="101">
        <v>1.8867040942633798E+21</v>
      </c>
      <c r="F301" s="101">
        <v>4926378837.759962</v>
      </c>
      <c r="G301" s="101">
        <v>2.1690063488946018E+23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ht="12.75">
      <c r="A302" s="103">
        <v>10000</v>
      </c>
      <c r="B302" s="101">
        <v>1E+40</v>
      </c>
      <c r="C302" s="101">
        <v>1E+40</v>
      </c>
      <c r="D302" s="101">
        <v>1E+40</v>
      </c>
      <c r="E302" s="101">
        <v>1E+40</v>
      </c>
      <c r="F302" s="101">
        <v>1E+40</v>
      </c>
      <c r="G302" s="101">
        <v>1E+40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4" spans="1:9" ht="12.75">
      <c r="A304" s="19" t="s">
        <v>381</v>
      </c>
      <c r="B304" s="88">
        <v>43857</v>
      </c>
      <c r="C304" s="89">
        <v>0.6401388888888889</v>
      </c>
      <c r="E304" s="19" t="s">
        <v>417</v>
      </c>
      <c r="G304" s="19">
        <v>0.0005</v>
      </c>
      <c r="H304" s="19">
        <v>0.0001</v>
      </c>
      <c r="I304" s="19" t="s">
        <v>418</v>
      </c>
    </row>
    <row r="306" spans="1:9" ht="12.75">
      <c r="A306" s="19" t="s">
        <v>381</v>
      </c>
      <c r="B306" s="88">
        <v>43857</v>
      </c>
      <c r="C306" s="89">
        <v>0.643425925925926</v>
      </c>
      <c r="E306" s="19" t="s">
        <v>384</v>
      </c>
      <c r="G306" s="19">
        <v>5.975</v>
      </c>
      <c r="H306" s="19">
        <v>6</v>
      </c>
      <c r="I306" s="19" t="s">
        <v>57</v>
      </c>
    </row>
    <row r="308" spans="1:9" ht="12.75">
      <c r="A308" s="19" t="s">
        <v>381</v>
      </c>
      <c r="B308" s="88">
        <v>43857</v>
      </c>
      <c r="C308" s="89">
        <v>0.6435416666666667</v>
      </c>
      <c r="E308" s="19" t="s">
        <v>384</v>
      </c>
      <c r="G308" s="19">
        <v>6</v>
      </c>
      <c r="H308" s="19">
        <v>5.975</v>
      </c>
      <c r="I308" s="19" t="s">
        <v>57</v>
      </c>
    </row>
    <row r="310" spans="1:9" ht="12.75">
      <c r="A310" s="19" t="s">
        <v>381</v>
      </c>
      <c r="B310" s="88">
        <v>43857</v>
      </c>
      <c r="C310" s="89">
        <v>0.6442708333333333</v>
      </c>
      <c r="E310" s="19" t="s">
        <v>386</v>
      </c>
      <c r="G310" s="19">
        <v>0.3</v>
      </c>
      <c r="H310" s="19">
        <v>0.2</v>
      </c>
      <c r="I310" s="19" t="s">
        <v>61</v>
      </c>
    </row>
    <row r="313" ht="12.75">
      <c r="A313" s="29" t="s">
        <v>519</v>
      </c>
    </row>
    <row r="315" spans="1:50" ht="18">
      <c r="A315" s="9" t="s">
        <v>504</v>
      </c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 ht="12.75">
      <c r="A316" s="8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 ht="12.75">
      <c r="A317" s="8" t="s">
        <v>505</v>
      </c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 ht="15.75">
      <c r="A318" s="97" t="s">
        <v>506</v>
      </c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 ht="15.75">
      <c r="A319" s="13" t="s">
        <v>507</v>
      </c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 ht="14.25">
      <c r="A321" s="102" t="s">
        <v>509</v>
      </c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 ht="12.75">
      <c r="A322"/>
      <c r="B322" s="45">
        <v>0.5</v>
      </c>
      <c r="C322" s="45">
        <v>0.0001</v>
      </c>
      <c r="D322" s="45">
        <v>250</v>
      </c>
      <c r="E322" s="45">
        <v>10</v>
      </c>
      <c r="F322" s="45">
        <v>0.02</v>
      </c>
      <c r="G322" s="45">
        <v>0.0005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 ht="14.25">
      <c r="A324" s="98" t="s">
        <v>508</v>
      </c>
      <c r="B324" s="98" t="s">
        <v>6</v>
      </c>
      <c r="C324" s="98" t="s">
        <v>7</v>
      </c>
      <c r="D324" s="98" t="s">
        <v>8</v>
      </c>
      <c r="E324" s="98" t="s">
        <v>9</v>
      </c>
      <c r="F324" s="98" t="s">
        <v>10</v>
      </c>
      <c r="G324" s="98" t="s">
        <v>11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 ht="15">
      <c r="A325"/>
      <c r="B325" s="99" t="s">
        <v>387</v>
      </c>
      <c r="C325" s="99" t="s">
        <v>390</v>
      </c>
      <c r="D325" s="99" t="s">
        <v>393</v>
      </c>
      <c r="E325" s="99" t="s">
        <v>396</v>
      </c>
      <c r="F325" s="99" t="s">
        <v>399</v>
      </c>
      <c r="G325" s="99" t="s">
        <v>402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 ht="12.75">
      <c r="A326" s="100">
        <v>1</v>
      </c>
      <c r="B326" s="101">
        <v>0.028186658065282585</v>
      </c>
      <c r="C326" s="101">
        <v>0</v>
      </c>
      <c r="D326" s="101">
        <v>97.01365506552298</v>
      </c>
      <c r="E326" s="101">
        <v>4.345579049185003</v>
      </c>
      <c r="F326" s="101">
        <v>0</v>
      </c>
      <c r="G326" s="101">
        <v>0.0005510954076364424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 ht="12.75">
      <c r="A327" s="100">
        <v>10</v>
      </c>
      <c r="B327" s="101">
        <v>0.0868122337640559</v>
      </c>
      <c r="C327" s="101">
        <v>1.9452987979845982E-23</v>
      </c>
      <c r="D327" s="101">
        <v>72.30478427800152</v>
      </c>
      <c r="E327" s="101">
        <v>3.2387827827135247</v>
      </c>
      <c r="F327" s="101">
        <v>3.1616698009510256E-13</v>
      </c>
      <c r="G327" s="101">
        <v>0.0004107184518538451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 ht="12.75">
      <c r="A328" s="100">
        <v>100</v>
      </c>
      <c r="B328" s="101">
        <v>0.004589392533524064</v>
      </c>
      <c r="C328" s="101">
        <v>3.0160951753957343E-10</v>
      </c>
      <c r="D328" s="101">
        <v>3.8224451121249197</v>
      </c>
      <c r="E328" s="101">
        <v>0.17122061203333472</v>
      </c>
      <c r="F328" s="101">
        <v>0.006156243753564566</v>
      </c>
      <c r="G328" s="101">
        <v>2.171293026354699E-05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 ht="12.75">
      <c r="A329" s="100">
        <v>1000</v>
      </c>
      <c r="B329" s="101">
        <v>7.825235866055769E-16</v>
      </c>
      <c r="C329" s="101">
        <v>5.1501349108303645E-23</v>
      </c>
      <c r="D329" s="101">
        <v>6.517536769612817E-13</v>
      </c>
      <c r="E329" s="101">
        <v>2.9194314160406976E-14</v>
      </c>
      <c r="F329" s="101">
        <v>1.5198141013512395E-11</v>
      </c>
      <c r="G329" s="101">
        <v>3.702206760821875E-18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 ht="12.75">
      <c r="A330" s="100">
        <v>10000</v>
      </c>
      <c r="B330" s="101">
        <v>0</v>
      </c>
      <c r="C330" s="101">
        <v>0</v>
      </c>
      <c r="D330" s="101">
        <v>0</v>
      </c>
      <c r="E330" s="101">
        <v>0</v>
      </c>
      <c r="F330" s="101">
        <v>0</v>
      </c>
      <c r="G330" s="101">
        <v>0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 ht="15.75">
      <c r="A333" s="97" t="s">
        <v>506</v>
      </c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 ht="15.75">
      <c r="A334" s="13" t="s">
        <v>510</v>
      </c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 ht="14.25">
      <c r="A336" s="98" t="s">
        <v>508</v>
      </c>
      <c r="B336" s="98" t="s">
        <v>6</v>
      </c>
      <c r="C336" s="98" t="s">
        <v>7</v>
      </c>
      <c r="D336" s="98" t="s">
        <v>8</v>
      </c>
      <c r="E336" s="98" t="s">
        <v>9</v>
      </c>
      <c r="F336" s="98" t="s">
        <v>10</v>
      </c>
      <c r="G336" s="98" t="s">
        <v>11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 ht="15">
      <c r="A337"/>
      <c r="B337" s="99" t="s">
        <v>387</v>
      </c>
      <c r="C337" s="99" t="s">
        <v>390</v>
      </c>
      <c r="D337" s="99" t="s">
        <v>393</v>
      </c>
      <c r="E337" s="99" t="s">
        <v>396</v>
      </c>
      <c r="F337" s="99" t="s">
        <v>399</v>
      </c>
      <c r="G337" s="99" t="s">
        <v>402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 ht="12.75">
      <c r="A338" s="103">
        <v>1</v>
      </c>
      <c r="B338" s="101">
        <v>9.401611194425339</v>
      </c>
      <c r="C338" s="101">
        <v>1E+40</v>
      </c>
      <c r="D338" s="101">
        <v>1185.4001369428772</v>
      </c>
      <c r="E338" s="101">
        <v>47.41600547771509</v>
      </c>
      <c r="F338" s="101">
        <v>1E+40</v>
      </c>
      <c r="G338" s="101">
        <v>0.27218517505584977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 ht="12.75">
      <c r="A339" s="103">
        <v>10</v>
      </c>
      <c r="B339" s="101">
        <v>3.0525651571209966</v>
      </c>
      <c r="C339" s="101">
        <v>1.0281196914695442E+17</v>
      </c>
      <c r="D339" s="101">
        <v>1590.4894973179298</v>
      </c>
      <c r="E339" s="101">
        <v>63.6195798927172</v>
      </c>
      <c r="F339" s="101">
        <v>7590925527.0050125</v>
      </c>
      <c r="G339" s="101">
        <v>0.3652136867066731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 ht="12.75">
      <c r="A340" s="103">
        <v>100</v>
      </c>
      <c r="B340" s="101">
        <v>57.74184667453452</v>
      </c>
      <c r="C340" s="101">
        <v>6631.090478560861</v>
      </c>
      <c r="D340" s="101">
        <v>30085.454892528418</v>
      </c>
      <c r="E340" s="101">
        <v>1203.4181957011367</v>
      </c>
      <c r="F340" s="101">
        <v>0.3898481112951969</v>
      </c>
      <c r="G340" s="101">
        <v>6.908325968873454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 ht="12.75">
      <c r="A341" s="103">
        <v>1000</v>
      </c>
      <c r="B341" s="101">
        <v>338647939226361.75</v>
      </c>
      <c r="C341" s="101">
        <v>38833934151785880</v>
      </c>
      <c r="D341" s="101">
        <v>1.764470290926057E+17</v>
      </c>
      <c r="E341" s="101">
        <v>7057881163704228</v>
      </c>
      <c r="F341" s="101">
        <v>157914050.00560284</v>
      </c>
      <c r="G341" s="101">
        <v>40516375689050.01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 ht="12.75">
      <c r="A342" s="103">
        <v>10000</v>
      </c>
      <c r="B342" s="101">
        <v>1E+40</v>
      </c>
      <c r="C342" s="101">
        <v>1E+40</v>
      </c>
      <c r="D342" s="101">
        <v>1E+40</v>
      </c>
      <c r="E342" s="101">
        <v>1E+40</v>
      </c>
      <c r="F342" s="101">
        <v>1E+40</v>
      </c>
      <c r="G342" s="101">
        <v>1E+40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 ht="14.25">
      <c r="A344" s="102" t="s">
        <v>511</v>
      </c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 ht="12.75">
      <c r="A345"/>
      <c r="B345" s="45">
        <v>0.53</v>
      </c>
      <c r="C345" s="45">
        <v>0.02</v>
      </c>
      <c r="D345" s="45">
        <v>460</v>
      </c>
      <c r="E345" s="45">
        <v>20.605</v>
      </c>
      <c r="F345" s="45">
        <v>0.12</v>
      </c>
      <c r="G345" s="45">
        <v>0.3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 ht="15.75">
      <c r="A348" s="97" t="s">
        <v>506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 ht="15.75">
      <c r="A349" s="13" t="s">
        <v>512</v>
      </c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 ht="12.75">
      <c r="A351"/>
      <c r="B351" s="101">
        <v>4.622433472156249</v>
      </c>
      <c r="C351" s="42" t="s">
        <v>513</v>
      </c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 ht="12.75">
      <c r="A353"/>
      <c r="B353"/>
      <c r="C353"/>
      <c r="D353"/>
      <c r="E353"/>
      <c r="F353"/>
      <c r="G353"/>
      <c r="H353"/>
      <c r="I353" s="104" t="s">
        <v>515</v>
      </c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 ht="15.75">
      <c r="A354" s="97" t="s">
        <v>506</v>
      </c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 ht="15.75">
      <c r="A355" s="13" t="s">
        <v>514</v>
      </c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 ht="14.25">
      <c r="A357" s="98" t="s">
        <v>508</v>
      </c>
      <c r="B357" s="98" t="s">
        <v>6</v>
      </c>
      <c r="C357" s="98" t="s">
        <v>7</v>
      </c>
      <c r="D357" s="98" t="s">
        <v>8</v>
      </c>
      <c r="E357" s="98" t="s">
        <v>9</v>
      </c>
      <c r="F357" s="98" t="s">
        <v>10</v>
      </c>
      <c r="G357" s="98" t="s">
        <v>11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 ht="15">
      <c r="A358"/>
      <c r="B358" s="99" t="s">
        <v>387</v>
      </c>
      <c r="C358" s="99" t="s">
        <v>390</v>
      </c>
      <c r="D358" s="99" t="s">
        <v>393</v>
      </c>
      <c r="E358" s="99" t="s">
        <v>396</v>
      </c>
      <c r="F358" s="99" t="s">
        <v>399</v>
      </c>
      <c r="G358" s="99" t="s">
        <v>402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 ht="12.75">
      <c r="A359" s="103">
        <v>1</v>
      </c>
      <c r="B359" s="101">
        <v>4.067818931762678</v>
      </c>
      <c r="C359" s="101">
        <v>1E+40</v>
      </c>
      <c r="D359" s="101">
        <v>1.025780160240937</v>
      </c>
      <c r="E359" s="101">
        <v>1.025780160240937</v>
      </c>
      <c r="F359" s="101">
        <v>1E+40</v>
      </c>
      <c r="G359" s="101">
        <v>117.7670491940611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 ht="12.75">
      <c r="A360" s="103">
        <v>10</v>
      </c>
      <c r="B360" s="101">
        <v>1.3207610993250496</v>
      </c>
      <c r="C360" s="101">
        <v>2.224195756764352E+20</v>
      </c>
      <c r="D360" s="101">
        <v>1.3763222397020298</v>
      </c>
      <c r="E360" s="101">
        <v>1.3763222397020298</v>
      </c>
      <c r="F360" s="101">
        <v>82109624429.74908</v>
      </c>
      <c r="G360" s="101">
        <v>158.01793099092893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 ht="12.75">
      <c r="A361" s="103">
        <v>100</v>
      </c>
      <c r="B361" s="101">
        <v>24.983311072987448</v>
      </c>
      <c r="C361" s="101">
        <v>14345453.5765717</v>
      </c>
      <c r="D361" s="101">
        <v>26.03429996234802</v>
      </c>
      <c r="E361" s="101">
        <v>26.034299962348022</v>
      </c>
      <c r="F361" s="101">
        <v>4.2169142470464</v>
      </c>
      <c r="G361" s="101">
        <v>2989.0428972040536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 ht="12.75">
      <c r="A362" s="103">
        <v>1000</v>
      </c>
      <c r="B362" s="101">
        <v>146523661731962.56</v>
      </c>
      <c r="C362" s="101">
        <v>8.4011883320131E+19</v>
      </c>
      <c r="D362" s="101">
        <v>152687566110322.03</v>
      </c>
      <c r="E362" s="101">
        <v>152687566110322.03</v>
      </c>
      <c r="F362" s="101">
        <v>1708126801.1407409</v>
      </c>
      <c r="G362" s="101">
        <v>17530322905934712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 ht="12.75">
      <c r="A363" s="103">
        <v>10000</v>
      </c>
      <c r="B363" s="101">
        <v>1E+40</v>
      </c>
      <c r="C363" s="101">
        <v>1E+40</v>
      </c>
      <c r="D363" s="101">
        <v>1E+40</v>
      </c>
      <c r="E363" s="101">
        <v>1E+40</v>
      </c>
      <c r="F363" s="101">
        <v>1E+40</v>
      </c>
      <c r="G363" s="101">
        <v>1E+40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5" spans="1:9" ht="12.75">
      <c r="A365" s="19" t="s">
        <v>381</v>
      </c>
      <c r="B365" s="88">
        <v>43857</v>
      </c>
      <c r="C365" s="89">
        <v>0.6447337962962963</v>
      </c>
      <c r="E365" s="19" t="s">
        <v>386</v>
      </c>
      <c r="G365" s="19">
        <v>0.4</v>
      </c>
      <c r="H365" s="19">
        <v>0.3</v>
      </c>
      <c r="I365" s="19" t="s">
        <v>61</v>
      </c>
    </row>
    <row r="368" ht="12.75">
      <c r="A368" s="29" t="s">
        <v>520</v>
      </c>
    </row>
    <row r="370" spans="1:50" ht="18">
      <c r="A370" s="9" t="s">
        <v>504</v>
      </c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 ht="12.75">
      <c r="A371" s="8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 ht="12.75">
      <c r="A372" s="8" t="s">
        <v>505</v>
      </c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 ht="15.75">
      <c r="A373" s="97" t="s">
        <v>506</v>
      </c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 ht="15.75">
      <c r="A374" s="13" t="s">
        <v>507</v>
      </c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 ht="14.25">
      <c r="A376" s="102" t="s">
        <v>509</v>
      </c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 ht="12.75">
      <c r="A377"/>
      <c r="B377" s="45">
        <v>0.5</v>
      </c>
      <c r="C377" s="45">
        <v>0.0001</v>
      </c>
      <c r="D377" s="45">
        <v>250</v>
      </c>
      <c r="E377" s="45">
        <v>10</v>
      </c>
      <c r="F377" s="45">
        <v>0.02</v>
      </c>
      <c r="G377" s="45">
        <v>0.0005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 ht="14.25">
      <c r="A379" s="98" t="s">
        <v>508</v>
      </c>
      <c r="B379" s="98" t="s">
        <v>6</v>
      </c>
      <c r="C379" s="98" t="s">
        <v>7</v>
      </c>
      <c r="D379" s="98" t="s">
        <v>8</v>
      </c>
      <c r="E379" s="98" t="s">
        <v>9</v>
      </c>
      <c r="F379" s="98" t="s">
        <v>10</v>
      </c>
      <c r="G379" s="98" t="s">
        <v>11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 ht="15">
      <c r="A380"/>
      <c r="B380" s="99" t="s">
        <v>387</v>
      </c>
      <c r="C380" s="99" t="s">
        <v>390</v>
      </c>
      <c r="D380" s="99" t="s">
        <v>393</v>
      </c>
      <c r="E380" s="99" t="s">
        <v>396</v>
      </c>
      <c r="F380" s="99" t="s">
        <v>399</v>
      </c>
      <c r="G380" s="99" t="s">
        <v>402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 ht="12.75">
      <c r="A381" s="100">
        <v>1</v>
      </c>
      <c r="B381" s="101">
        <v>0.028233717159554268</v>
      </c>
      <c r="C381" s="101">
        <v>0</v>
      </c>
      <c r="D381" s="101">
        <v>97.63194545200993</v>
      </c>
      <c r="E381" s="101">
        <v>4.373274426171011</v>
      </c>
      <c r="F381" s="101">
        <v>0</v>
      </c>
      <c r="G381" s="101">
        <v>0.0005549716582544359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 ht="12.75">
      <c r="A382" s="100">
        <v>10</v>
      </c>
      <c r="B382" s="101">
        <v>0.09306100274120466</v>
      </c>
      <c r="C382" s="101">
        <v>1.9486056761473834E-23</v>
      </c>
      <c r="D382" s="101">
        <v>78.3153039732756</v>
      </c>
      <c r="E382" s="101">
        <v>3.508014866020313</v>
      </c>
      <c r="F382" s="101">
        <v>3.1702564004371046E-13</v>
      </c>
      <c r="G382" s="101">
        <v>0.0004451525561542412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 ht="12.75">
      <c r="A383" s="100">
        <v>100</v>
      </c>
      <c r="B383" s="101">
        <v>0.010260025542330261</v>
      </c>
      <c r="C383" s="101">
        <v>4.4896861727104245E-10</v>
      </c>
      <c r="D383" s="101">
        <v>8.634303402431</v>
      </c>
      <c r="E383" s="101">
        <v>0.38676048175454514</v>
      </c>
      <c r="F383" s="101">
        <v>0.007224195071349602</v>
      </c>
      <c r="G383" s="101">
        <v>4.907830315664977E-05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 ht="12.75">
      <c r="A384" s="100">
        <v>1000</v>
      </c>
      <c r="B384" s="101">
        <v>2.7224199334502053E-12</v>
      </c>
      <c r="C384" s="101">
        <v>1.192408594354442E-19</v>
      </c>
      <c r="D384" s="101">
        <v>2.2910468982074675E-09</v>
      </c>
      <c r="E384" s="101">
        <v>1.0262395942948885E-10</v>
      </c>
      <c r="F384" s="101">
        <v>1.0575449293259794E-10</v>
      </c>
      <c r="G384" s="101">
        <v>1.3022555378850331E-14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 ht="12.75">
      <c r="A385" s="100">
        <v>10000</v>
      </c>
      <c r="B385" s="101">
        <v>0</v>
      </c>
      <c r="C385" s="101">
        <v>0</v>
      </c>
      <c r="D385" s="101">
        <v>0</v>
      </c>
      <c r="E385" s="101">
        <v>0</v>
      </c>
      <c r="F385" s="101">
        <v>0</v>
      </c>
      <c r="G385" s="101">
        <v>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 ht="15.75">
      <c r="A388" s="97" t="s">
        <v>506</v>
      </c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 ht="15.75">
      <c r="A389" s="13" t="s">
        <v>510</v>
      </c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 ht="14.25">
      <c r="A391" s="98" t="s">
        <v>508</v>
      </c>
      <c r="B391" s="98" t="s">
        <v>6</v>
      </c>
      <c r="C391" s="98" t="s">
        <v>7</v>
      </c>
      <c r="D391" s="98" t="s">
        <v>8</v>
      </c>
      <c r="E391" s="98" t="s">
        <v>9</v>
      </c>
      <c r="F391" s="98" t="s">
        <v>10</v>
      </c>
      <c r="G391" s="98" t="s">
        <v>11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 ht="15">
      <c r="A392"/>
      <c r="B392" s="99" t="s">
        <v>387</v>
      </c>
      <c r="C392" s="99" t="s">
        <v>390</v>
      </c>
      <c r="D392" s="99" t="s">
        <v>393</v>
      </c>
      <c r="E392" s="99" t="s">
        <v>396</v>
      </c>
      <c r="F392" s="99" t="s">
        <v>399</v>
      </c>
      <c r="G392" s="99" t="s">
        <v>402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 ht="12.75">
      <c r="A393" s="103">
        <v>1</v>
      </c>
      <c r="B393" s="101">
        <v>9.385940877087954</v>
      </c>
      <c r="C393" s="101">
        <v>1E+40</v>
      </c>
      <c r="D393" s="101">
        <v>1177.893152365044</v>
      </c>
      <c r="E393" s="101">
        <v>47.115726094601754</v>
      </c>
      <c r="F393" s="101">
        <v>1E+40</v>
      </c>
      <c r="G393" s="101">
        <v>0.27028407265300386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 ht="12.75">
      <c r="A394" s="103">
        <v>10</v>
      </c>
      <c r="B394" s="101">
        <v>2.8475945046169793</v>
      </c>
      <c r="C394" s="101">
        <v>1.0263749225827102E+17</v>
      </c>
      <c r="D394" s="101">
        <v>1468.4230816398633</v>
      </c>
      <c r="E394" s="101">
        <v>58.736923265594534</v>
      </c>
      <c r="F394" s="101">
        <v>7570365600.930877</v>
      </c>
      <c r="G394" s="101">
        <v>0.3369631330343892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 ht="12.75">
      <c r="A395" s="103">
        <v>100</v>
      </c>
      <c r="B395" s="101">
        <v>25.82839573904346</v>
      </c>
      <c r="C395" s="101">
        <v>4454.654341224478</v>
      </c>
      <c r="D395" s="101">
        <v>13318.966758525255</v>
      </c>
      <c r="E395" s="101">
        <v>532.7586703410102</v>
      </c>
      <c r="F395" s="101">
        <v>0.3322169426900095</v>
      </c>
      <c r="G395" s="101">
        <v>3.0563403857143343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 ht="12.75">
      <c r="A396" s="103">
        <v>1000</v>
      </c>
      <c r="B396" s="101">
        <v>97339869115.69424</v>
      </c>
      <c r="C396" s="101">
        <v>16772774110058.979</v>
      </c>
      <c r="D396" s="101">
        <v>50195393245758.91</v>
      </c>
      <c r="E396" s="101">
        <v>2007815729830.356</v>
      </c>
      <c r="F396" s="101">
        <v>22694071.272504963</v>
      </c>
      <c r="G396" s="101">
        <v>11518476645.80578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 ht="12.75">
      <c r="A397" s="103">
        <v>10000</v>
      </c>
      <c r="B397" s="101">
        <v>1E+40</v>
      </c>
      <c r="C397" s="101">
        <v>1E+40</v>
      </c>
      <c r="D397" s="101">
        <v>1E+40</v>
      </c>
      <c r="E397" s="101">
        <v>1E+40</v>
      </c>
      <c r="F397" s="101">
        <v>1E+40</v>
      </c>
      <c r="G397" s="101">
        <v>1E+40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 ht="14.25">
      <c r="A399" s="102" t="s">
        <v>511</v>
      </c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 ht="12.75">
      <c r="A400"/>
      <c r="B400" s="45">
        <v>0.53</v>
      </c>
      <c r="C400" s="45">
        <v>0.02</v>
      </c>
      <c r="D400" s="45">
        <v>460</v>
      </c>
      <c r="E400" s="45">
        <v>20.605</v>
      </c>
      <c r="F400" s="45">
        <v>0.12</v>
      </c>
      <c r="G400" s="45">
        <v>0.3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 ht="15.75">
      <c r="A403" s="97" t="s">
        <v>506</v>
      </c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 ht="15.75">
      <c r="A404" s="13" t="s">
        <v>512</v>
      </c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 ht="12.75">
      <c r="A406"/>
      <c r="B406" s="101">
        <v>4.622433472156249</v>
      </c>
      <c r="C406" s="42" t="s">
        <v>513</v>
      </c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 ht="12.75">
      <c r="A408"/>
      <c r="B408"/>
      <c r="C408"/>
      <c r="D408"/>
      <c r="E408"/>
      <c r="F408"/>
      <c r="G408"/>
      <c r="H408"/>
      <c r="I408" s="104" t="s">
        <v>515</v>
      </c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 ht="15.75">
      <c r="A409" s="97" t="s">
        <v>506</v>
      </c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 ht="15.75">
      <c r="A410" s="13" t="s">
        <v>514</v>
      </c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1:5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1:50" ht="14.25">
      <c r="A412" s="98" t="s">
        <v>508</v>
      </c>
      <c r="B412" s="98" t="s">
        <v>6</v>
      </c>
      <c r="C412" s="98" t="s">
        <v>7</v>
      </c>
      <c r="D412" s="98" t="s">
        <v>8</v>
      </c>
      <c r="E412" s="98" t="s">
        <v>9</v>
      </c>
      <c r="F412" s="98" t="s">
        <v>10</v>
      </c>
      <c r="G412" s="98" t="s">
        <v>11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1:50" ht="15">
      <c r="A413"/>
      <c r="B413" s="99" t="s">
        <v>387</v>
      </c>
      <c r="C413" s="99" t="s">
        <v>390</v>
      </c>
      <c r="D413" s="99" t="s">
        <v>393</v>
      </c>
      <c r="E413" s="99" t="s">
        <v>396</v>
      </c>
      <c r="F413" s="99" t="s">
        <v>399</v>
      </c>
      <c r="G413" s="99" t="s">
        <v>402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1:50" ht="12.75">
      <c r="A414" s="103">
        <v>1</v>
      </c>
      <c r="B414" s="101">
        <v>4.061038815864081</v>
      </c>
      <c r="C414" s="101">
        <v>1E+40</v>
      </c>
      <c r="D414" s="101">
        <v>1.019284028172794</v>
      </c>
      <c r="E414" s="101">
        <v>1.0192840281727937</v>
      </c>
      <c r="F414" s="101">
        <v>1E+40</v>
      </c>
      <c r="G414" s="101">
        <v>116.94449440152707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1:50" ht="12.75">
      <c r="A415" s="103">
        <v>10</v>
      </c>
      <c r="B415" s="101">
        <v>1.2320759278720987</v>
      </c>
      <c r="C415" s="101">
        <v>2.220421188893676E+20</v>
      </c>
      <c r="D415" s="101">
        <v>1.270692669119048</v>
      </c>
      <c r="E415" s="101">
        <v>1.270692669119048</v>
      </c>
      <c r="F415" s="101">
        <v>81887231547.32059</v>
      </c>
      <c r="G415" s="101">
        <v>145.7946923689112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1:50" ht="12.75">
      <c r="A416" s="103">
        <v>100</v>
      </c>
      <c r="B416" s="101">
        <v>11.175237413203988</v>
      </c>
      <c r="C416" s="101">
        <v>9637032.891998535</v>
      </c>
      <c r="D416" s="101">
        <v>11.525502174344798</v>
      </c>
      <c r="E416" s="101">
        <v>11.525502174344798</v>
      </c>
      <c r="F416" s="101">
        <v>3.593528654237599</v>
      </c>
      <c r="G416" s="101">
        <v>1322.394537043982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1:50" ht="12.75">
      <c r="A417" s="103">
        <v>1000</v>
      </c>
      <c r="B417" s="101">
        <v>42116287752.77435</v>
      </c>
      <c r="C417" s="101">
        <v>36285593315926940</v>
      </c>
      <c r="D417" s="101">
        <v>43436335902.391266</v>
      </c>
      <c r="E417" s="101">
        <v>43436335902.391266</v>
      </c>
      <c r="F417" s="101">
        <v>245477532.65899083</v>
      </c>
      <c r="G417" s="101">
        <v>4983728469079.6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1:50" ht="12.75">
      <c r="A418" s="103">
        <v>10000</v>
      </c>
      <c r="B418" s="101">
        <v>1E+40</v>
      </c>
      <c r="C418" s="101">
        <v>1E+40</v>
      </c>
      <c r="D418" s="101">
        <v>1E+40</v>
      </c>
      <c r="E418" s="101">
        <v>1E+40</v>
      </c>
      <c r="F418" s="101">
        <v>1E+40</v>
      </c>
      <c r="G418" s="101">
        <v>1E+40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20" spans="1:9" ht="12.75">
      <c r="A420" s="19" t="s">
        <v>381</v>
      </c>
      <c r="B420" s="88">
        <v>43857</v>
      </c>
      <c r="C420" s="89">
        <v>0.6450694444444445</v>
      </c>
      <c r="E420" s="19" t="s">
        <v>386</v>
      </c>
      <c r="G420" s="19">
        <v>0.3</v>
      </c>
      <c r="H420" s="19">
        <v>0.4</v>
      </c>
      <c r="I420" s="19" t="s">
        <v>61</v>
      </c>
    </row>
    <row r="423" ht="12.75">
      <c r="A423" s="29" t="s">
        <v>521</v>
      </c>
    </row>
    <row r="425" spans="1:50" ht="18">
      <c r="A425" s="9" t="s">
        <v>504</v>
      </c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1:50" ht="12.75">
      <c r="A426" s="8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1:50" ht="12.75">
      <c r="A427" s="8" t="s">
        <v>505</v>
      </c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1:50" ht="15.75">
      <c r="A428" s="97" t="s">
        <v>506</v>
      </c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1:50" ht="15.75">
      <c r="A429" s="13" t="s">
        <v>507</v>
      </c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1:5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1:50" ht="14.25">
      <c r="A431" s="102" t="s">
        <v>509</v>
      </c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1:50" ht="12.75">
      <c r="A432"/>
      <c r="B432" s="45">
        <v>0.5</v>
      </c>
      <c r="C432" s="45">
        <v>0.0001</v>
      </c>
      <c r="D432" s="45">
        <v>250</v>
      </c>
      <c r="E432" s="45">
        <v>10</v>
      </c>
      <c r="F432" s="45">
        <v>0.02</v>
      </c>
      <c r="G432" s="45">
        <v>0.0005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1:5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1:50" ht="14.25">
      <c r="A434" s="98" t="s">
        <v>508</v>
      </c>
      <c r="B434" s="98" t="s">
        <v>6</v>
      </c>
      <c r="C434" s="98" t="s">
        <v>7</v>
      </c>
      <c r="D434" s="98" t="s">
        <v>8</v>
      </c>
      <c r="E434" s="98" t="s">
        <v>9</v>
      </c>
      <c r="F434" s="98" t="s">
        <v>10</v>
      </c>
      <c r="G434" s="98" t="s">
        <v>11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1:50" ht="15">
      <c r="A435"/>
      <c r="B435" s="99" t="s">
        <v>387</v>
      </c>
      <c r="C435" s="99" t="s">
        <v>390</v>
      </c>
      <c r="D435" s="99" t="s">
        <v>393</v>
      </c>
      <c r="E435" s="99" t="s">
        <v>396</v>
      </c>
      <c r="F435" s="99" t="s">
        <v>399</v>
      </c>
      <c r="G435" s="99" t="s">
        <v>402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1:50" ht="12.75">
      <c r="A436" s="100">
        <v>1</v>
      </c>
      <c r="B436" s="101">
        <v>0.028186658065282585</v>
      </c>
      <c r="C436" s="101">
        <v>0</v>
      </c>
      <c r="D436" s="101">
        <v>97.01365506552298</v>
      </c>
      <c r="E436" s="101">
        <v>4.345579049185003</v>
      </c>
      <c r="F436" s="101">
        <v>0</v>
      </c>
      <c r="G436" s="101">
        <v>0.0005510954076364424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1:50" ht="12.75">
      <c r="A437" s="100">
        <v>10</v>
      </c>
      <c r="B437" s="101">
        <v>0.0868122337640559</v>
      </c>
      <c r="C437" s="101">
        <v>1.9452987979845982E-23</v>
      </c>
      <c r="D437" s="101">
        <v>72.30478427800152</v>
      </c>
      <c r="E437" s="101">
        <v>3.2387827827135247</v>
      </c>
      <c r="F437" s="101">
        <v>3.1616698009510256E-13</v>
      </c>
      <c r="G437" s="101">
        <v>0.0004107184518538451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ht="12.75">
      <c r="A438" s="100">
        <v>100</v>
      </c>
      <c r="B438" s="101">
        <v>0.004589392533524064</v>
      </c>
      <c r="C438" s="101">
        <v>3.0160951753957343E-10</v>
      </c>
      <c r="D438" s="101">
        <v>3.8224451121249197</v>
      </c>
      <c r="E438" s="101">
        <v>0.17122061203333472</v>
      </c>
      <c r="F438" s="101">
        <v>0.006156243753564566</v>
      </c>
      <c r="G438" s="101">
        <v>2.171293026354699E-05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ht="12.75">
      <c r="A439" s="100">
        <v>1000</v>
      </c>
      <c r="B439" s="101">
        <v>7.825235866055769E-16</v>
      </c>
      <c r="C439" s="101">
        <v>5.1501349108303645E-23</v>
      </c>
      <c r="D439" s="101">
        <v>6.517536769612817E-13</v>
      </c>
      <c r="E439" s="101">
        <v>2.9194314160406976E-14</v>
      </c>
      <c r="F439" s="101">
        <v>1.5198141013512395E-11</v>
      </c>
      <c r="G439" s="101">
        <v>3.702206760821875E-18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ht="12.75">
      <c r="A440" s="100">
        <v>10000</v>
      </c>
      <c r="B440" s="101">
        <v>0</v>
      </c>
      <c r="C440" s="101">
        <v>0</v>
      </c>
      <c r="D440" s="101">
        <v>0</v>
      </c>
      <c r="E440" s="101">
        <v>0</v>
      </c>
      <c r="F440" s="101">
        <v>0</v>
      </c>
      <c r="G440" s="101">
        <v>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1:5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1:50" ht="15.75">
      <c r="A443" s="97" t="s">
        <v>506</v>
      </c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1:50" ht="15.75">
      <c r="A444" s="13" t="s">
        <v>510</v>
      </c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1:5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1:50" ht="14.25">
      <c r="A446" s="98" t="s">
        <v>508</v>
      </c>
      <c r="B446" s="98" t="s">
        <v>6</v>
      </c>
      <c r="C446" s="98" t="s">
        <v>7</v>
      </c>
      <c r="D446" s="98" t="s">
        <v>8</v>
      </c>
      <c r="E446" s="98" t="s">
        <v>9</v>
      </c>
      <c r="F446" s="98" t="s">
        <v>10</v>
      </c>
      <c r="G446" s="98" t="s">
        <v>11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1:50" ht="15">
      <c r="A447"/>
      <c r="B447" s="99" t="s">
        <v>387</v>
      </c>
      <c r="C447" s="99" t="s">
        <v>390</v>
      </c>
      <c r="D447" s="99" t="s">
        <v>393</v>
      </c>
      <c r="E447" s="99" t="s">
        <v>396</v>
      </c>
      <c r="F447" s="99" t="s">
        <v>399</v>
      </c>
      <c r="G447" s="99" t="s">
        <v>402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1:50" ht="12.75">
      <c r="A448" s="103">
        <v>1</v>
      </c>
      <c r="B448" s="101">
        <v>9.401611194425339</v>
      </c>
      <c r="C448" s="101">
        <v>1E+40</v>
      </c>
      <c r="D448" s="101">
        <v>1185.4001369428772</v>
      </c>
      <c r="E448" s="101">
        <v>47.41600547771509</v>
      </c>
      <c r="F448" s="101">
        <v>1E+40</v>
      </c>
      <c r="G448" s="101">
        <v>0.27218517505584977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1:50" ht="12.75">
      <c r="A449" s="103">
        <v>10</v>
      </c>
      <c r="B449" s="101">
        <v>3.0525651571209966</v>
      </c>
      <c r="C449" s="101">
        <v>1.0281196914695442E+17</v>
      </c>
      <c r="D449" s="101">
        <v>1590.4894973179298</v>
      </c>
      <c r="E449" s="101">
        <v>63.6195798927172</v>
      </c>
      <c r="F449" s="101">
        <v>7590925527.0050125</v>
      </c>
      <c r="G449" s="101">
        <v>0.3652136867066731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1:50" ht="12.75">
      <c r="A450" s="103">
        <v>100</v>
      </c>
      <c r="B450" s="101">
        <v>57.74184667453452</v>
      </c>
      <c r="C450" s="101">
        <v>6631.090478560861</v>
      </c>
      <c r="D450" s="101">
        <v>30085.454892528418</v>
      </c>
      <c r="E450" s="101">
        <v>1203.4181957011367</v>
      </c>
      <c r="F450" s="101">
        <v>0.3898481112951969</v>
      </c>
      <c r="G450" s="101">
        <v>6.908325968873454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1:50" ht="12.75">
      <c r="A451" s="103">
        <v>1000</v>
      </c>
      <c r="B451" s="101">
        <v>338647939226361.75</v>
      </c>
      <c r="C451" s="101">
        <v>38833934151785880</v>
      </c>
      <c r="D451" s="101">
        <v>1.764470290926057E+17</v>
      </c>
      <c r="E451" s="101">
        <v>7057881163704228</v>
      </c>
      <c r="F451" s="101">
        <v>157914050.00560284</v>
      </c>
      <c r="G451" s="101">
        <v>40516375689050.01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1:50" ht="12.75">
      <c r="A452" s="103">
        <v>10000</v>
      </c>
      <c r="B452" s="101">
        <v>1E+40</v>
      </c>
      <c r="C452" s="101">
        <v>1E+40</v>
      </c>
      <c r="D452" s="101">
        <v>1E+40</v>
      </c>
      <c r="E452" s="101">
        <v>1E+40</v>
      </c>
      <c r="F452" s="101">
        <v>1E+40</v>
      </c>
      <c r="G452" s="101">
        <v>1E+40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1:5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1:50" ht="14.25">
      <c r="A454" s="102" t="s">
        <v>511</v>
      </c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1:50" ht="12.75">
      <c r="A455"/>
      <c r="B455" s="45">
        <v>0.53</v>
      </c>
      <c r="C455" s="45">
        <v>0.02</v>
      </c>
      <c r="D455" s="45">
        <v>460</v>
      </c>
      <c r="E455" s="45">
        <v>20.605</v>
      </c>
      <c r="F455" s="45">
        <v>0.12</v>
      </c>
      <c r="G455" s="45">
        <v>0.3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1:5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1:5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1:50" ht="15.75">
      <c r="A458" s="97" t="s">
        <v>506</v>
      </c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1:50" ht="15.75">
      <c r="A459" s="13" t="s">
        <v>512</v>
      </c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1:5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1:50" ht="12.75">
      <c r="A461"/>
      <c r="B461" s="101">
        <v>4.622433472156249</v>
      </c>
      <c r="C461" s="42" t="s">
        <v>513</v>
      </c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1:5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1:50" ht="12.75">
      <c r="A463"/>
      <c r="B463"/>
      <c r="C463"/>
      <c r="D463"/>
      <c r="E463"/>
      <c r="F463"/>
      <c r="G463"/>
      <c r="H463"/>
      <c r="I463" s="104" t="s">
        <v>515</v>
      </c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1:50" ht="15.75">
      <c r="A464" s="97" t="s">
        <v>506</v>
      </c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1:50" ht="15.75">
      <c r="A465" s="13" t="s">
        <v>514</v>
      </c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1:5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1:50" ht="14.25">
      <c r="A467" s="98" t="s">
        <v>508</v>
      </c>
      <c r="B467" s="98" t="s">
        <v>6</v>
      </c>
      <c r="C467" s="98" t="s">
        <v>7</v>
      </c>
      <c r="D467" s="98" t="s">
        <v>8</v>
      </c>
      <c r="E467" s="98" t="s">
        <v>9</v>
      </c>
      <c r="F467" s="98" t="s">
        <v>10</v>
      </c>
      <c r="G467" s="98" t="s">
        <v>11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1:50" ht="15">
      <c r="A468"/>
      <c r="B468" s="99" t="s">
        <v>387</v>
      </c>
      <c r="C468" s="99" t="s">
        <v>390</v>
      </c>
      <c r="D468" s="99" t="s">
        <v>393</v>
      </c>
      <c r="E468" s="99" t="s">
        <v>396</v>
      </c>
      <c r="F468" s="99" t="s">
        <v>399</v>
      </c>
      <c r="G468" s="99" t="s">
        <v>402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1:50" ht="12.75">
      <c r="A469" s="103">
        <v>1</v>
      </c>
      <c r="B469" s="101">
        <v>4.067818931762678</v>
      </c>
      <c r="C469" s="101">
        <v>1E+40</v>
      </c>
      <c r="D469" s="101">
        <v>1.025780160240937</v>
      </c>
      <c r="E469" s="101">
        <v>1.025780160240937</v>
      </c>
      <c r="F469" s="101">
        <v>1E+40</v>
      </c>
      <c r="G469" s="101">
        <v>117.7670491940611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1:50" ht="12.75">
      <c r="A470" s="103">
        <v>10</v>
      </c>
      <c r="B470" s="101">
        <v>1.3207610993250496</v>
      </c>
      <c r="C470" s="101">
        <v>2.224195756764352E+20</v>
      </c>
      <c r="D470" s="101">
        <v>1.3763222397020298</v>
      </c>
      <c r="E470" s="101">
        <v>1.3763222397020298</v>
      </c>
      <c r="F470" s="101">
        <v>82109624429.74908</v>
      </c>
      <c r="G470" s="101">
        <v>158.01793099092893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1:50" ht="12.75">
      <c r="A471" s="103">
        <v>100</v>
      </c>
      <c r="B471" s="101">
        <v>24.983311072987448</v>
      </c>
      <c r="C471" s="101">
        <v>14345453.5765717</v>
      </c>
      <c r="D471" s="101">
        <v>26.03429996234802</v>
      </c>
      <c r="E471" s="101">
        <v>26.034299962348022</v>
      </c>
      <c r="F471" s="101">
        <v>4.2169142470464</v>
      </c>
      <c r="G471" s="101">
        <v>2989.0428972040536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1:50" ht="12.75">
      <c r="A472" s="103">
        <v>1000</v>
      </c>
      <c r="B472" s="101">
        <v>146523661731962.56</v>
      </c>
      <c r="C472" s="101">
        <v>8.4011883320131E+19</v>
      </c>
      <c r="D472" s="101">
        <v>152687566110322.03</v>
      </c>
      <c r="E472" s="101">
        <v>152687566110322.03</v>
      </c>
      <c r="F472" s="101">
        <v>1708126801.1407409</v>
      </c>
      <c r="G472" s="101">
        <v>17530322905934712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1:50" ht="12.75">
      <c r="A473" s="103">
        <v>10000</v>
      </c>
      <c r="B473" s="101">
        <v>1E+40</v>
      </c>
      <c r="C473" s="101">
        <v>1E+40</v>
      </c>
      <c r="D473" s="101">
        <v>1E+40</v>
      </c>
      <c r="E473" s="101">
        <v>1E+40</v>
      </c>
      <c r="F473" s="101">
        <v>1E+40</v>
      </c>
      <c r="G473" s="101">
        <v>1E+40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5" spans="1:9" ht="12.75">
      <c r="A475" s="19" t="s">
        <v>381</v>
      </c>
      <c r="B475" s="88">
        <v>43857</v>
      </c>
      <c r="C475" s="89">
        <v>0.6454050925925926</v>
      </c>
      <c r="E475" s="19" t="s">
        <v>386</v>
      </c>
      <c r="G475" s="19">
        <v>0.2</v>
      </c>
      <c r="H475" s="19">
        <v>0.3</v>
      </c>
      <c r="I475" s="19" t="s">
        <v>61</v>
      </c>
    </row>
    <row r="478" ht="12.75">
      <c r="A478" s="29" t="s">
        <v>522</v>
      </c>
    </row>
    <row r="480" spans="1:50" ht="18">
      <c r="A480" s="9" t="s">
        <v>504</v>
      </c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1:50" ht="12.75">
      <c r="A481" s="8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1:50" ht="12.75">
      <c r="A482" s="8" t="s">
        <v>505</v>
      </c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1:50" ht="15.75">
      <c r="A483" s="97" t="s">
        <v>506</v>
      </c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1:50" ht="15.75">
      <c r="A484" s="13" t="s">
        <v>507</v>
      </c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1:5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1:50" ht="14.25">
      <c r="A486" s="102" t="s">
        <v>509</v>
      </c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1:50" ht="12.75">
      <c r="A487"/>
      <c r="B487" s="45">
        <v>0.5</v>
      </c>
      <c r="C487" s="45">
        <v>0.0001</v>
      </c>
      <c r="D487" s="45">
        <v>250</v>
      </c>
      <c r="E487" s="45">
        <v>10</v>
      </c>
      <c r="F487" s="45">
        <v>0.02</v>
      </c>
      <c r="G487" s="45">
        <v>0.0005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1:5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1:50" ht="14.25">
      <c r="A489" s="98" t="s">
        <v>508</v>
      </c>
      <c r="B489" s="98" t="s">
        <v>6</v>
      </c>
      <c r="C489" s="98" t="s">
        <v>7</v>
      </c>
      <c r="D489" s="98" t="s">
        <v>8</v>
      </c>
      <c r="E489" s="98" t="s">
        <v>9</v>
      </c>
      <c r="F489" s="98" t="s">
        <v>10</v>
      </c>
      <c r="G489" s="98" t="s">
        <v>11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1:50" ht="15">
      <c r="A490"/>
      <c r="B490" s="99" t="s">
        <v>387</v>
      </c>
      <c r="C490" s="99" t="s">
        <v>390</v>
      </c>
      <c r="D490" s="99" t="s">
        <v>393</v>
      </c>
      <c r="E490" s="99" t="s">
        <v>396</v>
      </c>
      <c r="F490" s="99" t="s">
        <v>399</v>
      </c>
      <c r="G490" s="99" t="s">
        <v>402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1:50" ht="12.75">
      <c r="A491" s="100">
        <v>1</v>
      </c>
      <c r="B491" s="101">
        <v>0.028092889609397462</v>
      </c>
      <c r="C491" s="101">
        <v>0</v>
      </c>
      <c r="D491" s="101">
        <v>95.78898512629218</v>
      </c>
      <c r="E491" s="101">
        <v>4.290721822885327</v>
      </c>
      <c r="F491" s="101">
        <v>0</v>
      </c>
      <c r="G491" s="101">
        <v>0.0005434241638156453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1:50" ht="12.75">
      <c r="A492" s="100">
        <v>10</v>
      </c>
      <c r="B492" s="101">
        <v>0.07555208091951392</v>
      </c>
      <c r="C492" s="101">
        <v>1.938717285240743E-23</v>
      </c>
      <c r="D492" s="101">
        <v>61.63234434734858</v>
      </c>
      <c r="E492" s="101">
        <v>2.760727076689386</v>
      </c>
      <c r="F492" s="101">
        <v>3.144627372943295E-13</v>
      </c>
      <c r="G492" s="101">
        <v>0.0003496351435745387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1:50" ht="12.75">
      <c r="A493" s="100">
        <v>100</v>
      </c>
      <c r="B493" s="101">
        <v>0.0009183491402776504</v>
      </c>
      <c r="C493" s="101">
        <v>1.401757750372605E-10</v>
      </c>
      <c r="D493" s="101">
        <v>0.7491521364325221</v>
      </c>
      <c r="E493" s="101">
        <v>0.033557129937374176</v>
      </c>
      <c r="F493" s="101">
        <v>0.004650432133275623</v>
      </c>
      <c r="G493" s="101">
        <v>4.249877520555861E-06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1:50" ht="12.75">
      <c r="A494" s="100">
        <v>1000</v>
      </c>
      <c r="B494" s="101">
        <v>6.465783696582749E-23</v>
      </c>
      <c r="C494" s="101">
        <v>9.903929359977728E-30</v>
      </c>
      <c r="D494" s="101">
        <v>5.274525186077172E-20</v>
      </c>
      <c r="E494" s="101">
        <v>2.3626432925895683E-21</v>
      </c>
      <c r="F494" s="101">
        <v>5.2696621286439814E-12</v>
      </c>
      <c r="G494" s="101">
        <v>2.9921940991467237E-25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1:50" ht="12.75">
      <c r="A495" s="100">
        <v>10000</v>
      </c>
      <c r="B495" s="101">
        <v>0</v>
      </c>
      <c r="C495" s="101">
        <v>0</v>
      </c>
      <c r="D495" s="101">
        <v>0</v>
      </c>
      <c r="E495" s="101">
        <v>0</v>
      </c>
      <c r="F495" s="101">
        <v>0</v>
      </c>
      <c r="G495" s="101">
        <v>0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1:5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1:5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1:50" ht="15.75">
      <c r="A498" s="97" t="s">
        <v>506</v>
      </c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1:50" ht="15.75">
      <c r="A499" s="13" t="s">
        <v>510</v>
      </c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1:5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1:50" ht="14.25">
      <c r="A501" s="98" t="s">
        <v>508</v>
      </c>
      <c r="B501" s="98" t="s">
        <v>6</v>
      </c>
      <c r="C501" s="98" t="s">
        <v>7</v>
      </c>
      <c r="D501" s="98" t="s">
        <v>8</v>
      </c>
      <c r="E501" s="98" t="s">
        <v>9</v>
      </c>
      <c r="F501" s="98" t="s">
        <v>10</v>
      </c>
      <c r="G501" s="98" t="s">
        <v>11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1:50" ht="15">
      <c r="A502"/>
      <c r="B502" s="99" t="s">
        <v>387</v>
      </c>
      <c r="C502" s="99" t="s">
        <v>390</v>
      </c>
      <c r="D502" s="99" t="s">
        <v>393</v>
      </c>
      <c r="E502" s="99" t="s">
        <v>396</v>
      </c>
      <c r="F502" s="99" t="s">
        <v>399</v>
      </c>
      <c r="G502" s="99" t="s">
        <v>402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1:50" ht="12.75">
      <c r="A503" s="103">
        <v>1</v>
      </c>
      <c r="B503" s="101">
        <v>9.432991895264268</v>
      </c>
      <c r="C503" s="101">
        <v>1E+40</v>
      </c>
      <c r="D503" s="101">
        <v>1200.5555737789603</v>
      </c>
      <c r="E503" s="101">
        <v>48.022222951158405</v>
      </c>
      <c r="F503" s="101">
        <v>1E+40</v>
      </c>
      <c r="G503" s="101">
        <v>0.2760274753827232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1:50" ht="12.75">
      <c r="A504" s="103">
        <v>10</v>
      </c>
      <c r="B504" s="101">
        <v>3.507514244145123</v>
      </c>
      <c r="C504" s="101">
        <v>1.0316099284954008E+17</v>
      </c>
      <c r="D504" s="101">
        <v>1865.9033859215401</v>
      </c>
      <c r="E504" s="101">
        <v>74.6361354368616</v>
      </c>
      <c r="F504" s="101">
        <v>7632064837.474393</v>
      </c>
      <c r="G504" s="101">
        <v>0.42901865775406955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1:50" ht="12.75">
      <c r="A505" s="103">
        <v>100</v>
      </c>
      <c r="B505" s="101">
        <v>288.5612762918043</v>
      </c>
      <c r="C505" s="101">
        <v>14267.800548763686</v>
      </c>
      <c r="D505" s="101">
        <v>153506.87051048453</v>
      </c>
      <c r="E505" s="101">
        <v>6140.2748204193795</v>
      </c>
      <c r="F505" s="101">
        <v>0.5160810718700916</v>
      </c>
      <c r="G505" s="101">
        <v>35.295134806703985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1:50" ht="12.75">
      <c r="A506" s="103">
        <v>1000</v>
      </c>
      <c r="B506" s="101">
        <v>4.0984977604502293E+21</v>
      </c>
      <c r="C506" s="101">
        <v>2.019400509945174E+23</v>
      </c>
      <c r="D506" s="101">
        <v>2.1802910393443217E+24</v>
      </c>
      <c r="E506" s="101">
        <v>8.721164157377287E+22</v>
      </c>
      <c r="F506" s="101">
        <v>455437168.723677</v>
      </c>
      <c r="G506" s="101">
        <v>5.013043774224911E+20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1:50" ht="12.75">
      <c r="A507" s="103">
        <v>10000</v>
      </c>
      <c r="B507" s="101">
        <v>1E+40</v>
      </c>
      <c r="C507" s="101">
        <v>1E+40</v>
      </c>
      <c r="D507" s="101">
        <v>1E+40</v>
      </c>
      <c r="E507" s="101">
        <v>1E+40</v>
      </c>
      <c r="F507" s="101">
        <v>1E+40</v>
      </c>
      <c r="G507" s="101">
        <v>1E+40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1:5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1:50" ht="14.25">
      <c r="A509" s="102" t="s">
        <v>511</v>
      </c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1:50" ht="12.75">
      <c r="A510"/>
      <c r="B510" s="45">
        <v>0.53</v>
      </c>
      <c r="C510" s="45">
        <v>0.02</v>
      </c>
      <c r="D510" s="45">
        <v>460</v>
      </c>
      <c r="E510" s="45">
        <v>20.605</v>
      </c>
      <c r="F510" s="45">
        <v>0.12</v>
      </c>
      <c r="G510" s="45">
        <v>0.3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1:5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1:5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1:50" ht="15.75">
      <c r="A513" s="97" t="s">
        <v>506</v>
      </c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1:50" ht="15.75">
      <c r="A514" s="13" t="s">
        <v>512</v>
      </c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1:5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1:50" ht="12.75">
      <c r="A516"/>
      <c r="B516" s="101">
        <v>4.622433472156249</v>
      </c>
      <c r="C516" s="42" t="s">
        <v>513</v>
      </c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1:5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1:50" ht="12.75">
      <c r="A518"/>
      <c r="B518"/>
      <c r="C518"/>
      <c r="D518"/>
      <c r="E518"/>
      <c r="F518"/>
      <c r="G518"/>
      <c r="H518"/>
      <c r="I518" s="104" t="s">
        <v>515</v>
      </c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1:50" ht="15.75">
      <c r="A519" s="97" t="s">
        <v>506</v>
      </c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1:50" ht="15.75">
      <c r="A520" s="13" t="s">
        <v>514</v>
      </c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1:5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1:50" ht="14.25">
      <c r="A522" s="98" t="s">
        <v>508</v>
      </c>
      <c r="B522" s="98" t="s">
        <v>6</v>
      </c>
      <c r="C522" s="98" t="s">
        <v>7</v>
      </c>
      <c r="D522" s="98" t="s">
        <v>8</v>
      </c>
      <c r="E522" s="98" t="s">
        <v>9</v>
      </c>
      <c r="F522" s="98" t="s">
        <v>10</v>
      </c>
      <c r="G522" s="98" t="s">
        <v>11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1:50" ht="15">
      <c r="A523"/>
      <c r="B523" s="99" t="s">
        <v>387</v>
      </c>
      <c r="C523" s="99" t="s">
        <v>390</v>
      </c>
      <c r="D523" s="99" t="s">
        <v>393</v>
      </c>
      <c r="E523" s="99" t="s">
        <v>396</v>
      </c>
      <c r="F523" s="99" t="s">
        <v>399</v>
      </c>
      <c r="G523" s="99" t="s">
        <v>402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1:50" ht="12.75">
      <c r="A524" s="103">
        <v>1</v>
      </c>
      <c r="B524" s="101">
        <v>4.081396499088612</v>
      </c>
      <c r="C524" s="101">
        <v>1E+40</v>
      </c>
      <c r="D524" s="101">
        <v>1.0388948427365305</v>
      </c>
      <c r="E524" s="101">
        <v>1.0388948427365303</v>
      </c>
      <c r="F524" s="101">
        <v>1E+40</v>
      </c>
      <c r="G524" s="101">
        <v>119.42950700984922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1:50" ht="12.75">
      <c r="A525" s="103">
        <v>10</v>
      </c>
      <c r="B525" s="101">
        <v>1.5176050732900892</v>
      </c>
      <c r="C525" s="101">
        <v>2.231746405241784E+20</v>
      </c>
      <c r="D525" s="101">
        <v>1.6146502894296004</v>
      </c>
      <c r="E525" s="101">
        <v>1.6146502894296002</v>
      </c>
      <c r="F525" s="101">
        <v>82554620671.63324</v>
      </c>
      <c r="G525" s="101">
        <v>185.62458944549962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1:50" ht="12.75">
      <c r="A526" s="103">
        <v>100</v>
      </c>
      <c r="B526" s="101">
        <v>124.85253839995136</v>
      </c>
      <c r="C526" s="101">
        <v>30866427.03395818</v>
      </c>
      <c r="D526" s="101">
        <v>132.83641305831702</v>
      </c>
      <c r="E526" s="101">
        <v>132.836413058317</v>
      </c>
      <c r="F526" s="101">
        <v>5.582352617714936</v>
      </c>
      <c r="G526" s="101">
        <v>15271.235386862016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1:50" ht="12.75">
      <c r="A527" s="103">
        <v>1000</v>
      </c>
      <c r="B527" s="101">
        <v>1.7733074083761265E+21</v>
      </c>
      <c r="C527" s="101">
        <v>4.3686956710340146E+26</v>
      </c>
      <c r="D527" s="101">
        <v>1.88670409426338E+21</v>
      </c>
      <c r="E527" s="101">
        <v>1.8867040942633798E+21</v>
      </c>
      <c r="F527" s="101">
        <v>4926378837.759962</v>
      </c>
      <c r="G527" s="101">
        <v>2.1690063488946018E+23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1:50" ht="12.75">
      <c r="A528" s="103">
        <v>10000</v>
      </c>
      <c r="B528" s="101">
        <v>1E+40</v>
      </c>
      <c r="C528" s="101">
        <v>1E+40</v>
      </c>
      <c r="D528" s="101">
        <v>1E+40</v>
      </c>
      <c r="E528" s="101">
        <v>1E+40</v>
      </c>
      <c r="F528" s="101">
        <v>1E+40</v>
      </c>
      <c r="G528" s="101">
        <v>1E+40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30" spans="1:9" ht="12.75">
      <c r="A530" s="19" t="s">
        <v>381</v>
      </c>
      <c r="B530" s="88">
        <v>43857</v>
      </c>
      <c r="C530" s="89">
        <v>0.6457291666666667</v>
      </c>
      <c r="E530" s="19" t="s">
        <v>436</v>
      </c>
      <c r="G530" s="19">
        <v>1</v>
      </c>
      <c r="H530" s="19">
        <v>0.6</v>
      </c>
      <c r="I530" s="19" t="s">
        <v>321</v>
      </c>
    </row>
    <row r="533" ht="12.75">
      <c r="A533" s="29" t="s">
        <v>523</v>
      </c>
    </row>
    <row r="535" spans="1:50" ht="18">
      <c r="A535" s="9" t="s">
        <v>504</v>
      </c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1:50" ht="12.75">
      <c r="A536" s="8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1:50" ht="12.75">
      <c r="A537" s="8" t="s">
        <v>505</v>
      </c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1:50" ht="15.75">
      <c r="A538" s="97" t="s">
        <v>506</v>
      </c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1:50" ht="15.75">
      <c r="A539" s="13" t="s">
        <v>507</v>
      </c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1:5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1:50" ht="14.25">
      <c r="A541" s="102" t="s">
        <v>509</v>
      </c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1:50" ht="12.75">
      <c r="A542"/>
      <c r="B542" s="45">
        <v>0.5</v>
      </c>
      <c r="C542" s="45">
        <v>0.0001</v>
      </c>
      <c r="D542" s="45">
        <v>250</v>
      </c>
      <c r="E542" s="45">
        <v>10</v>
      </c>
      <c r="F542" s="45">
        <v>0.02</v>
      </c>
      <c r="G542" s="45">
        <v>0.0005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1:5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1:50" ht="14.25">
      <c r="A544" s="98" t="s">
        <v>508</v>
      </c>
      <c r="B544" s="98" t="s">
        <v>6</v>
      </c>
      <c r="C544" s="98" t="s">
        <v>7</v>
      </c>
      <c r="D544" s="98" t="s">
        <v>8</v>
      </c>
      <c r="E544" s="98" t="s">
        <v>9</v>
      </c>
      <c r="F544" s="98" t="s">
        <v>10</v>
      </c>
      <c r="G544" s="98" t="s">
        <v>11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1:50" ht="15">
      <c r="A545"/>
      <c r="B545" s="99" t="s">
        <v>387</v>
      </c>
      <c r="C545" s="99" t="s">
        <v>390</v>
      </c>
      <c r="D545" s="99" t="s">
        <v>393</v>
      </c>
      <c r="E545" s="99" t="s">
        <v>396</v>
      </c>
      <c r="F545" s="99" t="s">
        <v>399</v>
      </c>
      <c r="G545" s="99" t="s">
        <v>402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1:50" ht="12.75">
      <c r="A546" s="100">
        <v>1</v>
      </c>
      <c r="B546" s="101">
        <v>0.0406487096963119</v>
      </c>
      <c r="C546" s="101">
        <v>0</v>
      </c>
      <c r="D546" s="101">
        <v>136.02603731289724</v>
      </c>
      <c r="E546" s="101">
        <v>6.093079345287495</v>
      </c>
      <c r="F546" s="101">
        <v>0</v>
      </c>
      <c r="G546" s="101">
        <v>0.0007696647571581677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1:50" ht="12.75">
      <c r="A547" s="100">
        <v>10</v>
      </c>
      <c r="B547" s="101">
        <v>0.08338235786088229</v>
      </c>
      <c r="C547" s="101">
        <v>2.804930868175644E-23</v>
      </c>
      <c r="D547" s="101">
        <v>65.22785068562595</v>
      </c>
      <c r="E547" s="101">
        <v>2.9217823116898325</v>
      </c>
      <c r="F547" s="101">
        <v>4.5315375323287345E-13</v>
      </c>
      <c r="G547" s="101">
        <v>0.00036905845263798294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1:50" ht="12.75">
      <c r="A548" s="100">
        <v>100</v>
      </c>
      <c r="B548" s="101">
        <v>5.3580875841121876E-05</v>
      </c>
      <c r="C548" s="101">
        <v>5.0478614349056594E-11</v>
      </c>
      <c r="D548" s="101">
        <v>0.04191491853298994</v>
      </c>
      <c r="E548" s="101">
        <v>0.001877514992113604</v>
      </c>
      <c r="F548" s="101">
        <v>0.004374198753161701</v>
      </c>
      <c r="G548" s="101">
        <v>2.3715414218990534E-07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1:50" ht="12.75">
      <c r="A549" s="100">
        <v>1000</v>
      </c>
      <c r="B549" s="101">
        <v>6.432286624926171E-37</v>
      </c>
      <c r="C549" s="101">
        <v>0</v>
      </c>
      <c r="D549" s="101">
        <v>5.0318096827023915E-34</v>
      </c>
      <c r="E549" s="101">
        <v>2.2539225763496259E-35</v>
      </c>
      <c r="F549" s="101">
        <v>3.3364123456799213E-12</v>
      </c>
      <c r="G549" s="101">
        <v>2.8469923138047388E-39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1:50" ht="12.75">
      <c r="A550" s="100">
        <v>10000</v>
      </c>
      <c r="B550" s="101">
        <v>0</v>
      </c>
      <c r="C550" s="101">
        <v>0</v>
      </c>
      <c r="D550" s="101">
        <v>0</v>
      </c>
      <c r="E550" s="101">
        <v>0</v>
      </c>
      <c r="F550" s="101">
        <v>0</v>
      </c>
      <c r="G550" s="101">
        <v>0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1:5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1:5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1:50" ht="15.75">
      <c r="A553" s="97" t="s">
        <v>506</v>
      </c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1:50" ht="15.75">
      <c r="A554" s="13" t="s">
        <v>510</v>
      </c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1:5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1:50" ht="14.25">
      <c r="A556" s="98" t="s">
        <v>508</v>
      </c>
      <c r="B556" s="98" t="s">
        <v>6</v>
      </c>
      <c r="C556" s="98" t="s">
        <v>7</v>
      </c>
      <c r="D556" s="98" t="s">
        <v>8</v>
      </c>
      <c r="E556" s="98" t="s">
        <v>9</v>
      </c>
      <c r="F556" s="98" t="s">
        <v>10</v>
      </c>
      <c r="G556" s="98" t="s">
        <v>11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1:50" ht="15">
      <c r="A557"/>
      <c r="B557" s="99" t="s">
        <v>387</v>
      </c>
      <c r="C557" s="99" t="s">
        <v>390</v>
      </c>
      <c r="D557" s="99" t="s">
        <v>393</v>
      </c>
      <c r="E557" s="99" t="s">
        <v>396</v>
      </c>
      <c r="F557" s="99" t="s">
        <v>399</v>
      </c>
      <c r="G557" s="99" t="s">
        <v>402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1:50" ht="12.75">
      <c r="A558" s="103">
        <v>1</v>
      </c>
      <c r="B558" s="101">
        <v>6.519272124006528</v>
      </c>
      <c r="C558" s="101">
        <v>1E+40</v>
      </c>
      <c r="D558" s="101">
        <v>845.4263777122935</v>
      </c>
      <c r="E558" s="101">
        <v>33.81705510849174</v>
      </c>
      <c r="F558" s="101">
        <v>1E+40</v>
      </c>
      <c r="G558" s="101">
        <v>0.1948900460946722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1:50" ht="12.75">
      <c r="A559" s="103">
        <v>10</v>
      </c>
      <c r="B559" s="101">
        <v>3.178130323948553</v>
      </c>
      <c r="C559" s="101">
        <v>71303005100472260</v>
      </c>
      <c r="D559" s="101">
        <v>1763.0505802537837</v>
      </c>
      <c r="E559" s="101">
        <v>70.52202321015135</v>
      </c>
      <c r="F559" s="101">
        <v>5296215650.599834</v>
      </c>
      <c r="G559" s="101">
        <v>0.40643968164885275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1:50" ht="12.75">
      <c r="A560" s="103">
        <v>100</v>
      </c>
      <c r="B560" s="101">
        <v>4945.794480586293</v>
      </c>
      <c r="C560" s="101">
        <v>39620.738916685</v>
      </c>
      <c r="D560" s="101">
        <v>2743653.1913926313</v>
      </c>
      <c r="E560" s="101">
        <v>109746.12765570525</v>
      </c>
      <c r="F560" s="101">
        <v>0.5486719135167929</v>
      </c>
      <c r="G560" s="101">
        <v>632.5000213569319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1:50" ht="12.75">
      <c r="A561" s="103">
        <v>1000</v>
      </c>
      <c r="B561" s="101">
        <v>4.1198412858824005E+35</v>
      </c>
      <c r="C561" s="101">
        <v>1E+40</v>
      </c>
      <c r="D561" s="101">
        <v>2.2854600482075055E+38</v>
      </c>
      <c r="E561" s="101">
        <v>9.141840192830021E+36</v>
      </c>
      <c r="F561" s="101">
        <v>719335547.0907503</v>
      </c>
      <c r="G561" s="101">
        <v>5.268718123075613E+34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1:50" ht="12.75">
      <c r="A562" s="103">
        <v>10000</v>
      </c>
      <c r="B562" s="101">
        <v>1E+40</v>
      </c>
      <c r="C562" s="101">
        <v>1E+40</v>
      </c>
      <c r="D562" s="101">
        <v>1E+40</v>
      </c>
      <c r="E562" s="101">
        <v>1E+40</v>
      </c>
      <c r="F562" s="101">
        <v>1E+40</v>
      </c>
      <c r="G562" s="101">
        <v>1E+40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1:5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1:50" ht="14.25">
      <c r="A564" s="102" t="s">
        <v>511</v>
      </c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1:50" ht="12.75">
      <c r="A565"/>
      <c r="B565" s="45">
        <v>0.53</v>
      </c>
      <c r="C565" s="45">
        <v>0.02</v>
      </c>
      <c r="D565" s="45">
        <v>460</v>
      </c>
      <c r="E565" s="45">
        <v>20.605</v>
      </c>
      <c r="F565" s="45">
        <v>0.12</v>
      </c>
      <c r="G565" s="45">
        <v>0.3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1:5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1:5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1:50" ht="15.75">
      <c r="A568" s="97" t="s">
        <v>506</v>
      </c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1:50" ht="15.75">
      <c r="A569" s="13" t="s">
        <v>512</v>
      </c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1:5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1:50" ht="12.75">
      <c r="A571"/>
      <c r="B571" s="101">
        <v>3.1734600832937496</v>
      </c>
      <c r="C571" s="42" t="s">
        <v>513</v>
      </c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1:5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1:50" ht="12.75">
      <c r="A573"/>
      <c r="B573"/>
      <c r="C573"/>
      <c r="D573"/>
      <c r="E573"/>
      <c r="F573"/>
      <c r="G573"/>
      <c r="H573"/>
      <c r="I573" s="104" t="s">
        <v>515</v>
      </c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1:50" ht="15.75">
      <c r="A574" s="97" t="s">
        <v>506</v>
      </c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1:50" ht="15.75">
      <c r="A575" s="13" t="s">
        <v>514</v>
      </c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1:5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1:50" ht="14.25">
      <c r="A577" s="98" t="s">
        <v>508</v>
      </c>
      <c r="B577" s="98" t="s">
        <v>6</v>
      </c>
      <c r="C577" s="98" t="s">
        <v>7</v>
      </c>
      <c r="D577" s="98" t="s">
        <v>8</v>
      </c>
      <c r="E577" s="98" t="s">
        <v>9</v>
      </c>
      <c r="F577" s="98" t="s">
        <v>10</v>
      </c>
      <c r="G577" s="98" t="s">
        <v>11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1:50" ht="15">
      <c r="A578"/>
      <c r="B578" s="99" t="s">
        <v>387</v>
      </c>
      <c r="C578" s="99" t="s">
        <v>390</v>
      </c>
      <c r="D578" s="99" t="s">
        <v>393</v>
      </c>
      <c r="E578" s="99" t="s">
        <v>396</v>
      </c>
      <c r="F578" s="99" t="s">
        <v>399</v>
      </c>
      <c r="G578" s="99" t="s">
        <v>402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1:50" ht="12.75">
      <c r="A579" s="103">
        <v>1</v>
      </c>
      <c r="B579" s="101">
        <v>4.1086208446902175</v>
      </c>
      <c r="C579" s="101">
        <v>1E+40</v>
      </c>
      <c r="D579" s="101">
        <v>1.065620938058022</v>
      </c>
      <c r="E579" s="101">
        <v>1.065620938058022</v>
      </c>
      <c r="F579" s="101">
        <v>1E+40</v>
      </c>
      <c r="G579" s="101">
        <v>122.82495508334542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1:50" ht="12.75">
      <c r="A580" s="103">
        <v>10</v>
      </c>
      <c r="B580" s="101">
        <v>2.002943311421744</v>
      </c>
      <c r="C580" s="101">
        <v>2.2468536937280936E+20</v>
      </c>
      <c r="D580" s="101">
        <v>2.2222439028429877</v>
      </c>
      <c r="E580" s="101">
        <v>2.2222439028429877</v>
      </c>
      <c r="F580" s="101">
        <v>83445443011.57346</v>
      </c>
      <c r="G580" s="101">
        <v>256.14923205651735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1:50" ht="12.75">
      <c r="A581" s="103">
        <v>100</v>
      </c>
      <c r="B581" s="101">
        <v>3116.972862915628</v>
      </c>
      <c r="C581" s="101">
        <v>124850282.89866635</v>
      </c>
      <c r="D581" s="101">
        <v>3458.2482456120642</v>
      </c>
      <c r="E581" s="101">
        <v>3458.248245612064</v>
      </c>
      <c r="F581" s="101">
        <v>8.644695365875275</v>
      </c>
      <c r="G581" s="101">
        <v>398618.54553434753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1:50" ht="12.75">
      <c r="A582" s="103">
        <v>1000</v>
      </c>
      <c r="B582" s="101">
        <v>2.5964349181959124E+35</v>
      </c>
      <c r="C582" s="101">
        <v>1E+40</v>
      </c>
      <c r="D582" s="101">
        <v>2.880716931325527E+35</v>
      </c>
      <c r="E582" s="101">
        <v>2.8807169313255266E+35</v>
      </c>
      <c r="F582" s="101">
        <v>11333615804.364374</v>
      </c>
      <c r="G582" s="101">
        <v>3.320488038158769E+37</v>
      </c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1:50" ht="12.75">
      <c r="A583" s="103">
        <v>10000</v>
      </c>
      <c r="B583" s="101">
        <v>1E+40</v>
      </c>
      <c r="C583" s="101">
        <v>1E+40</v>
      </c>
      <c r="D583" s="101">
        <v>1E+40</v>
      </c>
      <c r="E583" s="101">
        <v>1E+40</v>
      </c>
      <c r="F583" s="101">
        <v>1E+40</v>
      </c>
      <c r="G583" s="101">
        <v>1E+40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5" spans="1:9" ht="12.75">
      <c r="A585" s="19" t="s">
        <v>381</v>
      </c>
      <c r="B585" s="88">
        <v>43857</v>
      </c>
      <c r="C585" s="89">
        <v>0.6460416666666667</v>
      </c>
      <c r="E585" s="19" t="s">
        <v>436</v>
      </c>
      <c r="G585" s="19">
        <v>0.6</v>
      </c>
      <c r="H585" s="19">
        <v>1</v>
      </c>
      <c r="I585" s="19" t="s">
        <v>321</v>
      </c>
    </row>
    <row r="588" ht="12.75">
      <c r="A588" s="29" t="s">
        <v>524</v>
      </c>
    </row>
    <row r="590" spans="1:50" ht="18">
      <c r="A590" s="9" t="s">
        <v>504</v>
      </c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</row>
    <row r="591" spans="1:50" ht="12.75">
      <c r="A591" s="8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</row>
    <row r="592" spans="1:50" ht="12.75">
      <c r="A592" s="8" t="s">
        <v>505</v>
      </c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</row>
    <row r="593" spans="1:50" ht="15.75">
      <c r="A593" s="97" t="s">
        <v>506</v>
      </c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</row>
    <row r="594" spans="1:50" ht="15.75">
      <c r="A594" s="13" t="s">
        <v>507</v>
      </c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</row>
    <row r="595" spans="1:5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</row>
    <row r="596" spans="1:50" ht="14.25">
      <c r="A596" s="102" t="s">
        <v>509</v>
      </c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</row>
    <row r="597" spans="1:50" ht="12.75">
      <c r="A597"/>
      <c r="B597" s="45">
        <v>0.5</v>
      </c>
      <c r="C597" s="45">
        <v>0.0001</v>
      </c>
      <c r="D597" s="45">
        <v>250</v>
      </c>
      <c r="E597" s="45">
        <v>10</v>
      </c>
      <c r="F597" s="45">
        <v>0.02</v>
      </c>
      <c r="G597" s="45">
        <v>0.0005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</row>
    <row r="598" spans="1:5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</row>
    <row r="599" spans="1:50" ht="14.25">
      <c r="A599" s="98" t="s">
        <v>508</v>
      </c>
      <c r="B599" s="98" t="s">
        <v>6</v>
      </c>
      <c r="C599" s="98" t="s">
        <v>7</v>
      </c>
      <c r="D599" s="98" t="s">
        <v>8</v>
      </c>
      <c r="E599" s="98" t="s">
        <v>9</v>
      </c>
      <c r="F599" s="98" t="s">
        <v>10</v>
      </c>
      <c r="G599" s="98" t="s">
        <v>11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</row>
    <row r="600" spans="1:50" ht="15">
      <c r="A600"/>
      <c r="B600" s="99" t="s">
        <v>387</v>
      </c>
      <c r="C600" s="99" t="s">
        <v>390</v>
      </c>
      <c r="D600" s="99" t="s">
        <v>393</v>
      </c>
      <c r="E600" s="99" t="s">
        <v>396</v>
      </c>
      <c r="F600" s="99" t="s">
        <v>399</v>
      </c>
      <c r="G600" s="99" t="s">
        <v>402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</row>
    <row r="601" spans="1:50" ht="12.75">
      <c r="A601" s="100">
        <v>1</v>
      </c>
      <c r="B601" s="101">
        <v>0.028092889609397462</v>
      </c>
      <c r="C601" s="101">
        <v>0</v>
      </c>
      <c r="D601" s="101">
        <v>95.78898512629218</v>
      </c>
      <c r="E601" s="101">
        <v>4.290721822885327</v>
      </c>
      <c r="F601" s="101">
        <v>0</v>
      </c>
      <c r="G601" s="101">
        <v>0.0005434241638156453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</row>
    <row r="602" spans="1:50" ht="12.75">
      <c r="A602" s="100">
        <v>10</v>
      </c>
      <c r="B602" s="101">
        <v>0.07555208091951392</v>
      </c>
      <c r="C602" s="101">
        <v>1.938717285240743E-23</v>
      </c>
      <c r="D602" s="101">
        <v>61.63234434734858</v>
      </c>
      <c r="E602" s="101">
        <v>2.760727076689386</v>
      </c>
      <c r="F602" s="101">
        <v>3.144627372943295E-13</v>
      </c>
      <c r="G602" s="101">
        <v>0.0003496351435745387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</row>
    <row r="603" spans="1:50" ht="12.75">
      <c r="A603" s="100">
        <v>100</v>
      </c>
      <c r="B603" s="101">
        <v>0.0009183491402776504</v>
      </c>
      <c r="C603" s="101">
        <v>1.401757750372605E-10</v>
      </c>
      <c r="D603" s="101">
        <v>0.7491521364325221</v>
      </c>
      <c r="E603" s="101">
        <v>0.033557129937374176</v>
      </c>
      <c r="F603" s="101">
        <v>0.004650432133275623</v>
      </c>
      <c r="G603" s="101">
        <v>4.249877520555861E-06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</row>
    <row r="604" spans="1:50" ht="12.75">
      <c r="A604" s="100">
        <v>1000</v>
      </c>
      <c r="B604" s="101">
        <v>6.465783696582749E-23</v>
      </c>
      <c r="C604" s="101">
        <v>9.903929359977728E-30</v>
      </c>
      <c r="D604" s="101">
        <v>5.274525186077172E-20</v>
      </c>
      <c r="E604" s="101">
        <v>2.3626432925895683E-21</v>
      </c>
      <c r="F604" s="101">
        <v>5.2696621286439814E-12</v>
      </c>
      <c r="G604" s="101">
        <v>2.9921940991467237E-25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</row>
    <row r="605" spans="1:50" ht="12.75">
      <c r="A605" s="100">
        <v>10000</v>
      </c>
      <c r="B605" s="101">
        <v>0</v>
      </c>
      <c r="C605" s="101">
        <v>0</v>
      </c>
      <c r="D605" s="101">
        <v>0</v>
      </c>
      <c r="E605" s="101">
        <v>0</v>
      </c>
      <c r="F605" s="101">
        <v>0</v>
      </c>
      <c r="G605" s="101">
        <v>0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</row>
    <row r="606" spans="1:5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</row>
    <row r="607" spans="1:5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</row>
    <row r="608" spans="1:50" ht="15.75">
      <c r="A608" s="97" t="s">
        <v>506</v>
      </c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</row>
    <row r="609" spans="1:50" ht="15.75">
      <c r="A609" s="13" t="s">
        <v>510</v>
      </c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</row>
    <row r="610" spans="1:5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</row>
    <row r="611" spans="1:50" ht="14.25">
      <c r="A611" s="98" t="s">
        <v>508</v>
      </c>
      <c r="B611" s="98" t="s">
        <v>6</v>
      </c>
      <c r="C611" s="98" t="s">
        <v>7</v>
      </c>
      <c r="D611" s="98" t="s">
        <v>8</v>
      </c>
      <c r="E611" s="98" t="s">
        <v>9</v>
      </c>
      <c r="F611" s="98" t="s">
        <v>10</v>
      </c>
      <c r="G611" s="98" t="s">
        <v>11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</row>
    <row r="612" spans="1:50" ht="15">
      <c r="A612"/>
      <c r="B612" s="99" t="s">
        <v>387</v>
      </c>
      <c r="C612" s="99" t="s">
        <v>390</v>
      </c>
      <c r="D612" s="99" t="s">
        <v>393</v>
      </c>
      <c r="E612" s="99" t="s">
        <v>396</v>
      </c>
      <c r="F612" s="99" t="s">
        <v>399</v>
      </c>
      <c r="G612" s="99" t="s">
        <v>402</v>
      </c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</row>
    <row r="613" spans="1:50" ht="12.75">
      <c r="A613" s="103">
        <v>1</v>
      </c>
      <c r="B613" s="101">
        <v>9.432991895264268</v>
      </c>
      <c r="C613" s="101">
        <v>1E+40</v>
      </c>
      <c r="D613" s="101">
        <v>1200.5555737789603</v>
      </c>
      <c r="E613" s="101">
        <v>48.022222951158405</v>
      </c>
      <c r="F613" s="101">
        <v>1E+40</v>
      </c>
      <c r="G613" s="101">
        <v>0.2760274753827232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</row>
    <row r="614" spans="1:50" ht="12.75">
      <c r="A614" s="103">
        <v>10</v>
      </c>
      <c r="B614" s="101">
        <v>3.507514244145123</v>
      </c>
      <c r="C614" s="101">
        <v>1.0316099284954008E+17</v>
      </c>
      <c r="D614" s="101">
        <v>1865.9033859215401</v>
      </c>
      <c r="E614" s="101">
        <v>74.6361354368616</v>
      </c>
      <c r="F614" s="101">
        <v>7632064837.474393</v>
      </c>
      <c r="G614" s="101">
        <v>0.42901865775406955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</row>
    <row r="615" spans="1:50" ht="12.75">
      <c r="A615" s="103">
        <v>100</v>
      </c>
      <c r="B615" s="101">
        <v>288.5612762918043</v>
      </c>
      <c r="C615" s="101">
        <v>14267.800548763686</v>
      </c>
      <c r="D615" s="101">
        <v>153506.87051048453</v>
      </c>
      <c r="E615" s="101">
        <v>6140.2748204193795</v>
      </c>
      <c r="F615" s="101">
        <v>0.5160810718700916</v>
      </c>
      <c r="G615" s="101">
        <v>35.295134806703985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</row>
    <row r="616" spans="1:50" ht="12.75">
      <c r="A616" s="103">
        <v>1000</v>
      </c>
      <c r="B616" s="101">
        <v>4.0984977604502293E+21</v>
      </c>
      <c r="C616" s="101">
        <v>2.019400509945174E+23</v>
      </c>
      <c r="D616" s="101">
        <v>2.1802910393443217E+24</v>
      </c>
      <c r="E616" s="101">
        <v>8.721164157377287E+22</v>
      </c>
      <c r="F616" s="101">
        <v>455437168.723677</v>
      </c>
      <c r="G616" s="101">
        <v>5.013043774224911E+20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</row>
    <row r="617" spans="1:50" ht="12.75">
      <c r="A617" s="103">
        <v>10000</v>
      </c>
      <c r="B617" s="101">
        <v>1E+40</v>
      </c>
      <c r="C617" s="101">
        <v>1E+40</v>
      </c>
      <c r="D617" s="101">
        <v>1E+40</v>
      </c>
      <c r="E617" s="101">
        <v>1E+40</v>
      </c>
      <c r="F617" s="101">
        <v>1E+40</v>
      </c>
      <c r="G617" s="101">
        <v>1E+40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</row>
    <row r="618" spans="1:5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</row>
    <row r="619" spans="1:50" ht="14.25">
      <c r="A619" s="102" t="s">
        <v>511</v>
      </c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</row>
    <row r="620" spans="1:50" ht="12.75">
      <c r="A620"/>
      <c r="B620" s="45">
        <v>0.53</v>
      </c>
      <c r="C620" s="45">
        <v>0.02</v>
      </c>
      <c r="D620" s="45">
        <v>460</v>
      </c>
      <c r="E620" s="45">
        <v>20.605</v>
      </c>
      <c r="F620" s="45">
        <v>0.12</v>
      </c>
      <c r="G620" s="45">
        <v>0.3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</row>
    <row r="621" spans="1:5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</row>
    <row r="622" spans="1:5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</row>
    <row r="623" spans="1:50" ht="15.75">
      <c r="A623" s="97" t="s">
        <v>506</v>
      </c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</row>
    <row r="624" spans="1:50" ht="15.75">
      <c r="A624" s="13" t="s">
        <v>512</v>
      </c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</row>
    <row r="625" spans="1:5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</row>
    <row r="626" spans="1:50" ht="12.75">
      <c r="A626"/>
      <c r="B626" s="101">
        <v>4.622433472156249</v>
      </c>
      <c r="C626" s="42" t="s">
        <v>513</v>
      </c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</row>
    <row r="627" spans="1:5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</row>
    <row r="628" spans="1:50" ht="12.75">
      <c r="A628"/>
      <c r="B628"/>
      <c r="C628"/>
      <c r="D628"/>
      <c r="E628"/>
      <c r="F628"/>
      <c r="G628"/>
      <c r="H628"/>
      <c r="I628" s="104" t="s">
        <v>515</v>
      </c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</row>
    <row r="629" spans="1:50" ht="15.75">
      <c r="A629" s="97" t="s">
        <v>506</v>
      </c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</row>
    <row r="630" spans="1:50" ht="15.75">
      <c r="A630" s="13" t="s">
        <v>514</v>
      </c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</row>
    <row r="631" spans="1:5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</row>
    <row r="632" spans="1:50" ht="14.25">
      <c r="A632" s="98" t="s">
        <v>508</v>
      </c>
      <c r="B632" s="98" t="s">
        <v>6</v>
      </c>
      <c r="C632" s="98" t="s">
        <v>7</v>
      </c>
      <c r="D632" s="98" t="s">
        <v>8</v>
      </c>
      <c r="E632" s="98" t="s">
        <v>9</v>
      </c>
      <c r="F632" s="98" t="s">
        <v>10</v>
      </c>
      <c r="G632" s="98" t="s">
        <v>11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</row>
    <row r="633" spans="1:50" ht="15">
      <c r="A633"/>
      <c r="B633" s="99" t="s">
        <v>387</v>
      </c>
      <c r="C633" s="99" t="s">
        <v>390</v>
      </c>
      <c r="D633" s="99" t="s">
        <v>393</v>
      </c>
      <c r="E633" s="99" t="s">
        <v>396</v>
      </c>
      <c r="F633" s="99" t="s">
        <v>399</v>
      </c>
      <c r="G633" s="99" t="s">
        <v>402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</row>
    <row r="634" spans="1:50" ht="12.75">
      <c r="A634" s="103">
        <v>1</v>
      </c>
      <c r="B634" s="101">
        <v>4.081396499088612</v>
      </c>
      <c r="C634" s="101">
        <v>1E+40</v>
      </c>
      <c r="D634" s="101">
        <v>1.0388948427365305</v>
      </c>
      <c r="E634" s="101">
        <v>1.0388948427365303</v>
      </c>
      <c r="F634" s="101">
        <v>1E+40</v>
      </c>
      <c r="G634" s="101">
        <v>119.42950700984922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</row>
    <row r="635" spans="1:50" ht="12.75">
      <c r="A635" s="103">
        <v>10</v>
      </c>
      <c r="B635" s="101">
        <v>1.5176050732900892</v>
      </c>
      <c r="C635" s="101">
        <v>2.231746405241784E+20</v>
      </c>
      <c r="D635" s="101">
        <v>1.6146502894296004</v>
      </c>
      <c r="E635" s="101">
        <v>1.6146502894296002</v>
      </c>
      <c r="F635" s="101">
        <v>82554620671.63324</v>
      </c>
      <c r="G635" s="101">
        <v>185.62458944549962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</row>
    <row r="636" spans="1:50" ht="12.75">
      <c r="A636" s="103">
        <v>100</v>
      </c>
      <c r="B636" s="101">
        <v>124.85253839995136</v>
      </c>
      <c r="C636" s="101">
        <v>30866427.03395818</v>
      </c>
      <c r="D636" s="101">
        <v>132.83641305831702</v>
      </c>
      <c r="E636" s="101">
        <v>132.836413058317</v>
      </c>
      <c r="F636" s="101">
        <v>5.582352617714936</v>
      </c>
      <c r="G636" s="101">
        <v>15271.235386862016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</row>
    <row r="637" spans="1:50" ht="12.75">
      <c r="A637" s="103">
        <v>1000</v>
      </c>
      <c r="B637" s="101">
        <v>1.7733074083761265E+21</v>
      </c>
      <c r="C637" s="101">
        <v>4.3686956710340146E+26</v>
      </c>
      <c r="D637" s="101">
        <v>1.88670409426338E+21</v>
      </c>
      <c r="E637" s="101">
        <v>1.8867040942633798E+21</v>
      </c>
      <c r="F637" s="101">
        <v>4926378837.759962</v>
      </c>
      <c r="G637" s="101">
        <v>2.1690063488946018E+23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</row>
    <row r="638" spans="1:50" ht="12.75">
      <c r="A638" s="103">
        <v>10000</v>
      </c>
      <c r="B638" s="101">
        <v>1E+40</v>
      </c>
      <c r="C638" s="101">
        <v>1E+40</v>
      </c>
      <c r="D638" s="101">
        <v>1E+40</v>
      </c>
      <c r="E638" s="101">
        <v>1E+40</v>
      </c>
      <c r="F638" s="101">
        <v>1E+40</v>
      </c>
      <c r="G638" s="101">
        <v>1E+40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</row>
    <row r="640" spans="1:9" ht="12.75">
      <c r="A640" s="19" t="s">
        <v>381</v>
      </c>
      <c r="B640" s="88">
        <v>43857</v>
      </c>
      <c r="C640" s="89">
        <v>0.6464120370370371</v>
      </c>
      <c r="E640" s="19" t="s">
        <v>498</v>
      </c>
      <c r="G640" s="19">
        <v>2</v>
      </c>
      <c r="H640" s="19">
        <v>1.5</v>
      </c>
      <c r="I640" s="19" t="s">
        <v>499</v>
      </c>
    </row>
    <row r="642" spans="1:9" ht="12.75">
      <c r="A642" s="19" t="s">
        <v>381</v>
      </c>
      <c r="B642" s="88">
        <v>43857</v>
      </c>
      <c r="C642" s="89">
        <v>0.6464236111111111</v>
      </c>
      <c r="E642" s="19" t="s">
        <v>500</v>
      </c>
      <c r="G642" s="19">
        <v>20</v>
      </c>
      <c r="H642" s="19">
        <v>15</v>
      </c>
      <c r="I642" s="19" t="s">
        <v>501</v>
      </c>
    </row>
    <row r="645" ht="12.75">
      <c r="A645" s="29" t="s">
        <v>525</v>
      </c>
    </row>
    <row r="647" spans="1:50" ht="18">
      <c r="A647" s="9" t="s">
        <v>504</v>
      </c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</row>
    <row r="648" spans="1:50" ht="12.75">
      <c r="A648" s="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</row>
    <row r="649" spans="1:50" ht="12.75">
      <c r="A649" s="8" t="s">
        <v>505</v>
      </c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</row>
    <row r="650" spans="1:50" ht="15.75">
      <c r="A650" s="97" t="s">
        <v>506</v>
      </c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</row>
    <row r="651" spans="1:50" ht="15.75">
      <c r="A651" s="13" t="s">
        <v>507</v>
      </c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</row>
    <row r="652" spans="1:5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</row>
    <row r="653" spans="1:50" ht="14.25">
      <c r="A653" s="102" t="s">
        <v>509</v>
      </c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</row>
    <row r="654" spans="1:50" ht="12.75">
      <c r="A654"/>
      <c r="B654" s="45">
        <v>0.5</v>
      </c>
      <c r="C654" s="45">
        <v>0.0001</v>
      </c>
      <c r="D654" s="45">
        <v>250</v>
      </c>
      <c r="E654" s="45">
        <v>10</v>
      </c>
      <c r="F654" s="45">
        <v>0.02</v>
      </c>
      <c r="G654" s="45">
        <v>0.0005</v>
      </c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</row>
    <row r="655" spans="1:5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</row>
    <row r="656" spans="1:50" ht="14.25">
      <c r="A656" s="98" t="s">
        <v>508</v>
      </c>
      <c r="B656" s="98" t="s">
        <v>6</v>
      </c>
      <c r="C656" s="98" t="s">
        <v>7</v>
      </c>
      <c r="D656" s="98" t="s">
        <v>8</v>
      </c>
      <c r="E656" s="98" t="s">
        <v>9</v>
      </c>
      <c r="F656" s="98" t="s">
        <v>10</v>
      </c>
      <c r="G656" s="98" t="s">
        <v>11</v>
      </c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</row>
    <row r="657" spans="1:50" ht="15">
      <c r="A657"/>
      <c r="B657" s="99" t="s">
        <v>387</v>
      </c>
      <c r="C657" s="99" t="s">
        <v>390</v>
      </c>
      <c r="D657" s="99" t="s">
        <v>393</v>
      </c>
      <c r="E657" s="99" t="s">
        <v>396</v>
      </c>
      <c r="F657" s="99" t="s">
        <v>399</v>
      </c>
      <c r="G657" s="99" t="s">
        <v>402</v>
      </c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</row>
    <row r="658" spans="1:50" ht="12.75">
      <c r="A658" s="100">
        <v>1</v>
      </c>
      <c r="B658" s="101">
        <v>0.009783261803243478</v>
      </c>
      <c r="C658" s="101">
        <v>0</v>
      </c>
      <c r="D658" s="101">
        <v>96.06156447504338</v>
      </c>
      <c r="E658" s="101">
        <v>4.302931600017976</v>
      </c>
      <c r="F658" s="101">
        <v>0</v>
      </c>
      <c r="G658" s="101">
        <v>0.00017575884419911134</v>
      </c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</row>
    <row r="659" spans="1:50" ht="12.75">
      <c r="A659" s="100">
        <v>10</v>
      </c>
      <c r="B659" s="101">
        <v>0.07742731443064328</v>
      </c>
      <c r="C659" s="101">
        <v>2.4545917124952175E-30</v>
      </c>
      <c r="D659" s="101">
        <v>61.85662970865881</v>
      </c>
      <c r="E659" s="101">
        <v>2.770773598145467</v>
      </c>
      <c r="F659" s="101">
        <v>2.8750014346766264E-17</v>
      </c>
      <c r="G659" s="101">
        <v>0.00011308195847387046</v>
      </c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</row>
    <row r="660" spans="1:50" ht="12.75">
      <c r="A660" s="100">
        <v>100</v>
      </c>
      <c r="B660" s="101">
        <v>0.0009411543854692696</v>
      </c>
      <c r="C660" s="101">
        <v>1.1668941520257144E-11</v>
      </c>
      <c r="D660" s="101">
        <v>0.7518783649963416</v>
      </c>
      <c r="E660" s="101">
        <v>0.033679247197281784</v>
      </c>
      <c r="F660" s="101">
        <v>0.002906755357162755</v>
      </c>
      <c r="G660" s="101">
        <v>1.3745313711455445E-06</v>
      </c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</row>
    <row r="661" spans="1:50" ht="12.75">
      <c r="A661" s="100">
        <v>1000</v>
      </c>
      <c r="B661" s="101">
        <v>6.626347665221736E-23</v>
      </c>
      <c r="C661" s="101">
        <v>8.347160554113404E-31</v>
      </c>
      <c r="D661" s="101">
        <v>5.2937196334012115E-20</v>
      </c>
      <c r="E661" s="101">
        <v>2.371241153178956E-21</v>
      </c>
      <c r="F661" s="101">
        <v>1.2841988264795637E-09</v>
      </c>
      <c r="G661" s="101">
        <v>9.677607502632708E-26</v>
      </c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</row>
    <row r="662" spans="1:50" ht="12.75">
      <c r="A662" s="100">
        <v>10000</v>
      </c>
      <c r="B662" s="101">
        <v>0</v>
      </c>
      <c r="C662" s="101">
        <v>0</v>
      </c>
      <c r="D662" s="101">
        <v>0</v>
      </c>
      <c r="E662" s="101">
        <v>0</v>
      </c>
      <c r="F662" s="101">
        <v>0</v>
      </c>
      <c r="G662" s="101">
        <v>0</v>
      </c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</row>
    <row r="663" spans="1:5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</row>
    <row r="664" spans="1:5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</row>
    <row r="665" spans="1:50" ht="15.75">
      <c r="A665" s="97" t="s">
        <v>506</v>
      </c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</row>
    <row r="666" spans="1:50" ht="15.75">
      <c r="A666" s="13" t="s">
        <v>510</v>
      </c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</row>
    <row r="667" spans="1:5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</row>
    <row r="668" spans="1:50" ht="14.25">
      <c r="A668" s="98" t="s">
        <v>508</v>
      </c>
      <c r="B668" s="98" t="s">
        <v>6</v>
      </c>
      <c r="C668" s="98" t="s">
        <v>7</v>
      </c>
      <c r="D668" s="98" t="s">
        <v>8</v>
      </c>
      <c r="E668" s="98" t="s">
        <v>9</v>
      </c>
      <c r="F668" s="98" t="s">
        <v>10</v>
      </c>
      <c r="G668" s="98" t="s">
        <v>11</v>
      </c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</row>
    <row r="669" spans="1:50" ht="15">
      <c r="A669"/>
      <c r="B669" s="99" t="s">
        <v>387</v>
      </c>
      <c r="C669" s="99" t="s">
        <v>390</v>
      </c>
      <c r="D669" s="99" t="s">
        <v>393</v>
      </c>
      <c r="E669" s="99" t="s">
        <v>396</v>
      </c>
      <c r="F669" s="99" t="s">
        <v>399</v>
      </c>
      <c r="G669" s="99" t="s">
        <v>402</v>
      </c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</row>
    <row r="670" spans="1:50" ht="12.75">
      <c r="A670" s="103">
        <v>1</v>
      </c>
      <c r="B670" s="101">
        <v>27.087080498259144</v>
      </c>
      <c r="C670" s="101">
        <v>1E+40</v>
      </c>
      <c r="D670" s="101">
        <v>1197.148939104326</v>
      </c>
      <c r="E670" s="101">
        <v>47.88595756417305</v>
      </c>
      <c r="F670" s="101">
        <v>1E+40</v>
      </c>
      <c r="G670" s="101">
        <v>0.8534421165746288</v>
      </c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</row>
    <row r="671" spans="1:50" ht="12.75">
      <c r="A671" s="103">
        <v>10</v>
      </c>
      <c r="B671" s="101">
        <v>3.4225647880035655</v>
      </c>
      <c r="C671" s="101">
        <v>8.147994592415936E+23</v>
      </c>
      <c r="D671" s="101">
        <v>1859.1378247027592</v>
      </c>
      <c r="E671" s="101">
        <v>74.36551298811037</v>
      </c>
      <c r="F671" s="101">
        <v>83478219212434.8</v>
      </c>
      <c r="G671" s="101">
        <v>1.326471543510277</v>
      </c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</row>
    <row r="672" spans="1:50" ht="12.75">
      <c r="A672" s="103">
        <v>100</v>
      </c>
      <c r="B672" s="101">
        <v>281.5691071426801</v>
      </c>
      <c r="C672" s="101">
        <v>171395.15152492828</v>
      </c>
      <c r="D672" s="101">
        <v>152950.27141864834</v>
      </c>
      <c r="E672" s="101">
        <v>6118.010856745934</v>
      </c>
      <c r="F672" s="101">
        <v>0.8256628801202615</v>
      </c>
      <c r="G672" s="101">
        <v>109.12810223821148</v>
      </c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</row>
    <row r="673" spans="1:50" ht="12.75">
      <c r="A673" s="103">
        <v>1000</v>
      </c>
      <c r="B673" s="101">
        <v>3.9991864808248385E+21</v>
      </c>
      <c r="C673" s="101">
        <v>2.3960243570664502E+24</v>
      </c>
      <c r="D673" s="101">
        <v>2.172385542944075E+24</v>
      </c>
      <c r="E673" s="101">
        <v>8.6895421717763E+22</v>
      </c>
      <c r="F673" s="101">
        <v>1868869.4854045582</v>
      </c>
      <c r="G673" s="101">
        <v>1.549969865580866E+21</v>
      </c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</row>
    <row r="674" spans="1:50" ht="12.75">
      <c r="A674" s="103">
        <v>10000</v>
      </c>
      <c r="B674" s="101">
        <v>1E+40</v>
      </c>
      <c r="C674" s="101">
        <v>1E+40</v>
      </c>
      <c r="D674" s="101">
        <v>1E+40</v>
      </c>
      <c r="E674" s="101">
        <v>1E+40</v>
      </c>
      <c r="F674" s="101">
        <v>1E+40</v>
      </c>
      <c r="G674" s="101">
        <v>1E+40</v>
      </c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</row>
    <row r="675" spans="1:5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</row>
    <row r="676" spans="1:50" ht="14.25">
      <c r="A676" s="102" t="s">
        <v>511</v>
      </c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</row>
    <row r="677" spans="1:50" ht="12.75">
      <c r="A677"/>
      <c r="B677" s="45">
        <v>0.53</v>
      </c>
      <c r="C677" s="45">
        <v>0.02</v>
      </c>
      <c r="D677" s="45">
        <v>460</v>
      </c>
      <c r="E677" s="45">
        <v>20.605</v>
      </c>
      <c r="F677" s="45">
        <v>0.12</v>
      </c>
      <c r="G677" s="45">
        <v>0.3</v>
      </c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</row>
    <row r="678" spans="1:5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</row>
    <row r="679" spans="1:5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</row>
    <row r="680" spans="1:50" ht="15.75">
      <c r="A680" s="97" t="s">
        <v>506</v>
      </c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</row>
    <row r="681" spans="1:50" ht="15.75">
      <c r="A681" s="13" t="s">
        <v>512</v>
      </c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</row>
    <row r="682" spans="1:5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</row>
    <row r="683" spans="1:50" ht="12.75">
      <c r="A683"/>
      <c r="B683" s="101">
        <v>4.622433472156249</v>
      </c>
      <c r="C683" s="42" t="s">
        <v>513</v>
      </c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</row>
    <row r="684" spans="1:5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</row>
    <row r="685" spans="1:50" ht="12.75">
      <c r="A685"/>
      <c r="B685"/>
      <c r="C685"/>
      <c r="D685"/>
      <c r="E685"/>
      <c r="F685"/>
      <c r="G685"/>
      <c r="H685"/>
      <c r="I685" s="104" t="s">
        <v>515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</row>
    <row r="686" spans="1:50" ht="15.75">
      <c r="A686" s="97" t="s">
        <v>506</v>
      </c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</row>
    <row r="687" spans="1:50" ht="15.75">
      <c r="A687" s="13" t="s">
        <v>514</v>
      </c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</row>
    <row r="688" spans="1:5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</row>
    <row r="689" spans="1:50" ht="14.25">
      <c r="A689" s="98" t="s">
        <v>508</v>
      </c>
      <c r="B689" s="98" t="s">
        <v>6</v>
      </c>
      <c r="C689" s="98" t="s">
        <v>7</v>
      </c>
      <c r="D689" s="98" t="s">
        <v>8</v>
      </c>
      <c r="E689" s="98" t="s">
        <v>9</v>
      </c>
      <c r="F689" s="98" t="s">
        <v>10</v>
      </c>
      <c r="G689" s="98" t="s">
        <v>11</v>
      </c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</row>
    <row r="690" spans="1:50" ht="15">
      <c r="A690"/>
      <c r="B690" s="99" t="s">
        <v>387</v>
      </c>
      <c r="C690" s="99" t="s">
        <v>390</v>
      </c>
      <c r="D690" s="99" t="s">
        <v>393</v>
      </c>
      <c r="E690" s="99" t="s">
        <v>396</v>
      </c>
      <c r="F690" s="99" t="s">
        <v>399</v>
      </c>
      <c r="G690" s="99" t="s">
        <v>402</v>
      </c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</row>
    <row r="691" spans="1:50" ht="12.75">
      <c r="A691" s="103">
        <v>1</v>
      </c>
      <c r="B691" s="101">
        <v>11.719835736488687</v>
      </c>
      <c r="C691" s="101">
        <v>1E+40</v>
      </c>
      <c r="D691" s="101">
        <v>1.0359469282277294</v>
      </c>
      <c r="E691" s="101">
        <v>1.0359469282277296</v>
      </c>
      <c r="F691" s="101">
        <v>1E+40</v>
      </c>
      <c r="G691" s="101">
        <v>369.26096252782605</v>
      </c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</row>
    <row r="692" spans="1:50" ht="12.75">
      <c r="A692" s="103">
        <v>10</v>
      </c>
      <c r="B692" s="101">
        <v>1.4808497769063724</v>
      </c>
      <c r="C692" s="101">
        <v>1.7627067304475666E+27</v>
      </c>
      <c r="D692" s="101">
        <v>1.608795744407344</v>
      </c>
      <c r="E692" s="101">
        <v>1.6087957444073437</v>
      </c>
      <c r="F692" s="101">
        <v>902968314365964.5</v>
      </c>
      <c r="G692" s="101">
        <v>573.9278029637109</v>
      </c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</row>
    <row r="693" spans="1:50" ht="12.75">
      <c r="A693" s="103">
        <v>100</v>
      </c>
      <c r="B693" s="101">
        <v>121.8272188615557</v>
      </c>
      <c r="C693" s="101">
        <v>370789871.9523955</v>
      </c>
      <c r="D693" s="101">
        <v>132.35476278022094</v>
      </c>
      <c r="E693" s="101">
        <v>132.35476278022094</v>
      </c>
      <c r="F693" s="101">
        <v>8.931041248010763</v>
      </c>
      <c r="G693" s="101">
        <v>47216.732439982945</v>
      </c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</row>
    <row r="694" spans="1:50" ht="12.75">
      <c r="A694" s="103">
        <v>1000</v>
      </c>
      <c r="B694" s="101">
        <v>1.7303381454441218E+21</v>
      </c>
      <c r="C694" s="101">
        <v>5.183469641043346E+27</v>
      </c>
      <c r="D694" s="101">
        <v>1.8798631119557999E+21</v>
      </c>
      <c r="E694" s="101">
        <v>1.8798631119557996E+21</v>
      </c>
      <c r="F694" s="101">
        <v>20215212.362296883</v>
      </c>
      <c r="G694" s="101">
        <v>6.706293881425378E+23</v>
      </c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</row>
    <row r="695" spans="1:50" ht="12.75">
      <c r="A695" s="103">
        <v>10000</v>
      </c>
      <c r="B695" s="101">
        <v>1E+40</v>
      </c>
      <c r="C695" s="101">
        <v>1E+40</v>
      </c>
      <c r="D695" s="101">
        <v>1E+40</v>
      </c>
      <c r="E695" s="101">
        <v>1E+40</v>
      </c>
      <c r="F695" s="101">
        <v>1E+40</v>
      </c>
      <c r="G695" s="101">
        <v>1E+40</v>
      </c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</row>
    <row r="697" spans="1:9" ht="12.75">
      <c r="A697" s="19" t="s">
        <v>381</v>
      </c>
      <c r="B697" s="88">
        <v>43857</v>
      </c>
      <c r="C697" s="89">
        <v>0.6476041666666666</v>
      </c>
      <c r="E697" s="19" t="s">
        <v>386</v>
      </c>
      <c r="G697" s="19">
        <v>0.3</v>
      </c>
      <c r="H697" s="19">
        <v>0.2</v>
      </c>
      <c r="I697" s="19" t="s">
        <v>61</v>
      </c>
    </row>
    <row r="700" ht="12.75">
      <c r="A700" s="29" t="s">
        <v>526</v>
      </c>
    </row>
    <row r="702" spans="1:50" ht="18">
      <c r="A702" s="9" t="s">
        <v>504</v>
      </c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</row>
    <row r="703" spans="1:50" ht="12.75">
      <c r="A703" s="8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</row>
    <row r="704" spans="1:50" ht="12.75">
      <c r="A704" s="8" t="s">
        <v>505</v>
      </c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</row>
    <row r="705" spans="1:50" ht="15.75">
      <c r="A705" s="97" t="s">
        <v>506</v>
      </c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</row>
    <row r="706" spans="1:50" ht="15.75">
      <c r="A706" s="13" t="s">
        <v>507</v>
      </c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</row>
    <row r="707" spans="1:5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</row>
    <row r="708" spans="1:50" ht="14.25">
      <c r="A708" s="102" t="s">
        <v>509</v>
      </c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</row>
    <row r="709" spans="1:50" ht="12.75">
      <c r="A709"/>
      <c r="B709" s="45">
        <v>0.5</v>
      </c>
      <c r="C709" s="45">
        <v>0.0001</v>
      </c>
      <c r="D709" s="45">
        <v>250</v>
      </c>
      <c r="E709" s="45">
        <v>10</v>
      </c>
      <c r="F709" s="45">
        <v>0.02</v>
      </c>
      <c r="G709" s="45">
        <v>0.0005</v>
      </c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</row>
    <row r="710" spans="1:5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</row>
    <row r="711" spans="1:50" ht="14.25">
      <c r="A711" s="98" t="s">
        <v>508</v>
      </c>
      <c r="B711" s="98" t="s">
        <v>6</v>
      </c>
      <c r="C711" s="98" t="s">
        <v>7</v>
      </c>
      <c r="D711" s="98" t="s">
        <v>8</v>
      </c>
      <c r="E711" s="98" t="s">
        <v>9</v>
      </c>
      <c r="F711" s="98" t="s">
        <v>10</v>
      </c>
      <c r="G711" s="98" t="s">
        <v>11</v>
      </c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</row>
    <row r="712" spans="1:50" ht="15">
      <c r="A712"/>
      <c r="B712" s="99" t="s">
        <v>387</v>
      </c>
      <c r="C712" s="99" t="s">
        <v>390</v>
      </c>
      <c r="D712" s="99" t="s">
        <v>393</v>
      </c>
      <c r="E712" s="99" t="s">
        <v>396</v>
      </c>
      <c r="F712" s="99" t="s">
        <v>399</v>
      </c>
      <c r="G712" s="99" t="s">
        <v>402</v>
      </c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</row>
    <row r="713" spans="1:50" ht="12.75">
      <c r="A713" s="100">
        <v>1</v>
      </c>
      <c r="B713" s="101">
        <v>0.009808518984017509</v>
      </c>
      <c r="C713" s="101">
        <v>0</v>
      </c>
      <c r="D713" s="101">
        <v>97.17280115814843</v>
      </c>
      <c r="E713" s="101">
        <v>4.352707756225323</v>
      </c>
      <c r="F713" s="101">
        <v>0</v>
      </c>
      <c r="G713" s="101">
        <v>0.0001781595740482499</v>
      </c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</row>
    <row r="714" spans="1:50" ht="12.75">
      <c r="A714" s="100">
        <v>10</v>
      </c>
      <c r="B714" s="101">
        <v>0.08823428628956924</v>
      </c>
      <c r="C714" s="101">
        <v>2.4608664545666517E-30</v>
      </c>
      <c r="D714" s="101">
        <v>72.47994461478855</v>
      </c>
      <c r="E714" s="101">
        <v>3.2466288234515615</v>
      </c>
      <c r="F714" s="101">
        <v>2.8869100309320006E-17</v>
      </c>
      <c r="G714" s="101">
        <v>0.00013277814226425586</v>
      </c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</row>
    <row r="715" spans="1:50" ht="12.75">
      <c r="A715" s="100">
        <v>100</v>
      </c>
      <c r="B715" s="101">
        <v>0.004664619551559026</v>
      </c>
      <c r="C715" s="101">
        <v>2.1866689502537005E-11</v>
      </c>
      <c r="D715" s="101">
        <v>3.8317050909762553</v>
      </c>
      <c r="E715" s="101">
        <v>0.17163539869470815</v>
      </c>
      <c r="F715" s="101">
        <v>0.0036378616850856467</v>
      </c>
      <c r="G715" s="101">
        <v>7.019413251325776E-06</v>
      </c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</row>
    <row r="716" spans="1:50" ht="12.75">
      <c r="A716" s="100">
        <v>1000</v>
      </c>
      <c r="B716" s="101">
        <v>7.953503203254969E-16</v>
      </c>
      <c r="C716" s="101">
        <v>3.756450043678458E-24</v>
      </c>
      <c r="D716" s="101">
        <v>6.533325682447609E-13</v>
      </c>
      <c r="E716" s="101">
        <v>2.926503819278978E-14</v>
      </c>
      <c r="F716" s="101">
        <v>2.730652792406934E-09</v>
      </c>
      <c r="G716" s="101">
        <v>1.196859147080776E-18</v>
      </c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</row>
    <row r="717" spans="1:50" ht="12.75">
      <c r="A717" s="100">
        <v>10000</v>
      </c>
      <c r="B717" s="101">
        <v>0</v>
      </c>
      <c r="C717" s="101">
        <v>0</v>
      </c>
      <c r="D717" s="101">
        <v>0</v>
      </c>
      <c r="E717" s="101">
        <v>0</v>
      </c>
      <c r="F717" s="101">
        <v>0</v>
      </c>
      <c r="G717" s="101">
        <v>0</v>
      </c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</row>
    <row r="718" spans="1:5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</row>
    <row r="719" spans="1:5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</row>
    <row r="720" spans="1:50" ht="15.75">
      <c r="A720" s="97" t="s">
        <v>506</v>
      </c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</row>
    <row r="721" spans="1:50" ht="15.75">
      <c r="A721" s="13" t="s">
        <v>510</v>
      </c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</row>
    <row r="722" spans="1:5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</row>
    <row r="723" spans="1:50" ht="14.25">
      <c r="A723" s="98" t="s">
        <v>508</v>
      </c>
      <c r="B723" s="98" t="s">
        <v>6</v>
      </c>
      <c r="C723" s="98" t="s">
        <v>7</v>
      </c>
      <c r="D723" s="98" t="s">
        <v>8</v>
      </c>
      <c r="E723" s="98" t="s">
        <v>9</v>
      </c>
      <c r="F723" s="98" t="s">
        <v>10</v>
      </c>
      <c r="G723" s="98" t="s">
        <v>11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</row>
    <row r="724" spans="1:50" ht="15">
      <c r="A724"/>
      <c r="B724" s="99" t="s">
        <v>387</v>
      </c>
      <c r="C724" s="99" t="s">
        <v>390</v>
      </c>
      <c r="D724" s="99" t="s">
        <v>393</v>
      </c>
      <c r="E724" s="99" t="s">
        <v>396</v>
      </c>
      <c r="F724" s="99" t="s">
        <v>399</v>
      </c>
      <c r="G724" s="99" t="s">
        <v>402</v>
      </c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</row>
    <row r="725" spans="1:50" ht="12.75">
      <c r="A725" s="103">
        <v>1</v>
      </c>
      <c r="B725" s="101">
        <v>27.01733059107132</v>
      </c>
      <c r="C725" s="101">
        <v>1E+40</v>
      </c>
      <c r="D725" s="101">
        <v>1183.458731552236</v>
      </c>
      <c r="E725" s="101">
        <v>47.338349262089444</v>
      </c>
      <c r="F725" s="101">
        <v>1E+40</v>
      </c>
      <c r="G725" s="101">
        <v>0.8419418423136573</v>
      </c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</row>
    <row r="726" spans="1:50" ht="12.75">
      <c r="A726" s="103">
        <v>10</v>
      </c>
      <c r="B726" s="101">
        <v>3.0033676379533136</v>
      </c>
      <c r="C726" s="101">
        <v>8.127218753738475E+23</v>
      </c>
      <c r="D726" s="101">
        <v>1586.6458040385396</v>
      </c>
      <c r="E726" s="101">
        <v>63.46583216154158</v>
      </c>
      <c r="F726" s="101">
        <v>83133868886977.11</v>
      </c>
      <c r="G726" s="101">
        <v>1.1297040118355406</v>
      </c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</row>
    <row r="727" spans="1:50" ht="12.75">
      <c r="A727" s="103">
        <v>100</v>
      </c>
      <c r="B727" s="101">
        <v>56.81063526637038</v>
      </c>
      <c r="C727" s="101">
        <v>91463.31911686757</v>
      </c>
      <c r="D727" s="101">
        <v>30012.748181175888</v>
      </c>
      <c r="E727" s="101">
        <v>1200.5099272470354</v>
      </c>
      <c r="F727" s="101">
        <v>0.6597282161219651</v>
      </c>
      <c r="G727" s="101">
        <v>21.36930746621437</v>
      </c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</row>
    <row r="728" spans="1:50" ht="12.75">
      <c r="A728" s="103">
        <v>1000</v>
      </c>
      <c r="B728" s="101">
        <v>333186513197792.94</v>
      </c>
      <c r="C728" s="101">
        <v>5.3241756891342144E+17</v>
      </c>
      <c r="D728" s="101">
        <v>1.7602061429289872E+17</v>
      </c>
      <c r="E728" s="101">
        <v>7040824571715949</v>
      </c>
      <c r="F728" s="101">
        <v>878910.7156624332</v>
      </c>
      <c r="G728" s="101">
        <v>125328030759392.69</v>
      </c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</row>
    <row r="729" spans="1:50" ht="12.75">
      <c r="A729" s="103">
        <v>10000</v>
      </c>
      <c r="B729" s="101">
        <v>1E+40</v>
      </c>
      <c r="C729" s="101">
        <v>1E+40</v>
      </c>
      <c r="D729" s="101">
        <v>1E+40</v>
      </c>
      <c r="E729" s="101">
        <v>1E+40</v>
      </c>
      <c r="F729" s="101">
        <v>1E+40</v>
      </c>
      <c r="G729" s="101">
        <v>1E+40</v>
      </c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</row>
    <row r="730" spans="1:5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</row>
    <row r="731" spans="1:50" ht="14.25">
      <c r="A731" s="102" t="s">
        <v>511</v>
      </c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</row>
    <row r="732" spans="1:50" ht="12.75">
      <c r="A732"/>
      <c r="B732" s="45">
        <v>0.53</v>
      </c>
      <c r="C732" s="45">
        <v>0.02</v>
      </c>
      <c r="D732" s="45">
        <v>460</v>
      </c>
      <c r="E732" s="45">
        <v>20.605</v>
      </c>
      <c r="F732" s="45">
        <v>0.12</v>
      </c>
      <c r="G732" s="45">
        <v>0.3</v>
      </c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</row>
    <row r="733" spans="1:5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</row>
    <row r="734" spans="1:5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</row>
    <row r="735" spans="1:50" ht="15.75">
      <c r="A735" s="97" t="s">
        <v>506</v>
      </c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</row>
    <row r="736" spans="1:50" ht="15.75">
      <c r="A736" s="13" t="s">
        <v>512</v>
      </c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</row>
    <row r="737" spans="1:5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</row>
    <row r="738" spans="1:50" ht="12.75">
      <c r="A738"/>
      <c r="B738" s="101">
        <v>4.622433472156249</v>
      </c>
      <c r="C738" s="42" t="s">
        <v>513</v>
      </c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</row>
    <row r="739" spans="1:5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</row>
    <row r="740" spans="1:50" ht="12.75">
      <c r="A740"/>
      <c r="B740"/>
      <c r="C740"/>
      <c r="D740"/>
      <c r="E740"/>
      <c r="F740"/>
      <c r="G740"/>
      <c r="H740"/>
      <c r="I740" s="104" t="s">
        <v>515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</row>
    <row r="741" spans="1:50" ht="15.75">
      <c r="A741" s="97" t="s">
        <v>506</v>
      </c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</row>
    <row r="742" spans="1:50" ht="15.75">
      <c r="A742" s="13" t="s">
        <v>514</v>
      </c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</row>
    <row r="743" spans="1:5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</row>
    <row r="744" spans="1:50" ht="14.25">
      <c r="A744" s="98" t="s">
        <v>508</v>
      </c>
      <c r="B744" s="98" t="s">
        <v>6</v>
      </c>
      <c r="C744" s="98" t="s">
        <v>7</v>
      </c>
      <c r="D744" s="98" t="s">
        <v>8</v>
      </c>
      <c r="E744" s="98" t="s">
        <v>9</v>
      </c>
      <c r="F744" s="98" t="s">
        <v>10</v>
      </c>
      <c r="G744" s="98" t="s">
        <v>11</v>
      </c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</row>
    <row r="745" spans="1:50" ht="15">
      <c r="A745"/>
      <c r="B745" s="99" t="s">
        <v>387</v>
      </c>
      <c r="C745" s="99" t="s">
        <v>390</v>
      </c>
      <c r="D745" s="99" t="s">
        <v>393</v>
      </c>
      <c r="E745" s="99" t="s">
        <v>396</v>
      </c>
      <c r="F745" s="99" t="s">
        <v>399</v>
      </c>
      <c r="G745" s="99" t="s">
        <v>402</v>
      </c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</row>
    <row r="746" spans="1:50" ht="12.75">
      <c r="A746" s="103">
        <v>1</v>
      </c>
      <c r="B746" s="101">
        <v>11.689656867454454</v>
      </c>
      <c r="C746" s="101">
        <v>1E+40</v>
      </c>
      <c r="D746" s="101">
        <v>1.0241001746642184</v>
      </c>
      <c r="E746" s="101">
        <v>1.0241001746642184</v>
      </c>
      <c r="F746" s="101">
        <v>1E+40</v>
      </c>
      <c r="G746" s="101">
        <v>364.28510973070325</v>
      </c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</row>
    <row r="747" spans="1:50" ht="12.75">
      <c r="A747" s="103">
        <v>10</v>
      </c>
      <c r="B747" s="101">
        <v>1.2994746840790412</v>
      </c>
      <c r="C747" s="101">
        <v>1.7582121630724803E+27</v>
      </c>
      <c r="D747" s="101">
        <v>1.3729961186858655</v>
      </c>
      <c r="E747" s="101">
        <v>1.3729961186858652</v>
      </c>
      <c r="F747" s="101">
        <v>899243541175263.8</v>
      </c>
      <c r="G747" s="101">
        <v>488.7918965802063</v>
      </c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</row>
    <row r="748" spans="1:50" ht="12.75">
      <c r="A748" s="103">
        <v>100</v>
      </c>
      <c r="B748" s="101">
        <v>24.580401474061517</v>
      </c>
      <c r="C748" s="101">
        <v>197868329.89118654</v>
      </c>
      <c r="D748" s="101">
        <v>25.971383568383253</v>
      </c>
      <c r="E748" s="101">
        <v>25.971383568383253</v>
      </c>
      <c r="F748" s="101">
        <v>7.1361569625167425</v>
      </c>
      <c r="G748" s="101">
        <v>9245.912394384824</v>
      </c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</row>
    <row r="749" spans="1:50" ht="12.75">
      <c r="A749" s="103">
        <v>1000</v>
      </c>
      <c r="B749" s="101">
        <v>144160652697233.88</v>
      </c>
      <c r="C749" s="101">
        <v>1.151812291340695E+21</v>
      </c>
      <c r="D749" s="101">
        <v>152318570167145.78</v>
      </c>
      <c r="E749" s="101">
        <v>152318570167145.78</v>
      </c>
      <c r="F749" s="101">
        <v>9507013.145312434</v>
      </c>
      <c r="G749" s="101">
        <v>54225996551089496</v>
      </c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</row>
    <row r="750" spans="1:50" ht="12.75">
      <c r="A750" s="103">
        <v>10000</v>
      </c>
      <c r="B750" s="101">
        <v>1E+40</v>
      </c>
      <c r="C750" s="101">
        <v>1E+40</v>
      </c>
      <c r="D750" s="101">
        <v>1E+40</v>
      </c>
      <c r="E750" s="101">
        <v>1E+40</v>
      </c>
      <c r="F750" s="101">
        <v>1E+40</v>
      </c>
      <c r="G750" s="101">
        <v>1E+40</v>
      </c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</row>
    <row r="752" spans="1:9" ht="12.75">
      <c r="A752" s="19" t="s">
        <v>381</v>
      </c>
      <c r="B752" s="88">
        <v>43857</v>
      </c>
      <c r="C752" s="89">
        <v>0.6486689814814816</v>
      </c>
      <c r="E752" s="19" t="s">
        <v>498</v>
      </c>
      <c r="G752" s="19">
        <v>2.5</v>
      </c>
      <c r="H752" s="19">
        <v>2</v>
      </c>
      <c r="I752" s="19" t="s">
        <v>499</v>
      </c>
    </row>
    <row r="754" spans="1:9" ht="12.75">
      <c r="A754" s="19" t="s">
        <v>381</v>
      </c>
      <c r="B754" s="88">
        <v>43857</v>
      </c>
      <c r="C754" s="89">
        <v>0.6486921296296296</v>
      </c>
      <c r="E754" s="19" t="s">
        <v>500</v>
      </c>
      <c r="G754" s="19">
        <v>25</v>
      </c>
      <c r="H754" s="19">
        <v>20</v>
      </c>
      <c r="I754" s="19" t="s">
        <v>501</v>
      </c>
    </row>
    <row r="757" ht="12.75">
      <c r="A757" s="29" t="s">
        <v>527</v>
      </c>
    </row>
    <row r="759" spans="1:50" ht="18">
      <c r="A759" s="9" t="s">
        <v>504</v>
      </c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</row>
    <row r="760" spans="1:50" ht="12.75">
      <c r="A760" s="8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</row>
    <row r="761" spans="1:50" ht="12.75">
      <c r="A761" s="8" t="s">
        <v>505</v>
      </c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</row>
    <row r="762" spans="1:50" ht="15.75">
      <c r="A762" s="97" t="s">
        <v>506</v>
      </c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</row>
    <row r="763" spans="1:50" ht="15.75">
      <c r="A763" s="13" t="s">
        <v>507</v>
      </c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</row>
    <row r="764" spans="1:5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</row>
    <row r="765" spans="1:50" ht="14.25">
      <c r="A765" s="102" t="s">
        <v>509</v>
      </c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</row>
    <row r="766" spans="1:50" ht="12.75">
      <c r="A766"/>
      <c r="B766" s="45">
        <v>0.5</v>
      </c>
      <c r="C766" s="45">
        <v>0.0001</v>
      </c>
      <c r="D766" s="45">
        <v>250</v>
      </c>
      <c r="E766" s="45">
        <v>10</v>
      </c>
      <c r="F766" s="45">
        <v>0.02</v>
      </c>
      <c r="G766" s="45">
        <v>0.0005</v>
      </c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</row>
    <row r="767" spans="1:5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</row>
    <row r="768" spans="1:50" ht="14.25">
      <c r="A768" s="98" t="s">
        <v>508</v>
      </c>
      <c r="B768" s="98" t="s">
        <v>6</v>
      </c>
      <c r="C768" s="98" t="s">
        <v>7</v>
      </c>
      <c r="D768" s="98" t="s">
        <v>8</v>
      </c>
      <c r="E768" s="98" t="s">
        <v>9</v>
      </c>
      <c r="F768" s="98" t="s">
        <v>10</v>
      </c>
      <c r="G768" s="98" t="s">
        <v>11</v>
      </c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</row>
    <row r="769" spans="1:50" ht="15">
      <c r="A769"/>
      <c r="B769" s="99" t="s">
        <v>387</v>
      </c>
      <c r="C769" s="99" t="s">
        <v>390</v>
      </c>
      <c r="D769" s="99" t="s">
        <v>393</v>
      </c>
      <c r="E769" s="99" t="s">
        <v>396</v>
      </c>
      <c r="F769" s="99" t="s">
        <v>399</v>
      </c>
      <c r="G769" s="99" t="s">
        <v>402</v>
      </c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</row>
    <row r="770" spans="1:50" ht="12.75">
      <c r="A770" s="100">
        <v>1</v>
      </c>
      <c r="B770" s="101">
        <v>0.003150793638450542</v>
      </c>
      <c r="C770" s="101">
        <v>0</v>
      </c>
      <c r="D770" s="101">
        <v>96.98595819118377</v>
      </c>
      <c r="E770" s="101">
        <v>4.344338409846395</v>
      </c>
      <c r="F770" s="101">
        <v>0</v>
      </c>
      <c r="G770" s="101">
        <v>6.408676573574816E-05</v>
      </c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</row>
    <row r="771" spans="1:50" ht="12.75">
      <c r="A771" s="100">
        <v>10</v>
      </c>
      <c r="B771" s="101">
        <v>0.08967163779140323</v>
      </c>
      <c r="C771" s="101">
        <v>3.181850494048663E-37</v>
      </c>
      <c r="D771" s="101">
        <v>72.65561456030578</v>
      </c>
      <c r="E771" s="101">
        <v>3.2544976913371753</v>
      </c>
      <c r="F771" s="101">
        <v>2.6591631445265954E-21</v>
      </c>
      <c r="G771" s="101">
        <v>4.776235991743767E-05</v>
      </c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</row>
    <row r="772" spans="1:50" ht="12.75">
      <c r="A772" s="100">
        <v>100</v>
      </c>
      <c r="B772" s="101">
        <v>0.004741334441137733</v>
      </c>
      <c r="C772" s="101">
        <v>2.1042159875212545E-12</v>
      </c>
      <c r="D772" s="101">
        <v>3.840992010663156</v>
      </c>
      <c r="E772" s="101">
        <v>0.17205139212981377</v>
      </c>
      <c r="F772" s="101">
        <v>0.001834733213392664</v>
      </c>
      <c r="G772" s="101">
        <v>2.524991963297442E-06</v>
      </c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</row>
    <row r="773" spans="1:50" ht="12.75">
      <c r="A773" s="100">
        <v>1000</v>
      </c>
      <c r="B773" s="101">
        <v>8.084307465694486E-16</v>
      </c>
      <c r="C773" s="101">
        <v>3.6770682079351E-25</v>
      </c>
      <c r="D773" s="101">
        <v>6.54916053127204E-13</v>
      </c>
      <c r="E773" s="101">
        <v>2.933596798844791E-14</v>
      </c>
      <c r="F773" s="101">
        <v>6.655632832399674E-08</v>
      </c>
      <c r="G773" s="101">
        <v>4.305288233341612E-19</v>
      </c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</row>
    <row r="774" spans="1:50" ht="12.75">
      <c r="A774" s="100">
        <v>10000</v>
      </c>
      <c r="B774" s="101">
        <v>0</v>
      </c>
      <c r="C774" s="101">
        <v>0</v>
      </c>
      <c r="D774" s="101">
        <v>0</v>
      </c>
      <c r="E774" s="101">
        <v>0</v>
      </c>
      <c r="F774" s="101">
        <v>0</v>
      </c>
      <c r="G774" s="101">
        <v>0</v>
      </c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</row>
    <row r="775" spans="1:5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</row>
    <row r="776" spans="1:5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</row>
    <row r="777" spans="1:50" ht="15.75">
      <c r="A777" s="97" t="s">
        <v>506</v>
      </c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</row>
    <row r="778" spans="1:50" ht="15.75">
      <c r="A778" s="13" t="s">
        <v>510</v>
      </c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</row>
    <row r="779" spans="1:5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</row>
    <row r="780" spans="1:50" ht="14.25">
      <c r="A780" s="98" t="s">
        <v>508</v>
      </c>
      <c r="B780" s="98" t="s">
        <v>6</v>
      </c>
      <c r="C780" s="98" t="s">
        <v>7</v>
      </c>
      <c r="D780" s="98" t="s">
        <v>8</v>
      </c>
      <c r="E780" s="98" t="s">
        <v>9</v>
      </c>
      <c r="F780" s="98" t="s">
        <v>10</v>
      </c>
      <c r="G780" s="98" t="s">
        <v>11</v>
      </c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</row>
    <row r="781" spans="1:50" ht="15">
      <c r="A781"/>
      <c r="B781" s="99" t="s">
        <v>387</v>
      </c>
      <c r="C781" s="99" t="s">
        <v>390</v>
      </c>
      <c r="D781" s="99" t="s">
        <v>393</v>
      </c>
      <c r="E781" s="99" t="s">
        <v>396</v>
      </c>
      <c r="F781" s="99" t="s">
        <v>399</v>
      </c>
      <c r="G781" s="99" t="s">
        <v>402</v>
      </c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</row>
    <row r="782" spans="1:50" ht="12.75">
      <c r="A782" s="103">
        <v>1</v>
      </c>
      <c r="B782" s="101">
        <v>84.10579378036272</v>
      </c>
      <c r="C782" s="101">
        <v>1E+40</v>
      </c>
      <c r="D782" s="101">
        <v>1185.7386589232435</v>
      </c>
      <c r="E782" s="101">
        <v>47.42954635692974</v>
      </c>
      <c r="F782" s="101">
        <v>1E+40</v>
      </c>
      <c r="G782" s="101">
        <v>2.340576845748492</v>
      </c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</row>
    <row r="783" spans="1:50" ht="12.75">
      <c r="A783" s="103">
        <v>10</v>
      </c>
      <c r="B783" s="101">
        <v>2.955226496659409</v>
      </c>
      <c r="C783" s="101">
        <v>6.285650453221491E+30</v>
      </c>
      <c r="D783" s="101">
        <v>1582.8095419184356</v>
      </c>
      <c r="E783" s="101">
        <v>63.312381676737424</v>
      </c>
      <c r="F783" s="101">
        <v>9.025395846584156E+17</v>
      </c>
      <c r="G783" s="101">
        <v>3.140548336792633</v>
      </c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</row>
    <row r="784" spans="1:50" ht="12.75">
      <c r="A784" s="103">
        <v>100</v>
      </c>
      <c r="B784" s="101">
        <v>55.89143800967781</v>
      </c>
      <c r="C784" s="101">
        <v>950472.7707900273</v>
      </c>
      <c r="D784" s="101">
        <v>29940.18203650077</v>
      </c>
      <c r="E784" s="101">
        <v>1197.607281460031</v>
      </c>
      <c r="F784" s="101">
        <v>1.3080920879837798</v>
      </c>
      <c r="G784" s="101">
        <v>59.40612967500764</v>
      </c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</row>
    <row r="785" spans="1:50" ht="12.75">
      <c r="A785" s="103">
        <v>1000</v>
      </c>
      <c r="B785" s="101">
        <v>327795548504951.7</v>
      </c>
      <c r="C785" s="101">
        <v>5.439115857802168E+18</v>
      </c>
      <c r="D785" s="101">
        <v>1.7559502389791568E+17</v>
      </c>
      <c r="E785" s="101">
        <v>7023800955916627</v>
      </c>
      <c r="F785" s="101">
        <v>36059.681482379565</v>
      </c>
      <c r="G785" s="101">
        <v>348408728684758.25</v>
      </c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</row>
    <row r="786" spans="1:50" ht="12.75">
      <c r="A786" s="103">
        <v>10000</v>
      </c>
      <c r="B786" s="101">
        <v>1E+40</v>
      </c>
      <c r="C786" s="101">
        <v>1E+40</v>
      </c>
      <c r="D786" s="101">
        <v>1E+40</v>
      </c>
      <c r="E786" s="101">
        <v>1E+40</v>
      </c>
      <c r="F786" s="101">
        <v>1E+40</v>
      </c>
      <c r="G786" s="101">
        <v>1E+40</v>
      </c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</row>
    <row r="787" spans="1:5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</row>
    <row r="788" spans="1:50" ht="14.25">
      <c r="A788" s="102" t="s">
        <v>511</v>
      </c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</row>
    <row r="789" spans="1:50" ht="12.75">
      <c r="A789"/>
      <c r="B789" s="45">
        <v>0.53</v>
      </c>
      <c r="C789" s="45">
        <v>0.02</v>
      </c>
      <c r="D789" s="45">
        <v>460</v>
      </c>
      <c r="E789" s="45">
        <v>20.605</v>
      </c>
      <c r="F789" s="45">
        <v>0.12</v>
      </c>
      <c r="G789" s="45">
        <v>0.3</v>
      </c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</row>
    <row r="790" spans="1:5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</row>
    <row r="791" spans="1:5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</row>
    <row r="792" spans="1:50" ht="15.75">
      <c r="A792" s="97" t="s">
        <v>506</v>
      </c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</row>
    <row r="793" spans="1:50" ht="15.75">
      <c r="A793" s="13" t="s">
        <v>512</v>
      </c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</row>
    <row r="794" spans="1:5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</row>
    <row r="795" spans="1:50" ht="12.75">
      <c r="A795"/>
      <c r="B795" s="101">
        <v>4.622433472156249</v>
      </c>
      <c r="C795" s="42" t="s">
        <v>513</v>
      </c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</row>
    <row r="796" spans="1:5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</row>
    <row r="797" spans="1:50" ht="12.75">
      <c r="A797"/>
      <c r="B797"/>
      <c r="C797"/>
      <c r="D797"/>
      <c r="E797"/>
      <c r="F797"/>
      <c r="G797"/>
      <c r="H797"/>
      <c r="I797" s="104" t="s">
        <v>515</v>
      </c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</row>
    <row r="798" spans="1:50" ht="15.75">
      <c r="A798" s="97" t="s">
        <v>506</v>
      </c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</row>
    <row r="799" spans="1:50" ht="15.75">
      <c r="A799" s="13" t="s">
        <v>514</v>
      </c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</row>
    <row r="800" spans="1:5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</row>
    <row r="801" spans="1:50" ht="14.25">
      <c r="A801" s="98" t="s">
        <v>508</v>
      </c>
      <c r="B801" s="98" t="s">
        <v>6</v>
      </c>
      <c r="C801" s="98" t="s">
        <v>7</v>
      </c>
      <c r="D801" s="98" t="s">
        <v>8</v>
      </c>
      <c r="E801" s="98" t="s">
        <v>9</v>
      </c>
      <c r="F801" s="98" t="s">
        <v>10</v>
      </c>
      <c r="G801" s="98" t="s">
        <v>11</v>
      </c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</row>
    <row r="802" spans="1:50" ht="15">
      <c r="A802"/>
      <c r="B802" s="99" t="s">
        <v>387</v>
      </c>
      <c r="C802" s="99" t="s">
        <v>390</v>
      </c>
      <c r="D802" s="99" t="s">
        <v>393</v>
      </c>
      <c r="E802" s="99" t="s">
        <v>396</v>
      </c>
      <c r="F802" s="99" t="s">
        <v>399</v>
      </c>
      <c r="G802" s="99" t="s">
        <v>402</v>
      </c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</row>
    <row r="803" spans="1:50" ht="12.75">
      <c r="A803" s="103">
        <v>1</v>
      </c>
      <c r="B803" s="101">
        <v>36.39026685272313</v>
      </c>
      <c r="C803" s="101">
        <v>1E+40</v>
      </c>
      <c r="D803" s="101">
        <v>1.026073098566523</v>
      </c>
      <c r="E803" s="101">
        <v>1.026073098566523</v>
      </c>
      <c r="F803" s="101">
        <v>1E+40</v>
      </c>
      <c r="G803" s="101">
        <v>1012.7033130264488</v>
      </c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</row>
    <row r="804" spans="1:50" ht="12.75">
      <c r="A804" s="103">
        <v>10</v>
      </c>
      <c r="B804" s="101">
        <v>1.278645334523709</v>
      </c>
      <c r="C804" s="101">
        <v>1.3598141522390353E+34</v>
      </c>
      <c r="D804" s="101">
        <v>1.369676428186727</v>
      </c>
      <c r="E804" s="101">
        <v>1.3696764281867269</v>
      </c>
      <c r="F804" s="101">
        <v>9.762602210447862E+18</v>
      </c>
      <c r="G804" s="101">
        <v>1358.829004553589</v>
      </c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</row>
    <row r="805" spans="1:50" ht="12.75">
      <c r="A805" s="103">
        <v>100</v>
      </c>
      <c r="B805" s="101">
        <v>24.182690068487176</v>
      </c>
      <c r="C805" s="101">
        <v>2056217307.4319134</v>
      </c>
      <c r="D805" s="101">
        <v>25.908588813099286</v>
      </c>
      <c r="E805" s="101">
        <v>25.908588813099282</v>
      </c>
      <c r="F805" s="101">
        <v>14.14938793455028</v>
      </c>
      <c r="G805" s="101">
        <v>25703.40061478318</v>
      </c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</row>
    <row r="806" spans="1:50" ht="12.75">
      <c r="A806" s="103">
        <v>1000</v>
      </c>
      <c r="B806" s="101">
        <v>141828130347127.88</v>
      </c>
      <c r="C806" s="101">
        <v>1.1766780183133618E+22</v>
      </c>
      <c r="D806" s="101">
        <v>151950287618530.1</v>
      </c>
      <c r="E806" s="101">
        <v>151950287618530.06</v>
      </c>
      <c r="F806" s="101">
        <v>390050.8433446272</v>
      </c>
      <c r="G806" s="101">
        <v>1.5074688723307222E+17</v>
      </c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</row>
    <row r="807" spans="1:50" ht="12.75">
      <c r="A807" s="103">
        <v>10000</v>
      </c>
      <c r="B807" s="101">
        <v>1E+40</v>
      </c>
      <c r="C807" s="101">
        <v>1E+40</v>
      </c>
      <c r="D807" s="101">
        <v>1E+40</v>
      </c>
      <c r="E807" s="101">
        <v>1E+40</v>
      </c>
      <c r="F807" s="101">
        <v>1E+40</v>
      </c>
      <c r="G807" s="101">
        <v>1E+40</v>
      </c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</row>
    <row r="809" spans="1:9" ht="12.75">
      <c r="A809" s="19" t="s">
        <v>381</v>
      </c>
      <c r="B809" s="88">
        <v>43857</v>
      </c>
      <c r="C809" s="89">
        <v>0.649050925925926</v>
      </c>
      <c r="E809" s="19" t="s">
        <v>417</v>
      </c>
      <c r="G809" s="19">
        <v>0.0001</v>
      </c>
      <c r="H809" s="19">
        <v>0.0005</v>
      </c>
      <c r="I809" s="19" t="s">
        <v>418</v>
      </c>
    </row>
    <row r="812" ht="12.75">
      <c r="A812" s="29" t="s">
        <v>528</v>
      </c>
    </row>
    <row r="814" spans="1:50" ht="18">
      <c r="A814" s="9" t="s">
        <v>504</v>
      </c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</row>
    <row r="815" spans="1:50" ht="12.75">
      <c r="A815" s="8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</row>
    <row r="816" spans="1:50" ht="12.75">
      <c r="A816" s="8" t="s">
        <v>505</v>
      </c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</row>
    <row r="817" spans="1:50" ht="15.75">
      <c r="A817" s="97" t="s">
        <v>506</v>
      </c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</row>
    <row r="818" spans="1:50" ht="15.75">
      <c r="A818" s="13" t="s">
        <v>507</v>
      </c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</row>
    <row r="819" spans="1:5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</row>
    <row r="820" spans="1:50" ht="14.25">
      <c r="A820" s="102" t="s">
        <v>509</v>
      </c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</row>
    <row r="821" spans="1:50" ht="12.75">
      <c r="A821"/>
      <c r="B821" s="45">
        <v>0.5</v>
      </c>
      <c r="C821" s="45">
        <v>0.0001</v>
      </c>
      <c r="D821" s="45">
        <v>250</v>
      </c>
      <c r="E821" s="45">
        <v>10</v>
      </c>
      <c r="F821" s="45">
        <v>0.02</v>
      </c>
      <c r="G821" s="45">
        <v>0.0001</v>
      </c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</row>
    <row r="822" spans="1:5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</row>
    <row r="823" spans="1:50" ht="14.25">
      <c r="A823" s="98" t="s">
        <v>508</v>
      </c>
      <c r="B823" s="98" t="s">
        <v>6</v>
      </c>
      <c r="C823" s="98" t="s">
        <v>7</v>
      </c>
      <c r="D823" s="98" t="s">
        <v>8</v>
      </c>
      <c r="E823" s="98" t="s">
        <v>9</v>
      </c>
      <c r="F823" s="98" t="s">
        <v>10</v>
      </c>
      <c r="G823" s="98" t="s">
        <v>11</v>
      </c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</row>
    <row r="824" spans="1:50" ht="15">
      <c r="A824"/>
      <c r="B824" s="99" t="s">
        <v>387</v>
      </c>
      <c r="C824" s="99" t="s">
        <v>390</v>
      </c>
      <c r="D824" s="99" t="s">
        <v>393</v>
      </c>
      <c r="E824" s="99" t="s">
        <v>396</v>
      </c>
      <c r="F824" s="99" t="s">
        <v>399</v>
      </c>
      <c r="G824" s="99" t="s">
        <v>402</v>
      </c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</row>
    <row r="825" spans="1:50" ht="12.75">
      <c r="A825" s="100">
        <v>1</v>
      </c>
      <c r="B825" s="101">
        <v>0.003150793638450542</v>
      </c>
      <c r="C825" s="101">
        <v>0</v>
      </c>
      <c r="D825" s="101">
        <v>96.98595819118377</v>
      </c>
      <c r="E825" s="101">
        <v>4.344338409846395</v>
      </c>
      <c r="F825" s="101">
        <v>0</v>
      </c>
      <c r="G825" s="101">
        <v>6.408676573574816E-05</v>
      </c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</row>
    <row r="826" spans="1:50" ht="12.75">
      <c r="A826" s="100">
        <v>10</v>
      </c>
      <c r="B826" s="101">
        <v>0.08967163779140323</v>
      </c>
      <c r="C826" s="101">
        <v>3.181850494048663E-37</v>
      </c>
      <c r="D826" s="101">
        <v>72.65561456030578</v>
      </c>
      <c r="E826" s="101">
        <v>3.2544976913371753</v>
      </c>
      <c r="F826" s="101">
        <v>2.6591631445265954E-21</v>
      </c>
      <c r="G826" s="101">
        <v>4.776235991743767E-05</v>
      </c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</row>
    <row r="827" spans="1:50" ht="12.75">
      <c r="A827" s="100">
        <v>100</v>
      </c>
      <c r="B827" s="101">
        <v>0.004741334441137733</v>
      </c>
      <c r="C827" s="101">
        <v>2.1042159875212545E-12</v>
      </c>
      <c r="D827" s="101">
        <v>3.840992010663156</v>
      </c>
      <c r="E827" s="101">
        <v>0.17205139212981377</v>
      </c>
      <c r="F827" s="101">
        <v>0.001834733213392664</v>
      </c>
      <c r="G827" s="101">
        <v>2.524991963297442E-06</v>
      </c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</row>
    <row r="828" spans="1:50" ht="12.75">
      <c r="A828" s="100">
        <v>1000</v>
      </c>
      <c r="B828" s="101">
        <v>8.084307465694486E-16</v>
      </c>
      <c r="C828" s="101">
        <v>3.6770682079351E-25</v>
      </c>
      <c r="D828" s="101">
        <v>6.54916053127204E-13</v>
      </c>
      <c r="E828" s="101">
        <v>2.933596798844791E-14</v>
      </c>
      <c r="F828" s="101">
        <v>6.655632832399674E-08</v>
      </c>
      <c r="G828" s="101">
        <v>4.305288233341612E-19</v>
      </c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</row>
    <row r="829" spans="1:50" ht="12.75">
      <c r="A829" s="100">
        <v>10000</v>
      </c>
      <c r="B829" s="101">
        <v>0</v>
      </c>
      <c r="C829" s="101">
        <v>0</v>
      </c>
      <c r="D829" s="101">
        <v>0</v>
      </c>
      <c r="E829" s="101">
        <v>0</v>
      </c>
      <c r="F829" s="101">
        <v>0</v>
      </c>
      <c r="G829" s="101">
        <v>0</v>
      </c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</row>
    <row r="830" spans="1:5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</row>
    <row r="831" spans="1:5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</row>
    <row r="832" spans="1:50" ht="15.75">
      <c r="A832" s="97" t="s">
        <v>506</v>
      </c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</row>
    <row r="833" spans="1:50" ht="15.75">
      <c r="A833" s="13" t="s">
        <v>510</v>
      </c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</row>
    <row r="834" spans="1:5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</row>
    <row r="835" spans="1:50" ht="14.25">
      <c r="A835" s="98" t="s">
        <v>508</v>
      </c>
      <c r="B835" s="98" t="s">
        <v>6</v>
      </c>
      <c r="C835" s="98" t="s">
        <v>7</v>
      </c>
      <c r="D835" s="98" t="s">
        <v>8</v>
      </c>
      <c r="E835" s="98" t="s">
        <v>9</v>
      </c>
      <c r="F835" s="98" t="s">
        <v>10</v>
      </c>
      <c r="G835" s="98" t="s">
        <v>11</v>
      </c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</row>
    <row r="836" spans="1:50" ht="15">
      <c r="A836"/>
      <c r="B836" s="99" t="s">
        <v>387</v>
      </c>
      <c r="C836" s="99" t="s">
        <v>390</v>
      </c>
      <c r="D836" s="99" t="s">
        <v>393</v>
      </c>
      <c r="E836" s="99" t="s">
        <v>396</v>
      </c>
      <c r="F836" s="99" t="s">
        <v>399</v>
      </c>
      <c r="G836" s="99" t="s">
        <v>402</v>
      </c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</row>
    <row r="837" spans="1:50" ht="12.75">
      <c r="A837" s="103">
        <v>1</v>
      </c>
      <c r="B837" s="101">
        <v>84.10579378036272</v>
      </c>
      <c r="C837" s="101">
        <v>1E+40</v>
      </c>
      <c r="D837" s="101">
        <v>1185.7386589232435</v>
      </c>
      <c r="E837" s="101">
        <v>47.42954635692974</v>
      </c>
      <c r="F837" s="101">
        <v>1E+40</v>
      </c>
      <c r="G837" s="101">
        <v>0.46811536914969853</v>
      </c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</row>
    <row r="838" spans="1:50" ht="12.75">
      <c r="A838" s="103">
        <v>10</v>
      </c>
      <c r="B838" s="101">
        <v>2.955226496659409</v>
      </c>
      <c r="C838" s="101">
        <v>6.285650453221491E+30</v>
      </c>
      <c r="D838" s="101">
        <v>1582.8095419184356</v>
      </c>
      <c r="E838" s="101">
        <v>63.312381676737424</v>
      </c>
      <c r="F838" s="101">
        <v>9.025395846584156E+17</v>
      </c>
      <c r="G838" s="101">
        <v>0.6281096673585266</v>
      </c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</row>
    <row r="839" spans="1:50" ht="12.75">
      <c r="A839" s="103">
        <v>100</v>
      </c>
      <c r="B839" s="101">
        <v>55.89143800967781</v>
      </c>
      <c r="C839" s="101">
        <v>950472.7707900273</v>
      </c>
      <c r="D839" s="101">
        <v>29940.18203650077</v>
      </c>
      <c r="E839" s="101">
        <v>1197.607281460031</v>
      </c>
      <c r="F839" s="101">
        <v>1.3080920879837798</v>
      </c>
      <c r="G839" s="101">
        <v>11.88122593500153</v>
      </c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</row>
    <row r="840" spans="1:50" ht="12.75">
      <c r="A840" s="103">
        <v>1000</v>
      </c>
      <c r="B840" s="101">
        <v>327795548504951.7</v>
      </c>
      <c r="C840" s="101">
        <v>5.439115857802168E+18</v>
      </c>
      <c r="D840" s="101">
        <v>1.7559502389791568E+17</v>
      </c>
      <c r="E840" s="101">
        <v>7023800955916627</v>
      </c>
      <c r="F840" s="101">
        <v>36059.681482379565</v>
      </c>
      <c r="G840" s="101">
        <v>69681745736951.66</v>
      </c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</row>
    <row r="841" spans="1:50" ht="12.75">
      <c r="A841" s="103">
        <v>10000</v>
      </c>
      <c r="B841" s="101">
        <v>1E+40</v>
      </c>
      <c r="C841" s="101">
        <v>1E+40</v>
      </c>
      <c r="D841" s="101">
        <v>1E+40</v>
      </c>
      <c r="E841" s="101">
        <v>1E+40</v>
      </c>
      <c r="F841" s="101">
        <v>1E+40</v>
      </c>
      <c r="G841" s="101">
        <v>1E+40</v>
      </c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</row>
    <row r="842" spans="1:5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</row>
    <row r="843" spans="1:50" ht="14.25">
      <c r="A843" s="102" t="s">
        <v>511</v>
      </c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</row>
    <row r="844" spans="1:50" ht="12.75">
      <c r="A844"/>
      <c r="B844" s="45">
        <v>0.53</v>
      </c>
      <c r="C844" s="45">
        <v>0.02</v>
      </c>
      <c r="D844" s="45">
        <v>460</v>
      </c>
      <c r="E844" s="45">
        <v>20.605</v>
      </c>
      <c r="F844" s="45">
        <v>0.12</v>
      </c>
      <c r="G844" s="45">
        <v>0.3</v>
      </c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</row>
    <row r="845" spans="1:5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</row>
    <row r="846" spans="1:5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</row>
    <row r="847" spans="1:50" ht="15.75">
      <c r="A847" s="97" t="s">
        <v>506</v>
      </c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</row>
    <row r="848" spans="1:50" ht="15.75">
      <c r="A848" s="13" t="s">
        <v>512</v>
      </c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</row>
    <row r="849" spans="1:5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</row>
    <row r="850" spans="1:50" ht="12.75">
      <c r="A850"/>
      <c r="B850" s="101">
        <v>4.622433472156249</v>
      </c>
      <c r="C850" s="42" t="s">
        <v>513</v>
      </c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</row>
    <row r="851" spans="1:5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</row>
    <row r="852" spans="1:50" ht="12.75">
      <c r="A852"/>
      <c r="B852"/>
      <c r="C852"/>
      <c r="D852"/>
      <c r="E852"/>
      <c r="F852"/>
      <c r="G852"/>
      <c r="H852"/>
      <c r="I852" s="104" t="s">
        <v>515</v>
      </c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</row>
    <row r="853" spans="1:50" ht="15.75">
      <c r="A853" s="97" t="s">
        <v>506</v>
      </c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</row>
    <row r="854" spans="1:50" ht="15.75">
      <c r="A854" s="13" t="s">
        <v>514</v>
      </c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</row>
    <row r="855" spans="1:5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</row>
    <row r="856" spans="1:50" ht="14.25">
      <c r="A856" s="98" t="s">
        <v>508</v>
      </c>
      <c r="B856" s="98" t="s">
        <v>6</v>
      </c>
      <c r="C856" s="98" t="s">
        <v>7</v>
      </c>
      <c r="D856" s="98" t="s">
        <v>8</v>
      </c>
      <c r="E856" s="98" t="s">
        <v>9</v>
      </c>
      <c r="F856" s="98" t="s">
        <v>10</v>
      </c>
      <c r="G856" s="98" t="s">
        <v>11</v>
      </c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</row>
    <row r="857" spans="1:50" ht="15">
      <c r="A857"/>
      <c r="B857" s="99" t="s">
        <v>387</v>
      </c>
      <c r="C857" s="99" t="s">
        <v>390</v>
      </c>
      <c r="D857" s="99" t="s">
        <v>393</v>
      </c>
      <c r="E857" s="99" t="s">
        <v>396</v>
      </c>
      <c r="F857" s="99" t="s">
        <v>399</v>
      </c>
      <c r="G857" s="99" t="s">
        <v>402</v>
      </c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</row>
    <row r="858" spans="1:50" ht="12.75">
      <c r="A858" s="103">
        <v>1</v>
      </c>
      <c r="B858" s="101">
        <v>36.39026685272313</v>
      </c>
      <c r="C858" s="101">
        <v>1E+40</v>
      </c>
      <c r="D858" s="101">
        <v>1.026073098566523</v>
      </c>
      <c r="E858" s="101">
        <v>1.026073098566523</v>
      </c>
      <c r="F858" s="101">
        <v>1E+40</v>
      </c>
      <c r="G858" s="101">
        <v>1012.7033130264488</v>
      </c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</row>
    <row r="859" spans="1:50" ht="12.75">
      <c r="A859" s="103">
        <v>10</v>
      </c>
      <c r="B859" s="101">
        <v>1.278645334523709</v>
      </c>
      <c r="C859" s="101">
        <v>1.3598141522390353E+34</v>
      </c>
      <c r="D859" s="101">
        <v>1.369676428186727</v>
      </c>
      <c r="E859" s="101">
        <v>1.3696764281867269</v>
      </c>
      <c r="F859" s="101">
        <v>9.762602210447862E+18</v>
      </c>
      <c r="G859" s="101">
        <v>1358.829004553589</v>
      </c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</row>
    <row r="860" spans="1:50" ht="12.75">
      <c r="A860" s="103">
        <v>100</v>
      </c>
      <c r="B860" s="101">
        <v>24.182690068487176</v>
      </c>
      <c r="C860" s="101">
        <v>2056217307.4319134</v>
      </c>
      <c r="D860" s="101">
        <v>25.908588813099286</v>
      </c>
      <c r="E860" s="101">
        <v>25.908588813099282</v>
      </c>
      <c r="F860" s="101">
        <v>14.14938793455028</v>
      </c>
      <c r="G860" s="101">
        <v>25703.40061478318</v>
      </c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</row>
    <row r="861" spans="1:50" ht="12.75">
      <c r="A861" s="103">
        <v>1000</v>
      </c>
      <c r="B861" s="101">
        <v>141828130347127.88</v>
      </c>
      <c r="C861" s="101">
        <v>1.1766780183133618E+22</v>
      </c>
      <c r="D861" s="101">
        <v>151950287618530.1</v>
      </c>
      <c r="E861" s="101">
        <v>151950287618530.06</v>
      </c>
      <c r="F861" s="101">
        <v>390050.8433446272</v>
      </c>
      <c r="G861" s="101">
        <v>1.5074688723307222E+17</v>
      </c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</row>
    <row r="862" spans="1:50" ht="12.75">
      <c r="A862" s="103">
        <v>10000</v>
      </c>
      <c r="B862" s="101">
        <v>1E+40</v>
      </c>
      <c r="C862" s="101">
        <v>1E+40</v>
      </c>
      <c r="D862" s="101">
        <v>1E+40</v>
      </c>
      <c r="E862" s="101">
        <v>1E+40</v>
      </c>
      <c r="F862" s="101">
        <v>1E+40</v>
      </c>
      <c r="G862" s="101">
        <v>1E+40</v>
      </c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</row>
    <row r="865" ht="12.75">
      <c r="A865" s="29" t="s">
        <v>529</v>
      </c>
    </row>
    <row r="867" spans="1:50" ht="18">
      <c r="A867" s="9" t="s">
        <v>504</v>
      </c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</row>
    <row r="868" spans="1:50" ht="12.75">
      <c r="A868" s="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</row>
    <row r="869" spans="1:50" ht="12.75">
      <c r="A869" s="8" t="s">
        <v>505</v>
      </c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</row>
    <row r="870" spans="1:50" ht="15.75">
      <c r="A870" s="97" t="s">
        <v>506</v>
      </c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</row>
    <row r="871" spans="1:50" ht="15.75">
      <c r="A871" s="13" t="s">
        <v>507</v>
      </c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</row>
    <row r="872" spans="1:5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</row>
    <row r="873" spans="1:50" ht="14.25">
      <c r="A873" s="102" t="s">
        <v>509</v>
      </c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</row>
    <row r="874" spans="1:50" ht="12.75">
      <c r="A874"/>
      <c r="B874" s="45">
        <v>0.5</v>
      </c>
      <c r="C874" s="45">
        <v>0.0001</v>
      </c>
      <c r="D874" s="45">
        <v>250</v>
      </c>
      <c r="E874" s="45">
        <v>10</v>
      </c>
      <c r="F874" s="45">
        <v>0.02</v>
      </c>
      <c r="G874" s="45">
        <v>0.0001</v>
      </c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</row>
    <row r="875" spans="1:5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</row>
    <row r="876" spans="1:50" ht="14.25">
      <c r="A876" s="98" t="s">
        <v>508</v>
      </c>
      <c r="B876" s="98" t="s">
        <v>6</v>
      </c>
      <c r="C876" s="98" t="s">
        <v>7</v>
      </c>
      <c r="D876" s="98" t="s">
        <v>8</v>
      </c>
      <c r="E876" s="98" t="s">
        <v>9</v>
      </c>
      <c r="F876" s="98" t="s">
        <v>10</v>
      </c>
      <c r="G876" s="98" t="s">
        <v>11</v>
      </c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</row>
    <row r="877" spans="1:50" ht="15">
      <c r="A877"/>
      <c r="B877" s="99" t="s">
        <v>387</v>
      </c>
      <c r="C877" s="99" t="s">
        <v>390</v>
      </c>
      <c r="D877" s="99" t="s">
        <v>393</v>
      </c>
      <c r="E877" s="99" t="s">
        <v>396</v>
      </c>
      <c r="F877" s="99" t="s">
        <v>399</v>
      </c>
      <c r="G877" s="99" t="s">
        <v>402</v>
      </c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</row>
    <row r="878" spans="1:50" ht="12.75">
      <c r="A878" s="100">
        <v>1</v>
      </c>
      <c r="B878" s="101">
        <v>0.003150793638450542</v>
      </c>
      <c r="C878" s="101">
        <v>0</v>
      </c>
      <c r="D878" s="101">
        <v>96.98595819118377</v>
      </c>
      <c r="E878" s="101">
        <v>4.344338409846395</v>
      </c>
      <c r="F878" s="101">
        <v>0</v>
      </c>
      <c r="G878" s="101">
        <v>6.408676573574816E-05</v>
      </c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</row>
    <row r="879" spans="1:50" ht="12.75">
      <c r="A879" s="100">
        <v>10</v>
      </c>
      <c r="B879" s="101">
        <v>0.08967163779140323</v>
      </c>
      <c r="C879" s="101">
        <v>3.181850494048663E-37</v>
      </c>
      <c r="D879" s="101">
        <v>72.65561456030578</v>
      </c>
      <c r="E879" s="101">
        <v>3.2544976913371753</v>
      </c>
      <c r="F879" s="101">
        <v>2.6591631445265954E-21</v>
      </c>
      <c r="G879" s="101">
        <v>4.776235991743767E-05</v>
      </c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</row>
    <row r="880" spans="1:50" ht="12.75">
      <c r="A880" s="100">
        <v>100</v>
      </c>
      <c r="B880" s="101">
        <v>0.004741334441137733</v>
      </c>
      <c r="C880" s="101">
        <v>2.1042159875212545E-12</v>
      </c>
      <c r="D880" s="101">
        <v>3.840992010663156</v>
      </c>
      <c r="E880" s="101">
        <v>0.17205139212981377</v>
      </c>
      <c r="F880" s="101">
        <v>0.001834733213392664</v>
      </c>
      <c r="G880" s="101">
        <v>2.524991963297442E-06</v>
      </c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</row>
    <row r="881" spans="1:50" ht="12.75">
      <c r="A881" s="100">
        <v>1000</v>
      </c>
      <c r="B881" s="101">
        <v>8.084307465694486E-16</v>
      </c>
      <c r="C881" s="101">
        <v>3.6770682079351E-25</v>
      </c>
      <c r="D881" s="101">
        <v>6.54916053127204E-13</v>
      </c>
      <c r="E881" s="101">
        <v>2.933596798844791E-14</v>
      </c>
      <c r="F881" s="101">
        <v>6.655632832399674E-08</v>
      </c>
      <c r="G881" s="101">
        <v>4.305288233341612E-19</v>
      </c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</row>
    <row r="882" spans="1:50" ht="12.75">
      <c r="A882" s="100">
        <v>10000</v>
      </c>
      <c r="B882" s="101">
        <v>0</v>
      </c>
      <c r="C882" s="101">
        <v>0</v>
      </c>
      <c r="D882" s="101">
        <v>0</v>
      </c>
      <c r="E882" s="101">
        <v>0</v>
      </c>
      <c r="F882" s="101">
        <v>0</v>
      </c>
      <c r="G882" s="101">
        <v>0</v>
      </c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</row>
    <row r="883" spans="1:5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</row>
    <row r="884" spans="1:5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</row>
    <row r="885" spans="1:50" ht="15.75">
      <c r="A885" s="97" t="s">
        <v>506</v>
      </c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</row>
    <row r="886" spans="1:50" ht="15.75">
      <c r="A886" s="13" t="s">
        <v>510</v>
      </c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</row>
    <row r="887" spans="1:5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</row>
    <row r="888" spans="1:50" ht="14.25">
      <c r="A888" s="98" t="s">
        <v>508</v>
      </c>
      <c r="B888" s="98" t="s">
        <v>6</v>
      </c>
      <c r="C888" s="98" t="s">
        <v>7</v>
      </c>
      <c r="D888" s="98" t="s">
        <v>8</v>
      </c>
      <c r="E888" s="98" t="s">
        <v>9</v>
      </c>
      <c r="F888" s="98" t="s">
        <v>10</v>
      </c>
      <c r="G888" s="98" t="s">
        <v>11</v>
      </c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</row>
    <row r="889" spans="1:50" ht="15">
      <c r="A889"/>
      <c r="B889" s="99" t="s">
        <v>387</v>
      </c>
      <c r="C889" s="99" t="s">
        <v>390</v>
      </c>
      <c r="D889" s="99" t="s">
        <v>393</v>
      </c>
      <c r="E889" s="99" t="s">
        <v>396</v>
      </c>
      <c r="F889" s="99" t="s">
        <v>399</v>
      </c>
      <c r="G889" s="99" t="s">
        <v>402</v>
      </c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</row>
    <row r="890" spans="1:50" ht="12.75">
      <c r="A890" s="103">
        <v>1</v>
      </c>
      <c r="B890" s="101">
        <v>84.10579378036272</v>
      </c>
      <c r="C890" s="101">
        <v>1E+40</v>
      </c>
      <c r="D890" s="101">
        <v>1185.7386589232435</v>
      </c>
      <c r="E890" s="101">
        <v>47.42954635692974</v>
      </c>
      <c r="F890" s="101">
        <v>1E+40</v>
      </c>
      <c r="G890" s="101">
        <v>0.46811536914969853</v>
      </c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</row>
    <row r="891" spans="1:50" ht="12.75">
      <c r="A891" s="103">
        <v>10</v>
      </c>
      <c r="B891" s="101">
        <v>2.955226496659409</v>
      </c>
      <c r="C891" s="101">
        <v>6.285650453221491E+30</v>
      </c>
      <c r="D891" s="101">
        <v>1582.8095419184356</v>
      </c>
      <c r="E891" s="101">
        <v>63.312381676737424</v>
      </c>
      <c r="F891" s="101">
        <v>9.025395846584156E+17</v>
      </c>
      <c r="G891" s="101">
        <v>0.6281096673585266</v>
      </c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</row>
    <row r="892" spans="1:50" ht="12.75">
      <c r="A892" s="103">
        <v>100</v>
      </c>
      <c r="B892" s="101">
        <v>55.89143800967781</v>
      </c>
      <c r="C892" s="101">
        <v>950472.7707900273</v>
      </c>
      <c r="D892" s="101">
        <v>29940.18203650077</v>
      </c>
      <c r="E892" s="101">
        <v>1197.607281460031</v>
      </c>
      <c r="F892" s="101">
        <v>1.3080920879837798</v>
      </c>
      <c r="G892" s="101">
        <v>11.88122593500153</v>
      </c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</row>
    <row r="893" spans="1:50" ht="12.75">
      <c r="A893" s="103">
        <v>1000</v>
      </c>
      <c r="B893" s="101">
        <v>327795548504951.7</v>
      </c>
      <c r="C893" s="101">
        <v>5.439115857802168E+18</v>
      </c>
      <c r="D893" s="101">
        <v>1.7559502389791568E+17</v>
      </c>
      <c r="E893" s="101">
        <v>7023800955916627</v>
      </c>
      <c r="F893" s="101">
        <v>36059.681482379565</v>
      </c>
      <c r="G893" s="101">
        <v>69681745736951.66</v>
      </c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</row>
    <row r="894" spans="1:50" ht="12.75">
      <c r="A894" s="103">
        <v>10000</v>
      </c>
      <c r="B894" s="101">
        <v>1E+40</v>
      </c>
      <c r="C894" s="101">
        <v>1E+40</v>
      </c>
      <c r="D894" s="101">
        <v>1E+40</v>
      </c>
      <c r="E894" s="101">
        <v>1E+40</v>
      </c>
      <c r="F894" s="101">
        <v>1E+40</v>
      </c>
      <c r="G894" s="101">
        <v>1E+40</v>
      </c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</row>
    <row r="895" spans="1:5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</row>
    <row r="896" spans="1:50" ht="14.25">
      <c r="A896" s="102" t="s">
        <v>511</v>
      </c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</row>
    <row r="897" spans="1:50" ht="12.75">
      <c r="A897"/>
      <c r="B897" s="45">
        <v>0.53</v>
      </c>
      <c r="C897" s="45">
        <v>0.02</v>
      </c>
      <c r="D897" s="45">
        <v>460</v>
      </c>
      <c r="E897" s="45">
        <v>20.605</v>
      </c>
      <c r="F897" s="45">
        <v>0.12</v>
      </c>
      <c r="G897" s="45">
        <v>0.3</v>
      </c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</row>
    <row r="898" spans="1:5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</row>
    <row r="899" spans="1:5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</row>
    <row r="900" spans="1:50" ht="15.75">
      <c r="A900" s="97" t="s">
        <v>506</v>
      </c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</row>
    <row r="901" spans="1:50" ht="15.75">
      <c r="A901" s="13" t="s">
        <v>512</v>
      </c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</row>
    <row r="902" spans="1:5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</row>
    <row r="903" spans="1:50" ht="12.75">
      <c r="A903"/>
      <c r="B903" s="101">
        <v>4.622433472156249</v>
      </c>
      <c r="C903" s="42" t="s">
        <v>513</v>
      </c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</row>
    <row r="904" spans="1:5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</row>
    <row r="905" spans="1:50" ht="12.75">
      <c r="A905"/>
      <c r="B905"/>
      <c r="C905"/>
      <c r="D905"/>
      <c r="E905"/>
      <c r="F905"/>
      <c r="G905"/>
      <c r="H905"/>
      <c r="I905" s="104" t="s">
        <v>515</v>
      </c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</row>
    <row r="906" spans="1:50" ht="15.75">
      <c r="A906" s="97" t="s">
        <v>506</v>
      </c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</row>
    <row r="907" spans="1:50" ht="15.75">
      <c r="A907" s="13" t="s">
        <v>514</v>
      </c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</row>
    <row r="908" spans="1:5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</row>
    <row r="909" spans="1:50" ht="14.25">
      <c r="A909" s="98" t="s">
        <v>508</v>
      </c>
      <c r="B909" s="98" t="s">
        <v>6</v>
      </c>
      <c r="C909" s="98" t="s">
        <v>7</v>
      </c>
      <c r="D909" s="98" t="s">
        <v>8</v>
      </c>
      <c r="E909" s="98" t="s">
        <v>9</v>
      </c>
      <c r="F909" s="98" t="s">
        <v>10</v>
      </c>
      <c r="G909" s="98" t="s">
        <v>11</v>
      </c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</row>
    <row r="910" spans="1:50" ht="15">
      <c r="A910"/>
      <c r="B910" s="99" t="s">
        <v>387</v>
      </c>
      <c r="C910" s="99" t="s">
        <v>390</v>
      </c>
      <c r="D910" s="99" t="s">
        <v>393</v>
      </c>
      <c r="E910" s="99" t="s">
        <v>396</v>
      </c>
      <c r="F910" s="99" t="s">
        <v>399</v>
      </c>
      <c r="G910" s="99" t="s">
        <v>402</v>
      </c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</row>
    <row r="911" spans="1:50" ht="12.75">
      <c r="A911" s="103">
        <v>1</v>
      </c>
      <c r="B911" s="101">
        <v>36.39026685272313</v>
      </c>
      <c r="C911" s="101">
        <v>1E+40</v>
      </c>
      <c r="D911" s="101">
        <v>1.026073098566523</v>
      </c>
      <c r="E911" s="101">
        <v>1.026073098566523</v>
      </c>
      <c r="F911" s="101">
        <v>1E+40</v>
      </c>
      <c r="G911" s="101">
        <v>1012.7033130264488</v>
      </c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</row>
    <row r="912" spans="1:50" ht="12.75">
      <c r="A912" s="103">
        <v>10</v>
      </c>
      <c r="B912" s="101">
        <v>1.278645334523709</v>
      </c>
      <c r="C912" s="101">
        <v>1.3598141522390353E+34</v>
      </c>
      <c r="D912" s="101">
        <v>1.369676428186727</v>
      </c>
      <c r="E912" s="101">
        <v>1.3696764281867269</v>
      </c>
      <c r="F912" s="101">
        <v>9.762602210447862E+18</v>
      </c>
      <c r="G912" s="101">
        <v>1358.829004553589</v>
      </c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</row>
    <row r="913" spans="1:50" ht="12.75">
      <c r="A913" s="103">
        <v>100</v>
      </c>
      <c r="B913" s="101">
        <v>24.182690068487176</v>
      </c>
      <c r="C913" s="101">
        <v>2056217307.4319134</v>
      </c>
      <c r="D913" s="101">
        <v>25.908588813099286</v>
      </c>
      <c r="E913" s="101">
        <v>25.908588813099282</v>
      </c>
      <c r="F913" s="101">
        <v>14.14938793455028</v>
      </c>
      <c r="G913" s="101">
        <v>25703.40061478318</v>
      </c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</row>
    <row r="914" spans="1:50" ht="12.75">
      <c r="A914" s="103">
        <v>1000</v>
      </c>
      <c r="B914" s="101">
        <v>141828130347127.88</v>
      </c>
      <c r="C914" s="101">
        <v>1.1766780183133618E+22</v>
      </c>
      <c r="D914" s="101">
        <v>151950287618530.1</v>
      </c>
      <c r="E914" s="101">
        <v>151950287618530.06</v>
      </c>
      <c r="F914" s="101">
        <v>390050.8433446272</v>
      </c>
      <c r="G914" s="101">
        <v>1.5074688723307222E+17</v>
      </c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</row>
    <row r="915" spans="1:50" ht="12.75">
      <c r="A915" s="103">
        <v>10000</v>
      </c>
      <c r="B915" s="101">
        <v>1E+40</v>
      </c>
      <c r="C915" s="101">
        <v>1E+40</v>
      </c>
      <c r="D915" s="101">
        <v>1E+40</v>
      </c>
      <c r="E915" s="101">
        <v>1E+40</v>
      </c>
      <c r="F915" s="101">
        <v>1E+40</v>
      </c>
      <c r="G915" s="101">
        <v>1E+40</v>
      </c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</row>
    <row r="917" spans="1:9" ht="12.75">
      <c r="A917" s="19" t="s">
        <v>381</v>
      </c>
      <c r="B917" s="88">
        <v>43857</v>
      </c>
      <c r="C917" s="89">
        <v>0.6772569444444444</v>
      </c>
      <c r="E917" s="19" t="s">
        <v>530</v>
      </c>
      <c r="G917" s="19">
        <v>1300</v>
      </c>
      <c r="H917" s="19" t="s">
        <v>184</v>
      </c>
      <c r="I917" s="19" t="s">
        <v>531</v>
      </c>
    </row>
    <row r="919" spans="1:9" ht="12.75">
      <c r="A919" s="19" t="s">
        <v>381</v>
      </c>
      <c r="B919" s="88">
        <v>43857</v>
      </c>
      <c r="C919" s="89">
        <v>0.677349537037037</v>
      </c>
      <c r="E919" s="19" t="s">
        <v>485</v>
      </c>
      <c r="G919" s="19" t="s">
        <v>184</v>
      </c>
      <c r="H919" s="19">
        <v>1300</v>
      </c>
      <c r="I919" s="19" t="s">
        <v>486</v>
      </c>
    </row>
    <row r="922" ht="12.75">
      <c r="A922" s="29" t="s">
        <v>532</v>
      </c>
    </row>
    <row r="924" spans="1:50" ht="18">
      <c r="A924" s="9" t="s">
        <v>504</v>
      </c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</row>
    <row r="925" spans="1:50" ht="12.75">
      <c r="A925" s="8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</row>
    <row r="926" spans="1:50" ht="12.75">
      <c r="A926" s="8" t="s">
        <v>505</v>
      </c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</row>
    <row r="927" spans="1:50" ht="15.75">
      <c r="A927" s="97" t="s">
        <v>506</v>
      </c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</row>
    <row r="928" spans="1:50" ht="15.75">
      <c r="A928" s="13" t="s">
        <v>507</v>
      </c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</row>
    <row r="929" spans="1:5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</row>
    <row r="930" spans="1:50" ht="14.25">
      <c r="A930" s="102" t="s">
        <v>509</v>
      </c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</row>
    <row r="931" spans="1:50" ht="12.75">
      <c r="A931"/>
      <c r="B931" s="45">
        <v>0.5</v>
      </c>
      <c r="C931" s="45">
        <v>0.0001</v>
      </c>
      <c r="D931" s="45">
        <v>250</v>
      </c>
      <c r="E931" s="45">
        <v>10</v>
      </c>
      <c r="F931" s="45">
        <v>0.02</v>
      </c>
      <c r="G931" s="45">
        <v>0.0001</v>
      </c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</row>
    <row r="932" spans="1:5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</row>
    <row r="933" spans="1:50" ht="14.25">
      <c r="A933" s="98" t="s">
        <v>508</v>
      </c>
      <c r="B933" s="98" t="s">
        <v>6</v>
      </c>
      <c r="C933" s="98" t="s">
        <v>7</v>
      </c>
      <c r="D933" s="98" t="s">
        <v>8</v>
      </c>
      <c r="E933" s="98" t="s">
        <v>9</v>
      </c>
      <c r="F933" s="98" t="s">
        <v>10</v>
      </c>
      <c r="G933" s="98" t="s">
        <v>11</v>
      </c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</row>
    <row r="934" spans="1:50" ht="15">
      <c r="A934"/>
      <c r="B934" s="99" t="s">
        <v>387</v>
      </c>
      <c r="C934" s="99" t="s">
        <v>390</v>
      </c>
      <c r="D934" s="99" t="s">
        <v>393</v>
      </c>
      <c r="E934" s="99" t="s">
        <v>396</v>
      </c>
      <c r="F934" s="99" t="s">
        <v>399</v>
      </c>
      <c r="G934" s="99" t="s">
        <v>402</v>
      </c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</row>
    <row r="935" spans="1:50" ht="12.75">
      <c r="A935" s="100">
        <v>1</v>
      </c>
      <c r="B935" s="101">
        <v>0.002660114610370138</v>
      </c>
      <c r="C935" s="101">
        <v>0</v>
      </c>
      <c r="D935" s="101">
        <v>96.98595819118377</v>
      </c>
      <c r="E935" s="101">
        <v>4.344338409846395</v>
      </c>
      <c r="F935" s="101">
        <v>0</v>
      </c>
      <c r="G935" s="101">
        <v>6.408676573574816E-05</v>
      </c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</row>
    <row r="936" spans="1:50" ht="12.75">
      <c r="A936" s="100">
        <v>10</v>
      </c>
      <c r="B936" s="101">
        <v>0.056329706533400324</v>
      </c>
      <c r="C936" s="101">
        <v>2.1775285830892165E-36</v>
      </c>
      <c r="D936" s="101">
        <v>72.65561456030578</v>
      </c>
      <c r="E936" s="101">
        <v>3.2544976913371753</v>
      </c>
      <c r="F936" s="101">
        <v>2.6591631445265954E-21</v>
      </c>
      <c r="G936" s="101">
        <v>4.776235991743767E-05</v>
      </c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</row>
    <row r="937" spans="1:50" ht="12.75">
      <c r="A937" s="100">
        <v>100</v>
      </c>
      <c r="B937" s="101">
        <v>0.0029780048160151797</v>
      </c>
      <c r="C937" s="101">
        <v>1.6643674063221215E-05</v>
      </c>
      <c r="D937" s="101">
        <v>3.840992010663156</v>
      </c>
      <c r="E937" s="101">
        <v>0.17205139212981377</v>
      </c>
      <c r="F937" s="101">
        <v>0.001834733213392664</v>
      </c>
      <c r="G937" s="101">
        <v>2.524991963297442E-06</v>
      </c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</row>
    <row r="938" spans="1:50" ht="12.75">
      <c r="A938" s="100">
        <v>1000</v>
      </c>
      <c r="B938" s="101">
        <v>5.077706891566154E-16</v>
      </c>
      <c r="C938" s="101">
        <v>2.1919926278617188E-06</v>
      </c>
      <c r="D938" s="101">
        <v>6.54916053127204E-13</v>
      </c>
      <c r="E938" s="101">
        <v>2.933596798844791E-14</v>
      </c>
      <c r="F938" s="101">
        <v>6.655632832399674E-08</v>
      </c>
      <c r="G938" s="101">
        <v>4.305288233341612E-19</v>
      </c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</row>
    <row r="939" spans="1:50" ht="12.75">
      <c r="A939" s="100">
        <v>10000</v>
      </c>
      <c r="B939" s="101">
        <v>0</v>
      </c>
      <c r="C939" s="101">
        <v>1.4070849017487187E-38</v>
      </c>
      <c r="D939" s="101">
        <v>0</v>
      </c>
      <c r="E939" s="101">
        <v>0</v>
      </c>
      <c r="F939" s="101">
        <v>0</v>
      </c>
      <c r="G939" s="101">
        <v>0</v>
      </c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</row>
    <row r="940" spans="1:5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</row>
    <row r="941" spans="1:5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</row>
    <row r="942" spans="1:50" ht="15.75">
      <c r="A942" s="97" t="s">
        <v>506</v>
      </c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</row>
    <row r="943" spans="1:50" ht="15.75">
      <c r="A943" s="13" t="s">
        <v>510</v>
      </c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</row>
    <row r="944" spans="1:5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</row>
    <row r="945" spans="1:50" ht="14.25">
      <c r="A945" s="98" t="s">
        <v>508</v>
      </c>
      <c r="B945" s="98" t="s">
        <v>6</v>
      </c>
      <c r="C945" s="98" t="s">
        <v>7</v>
      </c>
      <c r="D945" s="98" t="s">
        <v>8</v>
      </c>
      <c r="E945" s="98" t="s">
        <v>9</v>
      </c>
      <c r="F945" s="98" t="s">
        <v>10</v>
      </c>
      <c r="G945" s="98" t="s">
        <v>11</v>
      </c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</row>
    <row r="946" spans="1:50" ht="15">
      <c r="A946"/>
      <c r="B946" s="99" t="s">
        <v>387</v>
      </c>
      <c r="C946" s="99" t="s">
        <v>390</v>
      </c>
      <c r="D946" s="99" t="s">
        <v>393</v>
      </c>
      <c r="E946" s="99" t="s">
        <v>396</v>
      </c>
      <c r="F946" s="99" t="s">
        <v>399</v>
      </c>
      <c r="G946" s="99" t="s">
        <v>402</v>
      </c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</row>
    <row r="947" spans="1:50" ht="12.75">
      <c r="A947" s="103">
        <v>1</v>
      </c>
      <c r="B947" s="101">
        <v>99.61976787275604</v>
      </c>
      <c r="C947" s="101">
        <v>1E+40</v>
      </c>
      <c r="D947" s="101">
        <v>1185.7386589232435</v>
      </c>
      <c r="E947" s="101">
        <v>47.42954635692974</v>
      </c>
      <c r="F947" s="101">
        <v>1E+40</v>
      </c>
      <c r="G947" s="101">
        <v>0.46811536914969853</v>
      </c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</row>
    <row r="948" spans="1:50" ht="12.75">
      <c r="A948" s="103">
        <v>10</v>
      </c>
      <c r="B948" s="101">
        <v>4.704444889001331</v>
      </c>
      <c r="C948" s="101">
        <v>9.184724441883744E+29</v>
      </c>
      <c r="D948" s="101">
        <v>1582.8095419184356</v>
      </c>
      <c r="E948" s="101">
        <v>63.312381676737424</v>
      </c>
      <c r="F948" s="101">
        <v>9.025395846584156E+17</v>
      </c>
      <c r="G948" s="101">
        <v>0.6281096673585266</v>
      </c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</row>
    <row r="949" spans="1:50" ht="12.75">
      <c r="A949" s="103">
        <v>100</v>
      </c>
      <c r="B949" s="101">
        <v>88.98575266731511</v>
      </c>
      <c r="C949" s="101">
        <v>0.12016577544134631</v>
      </c>
      <c r="D949" s="101">
        <v>29940.18203650077</v>
      </c>
      <c r="E949" s="101">
        <v>1197.607281460031</v>
      </c>
      <c r="F949" s="101">
        <v>1.3080920879837798</v>
      </c>
      <c r="G949" s="101">
        <v>11.88122593500153</v>
      </c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</row>
    <row r="950" spans="1:50" ht="12.75">
      <c r="A950" s="103">
        <v>1000</v>
      </c>
      <c r="B950" s="101">
        <v>521889123691155.25</v>
      </c>
      <c r="C950" s="101">
        <v>0.9124118277491624</v>
      </c>
      <c r="D950" s="101">
        <v>1.7559502389791568E+17</v>
      </c>
      <c r="E950" s="101">
        <v>7023800955916627</v>
      </c>
      <c r="F950" s="101">
        <v>36059.681482379565</v>
      </c>
      <c r="G950" s="101">
        <v>69681745736951.66</v>
      </c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</row>
    <row r="951" spans="1:50" ht="12.75">
      <c r="A951" s="103">
        <v>10000</v>
      </c>
      <c r="B951" s="101">
        <v>1E+40</v>
      </c>
      <c r="C951" s="101">
        <v>1.4213783386591736E+32</v>
      </c>
      <c r="D951" s="101">
        <v>1E+40</v>
      </c>
      <c r="E951" s="101">
        <v>1E+40</v>
      </c>
      <c r="F951" s="101">
        <v>1E+40</v>
      </c>
      <c r="G951" s="101">
        <v>1E+40</v>
      </c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</row>
    <row r="952" spans="1:5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</row>
    <row r="953" spans="1:50" ht="14.25">
      <c r="A953" s="102" t="s">
        <v>511</v>
      </c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</row>
    <row r="954" spans="1:50" ht="12.75">
      <c r="A954"/>
      <c r="B954" s="45">
        <v>0.53</v>
      </c>
      <c r="C954" s="45">
        <v>0.02</v>
      </c>
      <c r="D954" s="45">
        <v>460</v>
      </c>
      <c r="E954" s="45">
        <v>20.605</v>
      </c>
      <c r="F954" s="45">
        <v>0.12</v>
      </c>
      <c r="G954" s="45">
        <v>0.3</v>
      </c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</row>
    <row r="955" spans="1:5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</row>
    <row r="956" spans="1:5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</row>
    <row r="957" spans="1:50" ht="15.75">
      <c r="A957" s="97" t="s">
        <v>506</v>
      </c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</row>
    <row r="958" spans="1:50" ht="15.75">
      <c r="A958" s="13" t="s">
        <v>512</v>
      </c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</row>
    <row r="959" spans="1:5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</row>
    <row r="960" spans="1:50" ht="12.75">
      <c r="A960"/>
      <c r="B960" s="101">
        <v>4.622433472156249</v>
      </c>
      <c r="C960" s="42" t="s">
        <v>513</v>
      </c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</row>
    <row r="961" spans="1:5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</row>
    <row r="962" spans="1:50" ht="12.75">
      <c r="A962"/>
      <c r="B962"/>
      <c r="C962"/>
      <c r="D962"/>
      <c r="E962"/>
      <c r="F962"/>
      <c r="G962"/>
      <c r="H962"/>
      <c r="I962" s="104" t="s">
        <v>515</v>
      </c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</row>
    <row r="963" spans="1:50" ht="15.75">
      <c r="A963" s="97" t="s">
        <v>506</v>
      </c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</row>
    <row r="964" spans="1:50" ht="15.75">
      <c r="A964" s="13" t="s">
        <v>514</v>
      </c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</row>
    <row r="965" spans="1:5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</row>
    <row r="966" spans="1:50" ht="14.25">
      <c r="A966" s="98" t="s">
        <v>508</v>
      </c>
      <c r="B966" s="98" t="s">
        <v>6</v>
      </c>
      <c r="C966" s="98" t="s">
        <v>7</v>
      </c>
      <c r="D966" s="98" t="s">
        <v>8</v>
      </c>
      <c r="E966" s="98" t="s">
        <v>9</v>
      </c>
      <c r="F966" s="98" t="s">
        <v>10</v>
      </c>
      <c r="G966" s="98" t="s">
        <v>11</v>
      </c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</row>
    <row r="967" spans="1:50" ht="15">
      <c r="A967"/>
      <c r="B967" s="99" t="s">
        <v>387</v>
      </c>
      <c r="C967" s="99" t="s">
        <v>390</v>
      </c>
      <c r="D967" s="99" t="s">
        <v>393</v>
      </c>
      <c r="E967" s="99" t="s">
        <v>396</v>
      </c>
      <c r="F967" s="99" t="s">
        <v>399</v>
      </c>
      <c r="G967" s="99" t="s">
        <v>402</v>
      </c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</row>
    <row r="968" spans="1:50" ht="12.75">
      <c r="A968" s="103">
        <v>1</v>
      </c>
      <c r="B968" s="101">
        <v>43.10273732345829</v>
      </c>
      <c r="C968" s="101">
        <v>1E+40</v>
      </c>
      <c r="D968" s="101">
        <v>1.026073098566523</v>
      </c>
      <c r="E968" s="101">
        <v>1.026073098566523</v>
      </c>
      <c r="F968" s="101">
        <v>1E+40</v>
      </c>
      <c r="G968" s="101">
        <v>1012.7033130264488</v>
      </c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</row>
    <row r="969" spans="1:50" ht="12.75">
      <c r="A969" s="103">
        <v>10</v>
      </c>
      <c r="B969" s="101">
        <v>2.0354840874786353</v>
      </c>
      <c r="C969" s="101">
        <v>1.9869889955602322E+33</v>
      </c>
      <c r="D969" s="101">
        <v>1.369676428186727</v>
      </c>
      <c r="E969" s="101">
        <v>1.3696764281867269</v>
      </c>
      <c r="F969" s="101">
        <v>9.762602210447862E+18</v>
      </c>
      <c r="G969" s="101">
        <v>1358.829004553589</v>
      </c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</row>
    <row r="970" spans="1:50" ht="12.75">
      <c r="A970" s="103">
        <v>100</v>
      </c>
      <c r="B970" s="101">
        <v>38.501691026309345</v>
      </c>
      <c r="C970" s="101">
        <v>259.96215232772613</v>
      </c>
      <c r="D970" s="101">
        <v>25.908588813099286</v>
      </c>
      <c r="E970" s="101">
        <v>25.908588813099282</v>
      </c>
      <c r="F970" s="101">
        <v>14.14938793455028</v>
      </c>
      <c r="G970" s="101">
        <v>25703.40061478318</v>
      </c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</row>
    <row r="971" spans="1:50" ht="12.75">
      <c r="A971" s="103">
        <v>1000</v>
      </c>
      <c r="B971" s="101">
        <v>225807089203041.38</v>
      </c>
      <c r="C971" s="101">
        <v>1973.8776842223433</v>
      </c>
      <c r="D971" s="101">
        <v>151950287618530.1</v>
      </c>
      <c r="E971" s="101">
        <v>151950287618530.06</v>
      </c>
      <c r="F971" s="101">
        <v>390050.8433446272</v>
      </c>
      <c r="G971" s="101">
        <v>1.5074688723307222E+17</v>
      </c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</row>
    <row r="972" spans="1:50" ht="12.75">
      <c r="A972" s="103">
        <v>10000</v>
      </c>
      <c r="B972" s="101">
        <v>1E+40</v>
      </c>
      <c r="C972" s="101">
        <v>3.0749568321988984E+35</v>
      </c>
      <c r="D972" s="101">
        <v>1E+40</v>
      </c>
      <c r="E972" s="101">
        <v>1E+40</v>
      </c>
      <c r="F972" s="101">
        <v>1E+40</v>
      </c>
      <c r="G972" s="101">
        <v>1E+40</v>
      </c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</row>
  </sheetData>
  <sheetProtection password="DE75" sheet="1" scenarios="1"/>
  <conditionalFormatting sqref="B155:G155 B210:G210 B265:G265 B326:G326 B381:G381 B436:G436 B491:G491 B546:G546 B601:G601 B658:G658 B713:G713 B770:G770 B825:G825 B878:G878 B935:G935">
    <cfRule type="cellIs" priority="1" dxfId="0" operator="greaterThan" stopIfTrue="1">
      <formula>B151</formula>
    </cfRule>
  </conditionalFormatting>
  <conditionalFormatting sqref="B156:G156 B211:G211 B266:G266 B327:G327 B382:G382 B437:G437 B492:G492 B547:G547 B602:G602 B659:G659 B714:G714 B771:G771 B826:G826 B879:G879 B936:G936">
    <cfRule type="cellIs" priority="2" dxfId="0" operator="greaterThan" stopIfTrue="1">
      <formula>B151</formula>
    </cfRule>
  </conditionalFormatting>
  <conditionalFormatting sqref="B157:G157 B212:G212 B267:G267 B328:G328 B383:G383 B438:G438 B493:G493 B548:G548 B603:G603 B660:G660 B715:G715 B772:G772 B827:G827 B880:G880 B937:G937">
    <cfRule type="cellIs" priority="3" dxfId="0" operator="greaterThan" stopIfTrue="1">
      <formula>B151</formula>
    </cfRule>
  </conditionalFormatting>
  <conditionalFormatting sqref="B158:G158 B213:G213 B268:G268 B329:G329 B384:G384 B439:G439 B494:G494 B549:G549 B604:G604 B661:G661 B716:G716 B773:G773 B828:G828 B881:G881 B938:G938">
    <cfRule type="cellIs" priority="4" dxfId="0" operator="greaterThan" stopIfTrue="1">
      <formula>B151</formula>
    </cfRule>
  </conditionalFormatting>
  <conditionalFormatting sqref="B159:G159 B214:G214 B269:G269 B330:G330 B385:G385 B440:G440 B495:G495 B550:G550 B605:G605 B662:G662 B717:G717 B774:G774 B829:G829 B882:G882 B939:G939">
    <cfRule type="cellIs" priority="5" dxfId="0" operator="greaterThan" stopIfTrue="1">
      <formula>B151</formula>
    </cfRule>
  </conditionalFormatting>
  <conditionalFormatting sqref="B167:G167 B222:G222 B277:G277 B338:G338 B393:G393 B448:G448 B503:G503 B558:G558 B613:G613 B670:G670 B725:G725 B782:G782 B837:G837 B890:G890 B947:G947">
    <cfRule type="cellIs" priority="6" dxfId="0" operator="lessThan" stopIfTrue="1">
      <formula>B174</formula>
    </cfRule>
  </conditionalFormatting>
  <conditionalFormatting sqref="B168:G168 B223:G223 B278:G278 B339:G339 B394:G394 B449:G449 B504:G504 B559:G559 B614:G614 B671:G671 B726:G726 B783:G783 B838:G838 B891:G891 B948:G948">
    <cfRule type="cellIs" priority="7" dxfId="0" operator="lessThan" stopIfTrue="1">
      <formula>B174</formula>
    </cfRule>
  </conditionalFormatting>
  <conditionalFormatting sqref="B169:G169 B224:G224 B279:G279 B340:G340 B395:G395 B450:G450 B505:G505 B560:G560 B615:G615 B672:G672 B727:G727 B784:G784 B839:G839 B892:G892 B949:G949">
    <cfRule type="cellIs" priority="8" dxfId="0" operator="lessThan" stopIfTrue="1">
      <formula>B174</formula>
    </cfRule>
  </conditionalFormatting>
  <conditionalFormatting sqref="B170:G170 B225:G225 B280:G280 B341:G341 B396:G396 B451:G451 B506:G506 B561:G561 B616:G616 B673:G673 B728:G728 B785:G785 B840:G840 B893:G893 B950:G950">
    <cfRule type="cellIs" priority="9" dxfId="0" operator="lessThan" stopIfTrue="1">
      <formula>B174</formula>
    </cfRule>
  </conditionalFormatting>
  <conditionalFormatting sqref="B171:G171 B226:G226 B281:G281 B342:G342 B397:G397 B452:G452 B507:G507 B562:G562 B617:G617 B674:G674 B729:G729 B786:G786 B841:G841 B894:G894 B951:G951">
    <cfRule type="cellIs" priority="10" dxfId="0" operator="lessThan" stopIfTrue="1">
      <formula>B174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 Consultant Hydrogeologists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Chaplin</dc:creator>
  <cp:keywords/>
  <dc:description/>
  <cp:lastModifiedBy>Gavin Chaplin</cp:lastModifiedBy>
  <cp:lastPrinted>2020-01-27T16:18:01Z</cp:lastPrinted>
  <dcterms:created xsi:type="dcterms:W3CDTF">2020-01-27T14:43:11Z</dcterms:created>
  <dcterms:modified xsi:type="dcterms:W3CDTF">2020-01-27T16:19:56Z</dcterms:modified>
  <cp:category/>
  <cp:version/>
  <cp:contentType/>
  <cp:contentStatus/>
</cp:coreProperties>
</file>