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cess Folders\Consultation\HP3632RP-V005\"/>
    </mc:Choice>
  </mc:AlternateContent>
  <xr:revisionPtr revIDLastSave="0" documentId="8_{8BDFA2DC-FAE3-424C-AE8F-191280AE2933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Q95 Flow (Background) 10% EQS" sheetId="16" r:id="rId1"/>
    <sheet name="Q95 Flow (Background) 50% EQS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6" l="1"/>
  <c r="G24" i="15" l="1"/>
  <c r="G18" i="15" l="1"/>
  <c r="G18" i="16"/>
  <c r="G16" i="16"/>
  <c r="H23" i="16"/>
  <c r="G17" i="15"/>
  <c r="G19" i="15"/>
  <c r="G20" i="15"/>
  <c r="G21" i="15"/>
  <c r="G22" i="15"/>
  <c r="G23" i="15"/>
  <c r="G25" i="15"/>
  <c r="G26" i="15"/>
  <c r="G27" i="15"/>
  <c r="G28" i="15"/>
  <c r="G29" i="15"/>
  <c r="G16" i="15"/>
  <c r="F5" i="16"/>
  <c r="F7" i="16" s="1"/>
  <c r="C18" i="15"/>
  <c r="C17" i="15"/>
  <c r="C16" i="15"/>
  <c r="F29" i="15"/>
  <c r="K29" i="15" s="1"/>
  <c r="D29" i="15"/>
  <c r="C29" i="15"/>
  <c r="F28" i="15"/>
  <c r="K28" i="15" s="1"/>
  <c r="D28" i="15"/>
  <c r="C28" i="15"/>
  <c r="F27" i="15"/>
  <c r="I27" i="15" s="1"/>
  <c r="M27" i="15" s="1"/>
  <c r="D27" i="15"/>
  <c r="H27" i="15" s="1"/>
  <c r="L27" i="15" s="1"/>
  <c r="C27" i="15"/>
  <c r="F26" i="15"/>
  <c r="K26" i="15" s="1"/>
  <c r="D26" i="15"/>
  <c r="C26" i="15"/>
  <c r="F25" i="15"/>
  <c r="D25" i="15"/>
  <c r="C25" i="15"/>
  <c r="F24" i="15"/>
  <c r="D24" i="15"/>
  <c r="C24" i="15"/>
  <c r="F23" i="15"/>
  <c r="D23" i="15"/>
  <c r="C23" i="15"/>
  <c r="F22" i="15"/>
  <c r="D22" i="15"/>
  <c r="C22" i="15"/>
  <c r="F21" i="15"/>
  <c r="D21" i="15"/>
  <c r="C21" i="15"/>
  <c r="F20" i="15"/>
  <c r="D20" i="15"/>
  <c r="C20" i="15"/>
  <c r="F19" i="15"/>
  <c r="D19" i="15"/>
  <c r="C19" i="15"/>
  <c r="F18" i="15"/>
  <c r="D18" i="15"/>
  <c r="F17" i="15"/>
  <c r="D17" i="15"/>
  <c r="F16" i="15"/>
  <c r="K16" i="15" s="1"/>
  <c r="D16" i="15"/>
  <c r="H16" i="16"/>
  <c r="D16" i="16"/>
  <c r="C16" i="16"/>
  <c r="F16" i="16"/>
  <c r="F22" i="16"/>
  <c r="F24" i="16"/>
  <c r="G26" i="16"/>
  <c r="G27" i="16"/>
  <c r="G28" i="16"/>
  <c r="G29" i="16"/>
  <c r="F27" i="16"/>
  <c r="K27" i="16" s="1"/>
  <c r="F28" i="16"/>
  <c r="K28" i="16" s="1"/>
  <c r="F29" i="16"/>
  <c r="K29" i="16" s="1"/>
  <c r="F26" i="16"/>
  <c r="K26" i="16" s="1"/>
  <c r="F25" i="16"/>
  <c r="D26" i="16"/>
  <c r="D27" i="16"/>
  <c r="D28" i="16"/>
  <c r="D29" i="16"/>
  <c r="C26" i="16"/>
  <c r="H26" i="16" s="1"/>
  <c r="L26" i="16" s="1"/>
  <c r="C27" i="16"/>
  <c r="C28" i="16"/>
  <c r="H28" i="16" s="1"/>
  <c r="L28" i="16" s="1"/>
  <c r="C29" i="16"/>
  <c r="F20" i="16"/>
  <c r="K27" i="15" l="1"/>
  <c r="I28" i="16"/>
  <c r="H27" i="16"/>
  <c r="L27" i="16" s="1"/>
  <c r="H29" i="16"/>
  <c r="L29" i="16" s="1"/>
  <c r="I26" i="16"/>
  <c r="N26" i="16" s="1"/>
  <c r="M28" i="16"/>
  <c r="I29" i="16"/>
  <c r="I27" i="16"/>
  <c r="N28" i="16"/>
  <c r="N27" i="15"/>
  <c r="I26" i="15"/>
  <c r="N26" i="15" s="1"/>
  <c r="I29" i="15"/>
  <c r="M29" i="15" s="1"/>
  <c r="I28" i="15"/>
  <c r="H26" i="15"/>
  <c r="L26" i="15" s="1"/>
  <c r="H29" i="15"/>
  <c r="L29" i="15" s="1"/>
  <c r="H28" i="15"/>
  <c r="L28" i="15" s="1"/>
  <c r="I16" i="15"/>
  <c r="M16" i="15" s="1"/>
  <c r="H4" i="16"/>
  <c r="G24" i="16"/>
  <c r="G19" i="16"/>
  <c r="G20" i="16"/>
  <c r="G21" i="16"/>
  <c r="G25" i="16"/>
  <c r="G22" i="16"/>
  <c r="G23" i="16"/>
  <c r="G17" i="16"/>
  <c r="M26" i="15" l="1"/>
  <c r="M26" i="16"/>
  <c r="N29" i="15"/>
  <c r="N29" i="16"/>
  <c r="M29" i="16"/>
  <c r="N27" i="16"/>
  <c r="M27" i="16"/>
  <c r="M28" i="15"/>
  <c r="N28" i="15"/>
  <c r="F18" i="16"/>
  <c r="F19" i="16"/>
  <c r="F21" i="16"/>
  <c r="F23" i="16"/>
  <c r="K23" i="16" s="1"/>
  <c r="F17" i="16"/>
  <c r="D17" i="16"/>
  <c r="K16" i="16" l="1"/>
  <c r="C23" i="16"/>
  <c r="K22" i="16"/>
  <c r="D22" i="16"/>
  <c r="C22" i="16"/>
  <c r="K25" i="16"/>
  <c r="D25" i="16"/>
  <c r="C25" i="16"/>
  <c r="D21" i="16"/>
  <c r="C21" i="16"/>
  <c r="K20" i="16"/>
  <c r="C20" i="16"/>
  <c r="K19" i="16"/>
  <c r="C19" i="16"/>
  <c r="K18" i="16"/>
  <c r="D18" i="16"/>
  <c r="C18" i="16"/>
  <c r="K24" i="16"/>
  <c r="C24" i="16"/>
  <c r="C17" i="16"/>
  <c r="H17" i="16" s="1"/>
  <c r="L17" i="16" s="1"/>
  <c r="D23" i="16"/>
  <c r="L2" i="16"/>
  <c r="H18" i="16" l="1"/>
  <c r="L18" i="16" s="1"/>
  <c r="H22" i="16"/>
  <c r="L22" i="16" s="1"/>
  <c r="H21" i="16"/>
  <c r="L21" i="16" s="1"/>
  <c r="L1" i="16"/>
  <c r="I17" i="16"/>
  <c r="H25" i="16"/>
  <c r="L25" i="16" s="1"/>
  <c r="I21" i="16"/>
  <c r="I25" i="16"/>
  <c r="I22" i="16"/>
  <c r="N22" i="16" s="1"/>
  <c r="I23" i="16"/>
  <c r="N23" i="16" s="1"/>
  <c r="L23" i="16"/>
  <c r="K21" i="16"/>
  <c r="K17" i="16"/>
  <c r="I18" i="16"/>
  <c r="D20" i="16"/>
  <c r="D24" i="16"/>
  <c r="H24" i="16" s="1"/>
  <c r="L24" i="16" s="1"/>
  <c r="I16" i="16"/>
  <c r="D19" i="16"/>
  <c r="H19" i="16" s="1"/>
  <c r="M22" i="16" l="1"/>
  <c r="N25" i="16"/>
  <c r="N17" i="16"/>
  <c r="N21" i="16"/>
  <c r="M17" i="16"/>
  <c r="L16" i="16"/>
  <c r="M21" i="16"/>
  <c r="N18" i="16"/>
  <c r="M18" i="16"/>
  <c r="M23" i="16"/>
  <c r="I20" i="16"/>
  <c r="H20" i="16"/>
  <c r="L20" i="16" s="1"/>
  <c r="I19" i="16"/>
  <c r="L19" i="16"/>
  <c r="I24" i="16"/>
  <c r="N16" i="16"/>
  <c r="M16" i="16"/>
  <c r="M24" i="16" l="1"/>
  <c r="N24" i="16"/>
  <c r="M19" i="16"/>
  <c r="N19" i="16"/>
  <c r="N20" i="16"/>
  <c r="M20" i="16"/>
  <c r="K22" i="15" l="1"/>
  <c r="H22" i="15"/>
  <c r="L22" i="15" s="1"/>
  <c r="K19" i="15"/>
  <c r="K20" i="15"/>
  <c r="K21" i="15"/>
  <c r="K24" i="15"/>
  <c r="K23" i="15"/>
  <c r="K25" i="15"/>
  <c r="I22" i="15" l="1"/>
  <c r="N22" i="15" s="1"/>
  <c r="F5" i="15"/>
  <c r="M22" i="15" l="1"/>
  <c r="K2" i="15"/>
  <c r="K1" i="15"/>
  <c r="H20" i="15"/>
  <c r="L20" i="15" s="1"/>
  <c r="F7" i="15"/>
  <c r="I20" i="15" l="1"/>
  <c r="H23" i="15"/>
  <c r="L23" i="15" s="1"/>
  <c r="I23" i="15"/>
  <c r="H25" i="15"/>
  <c r="L25" i="15" s="1"/>
  <c r="I25" i="15"/>
  <c r="H24" i="15"/>
  <c r="L24" i="15" s="1"/>
  <c r="I24" i="15"/>
  <c r="H21" i="15"/>
  <c r="L21" i="15" s="1"/>
  <c r="I21" i="15"/>
  <c r="H19" i="15"/>
  <c r="L19" i="15" s="1"/>
  <c r="I19" i="15"/>
  <c r="K18" i="15"/>
  <c r="H18" i="15"/>
  <c r="L18" i="15" s="1"/>
  <c r="K17" i="15"/>
  <c r="I17" i="15" s="1"/>
  <c r="M17" i="15" s="1"/>
  <c r="H16" i="15"/>
  <c r="L16" i="15" s="1"/>
  <c r="N20" i="15" l="1"/>
  <c r="M20" i="15"/>
  <c r="N24" i="15"/>
  <c r="M24" i="15"/>
  <c r="M21" i="15"/>
  <c r="N21" i="15"/>
  <c r="M25" i="15"/>
  <c r="N25" i="15"/>
  <c r="M19" i="15"/>
  <c r="N19" i="15"/>
  <c r="M23" i="15"/>
  <c r="N23" i="15"/>
  <c r="H17" i="15"/>
  <c r="L17" i="15" s="1"/>
  <c r="N16" i="15"/>
  <c r="I18" i="15"/>
  <c r="M18" i="15" l="1"/>
  <c r="N18" i="15"/>
  <c r="N17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Kathryn Wright</author>
  </authors>
  <commentList>
    <comment ref="B14" authorId="0" shapeId="0" xr:uid="{27D72351-A49C-463B-95A3-064432818DD2}">
      <text>
        <r>
          <rPr>
            <b/>
            <sz val="9"/>
            <color indexed="81"/>
            <rFont val="Tahoma"/>
            <family val="2"/>
          </rPr>
          <t>Kathryn Wright:</t>
        </r>
        <r>
          <rPr>
            <sz val="9"/>
            <color indexed="81"/>
            <rFont val="Tahoma"/>
            <family val="2"/>
          </rPr>
          <t xml:space="preserve">
Max values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Kathryn Wright</author>
  </authors>
  <commentList>
    <comment ref="B14" authorId="0" shapeId="0" xr:uid="{FA6EAE2F-B3A2-4981-8436-4DC4BD14D01D}">
      <text>
        <r>
          <rPr>
            <b/>
            <sz val="9"/>
            <color indexed="81"/>
            <rFont val="Tahoma"/>
            <family val="2"/>
          </rPr>
          <t>Kathryn Wright:</t>
        </r>
        <r>
          <rPr>
            <sz val="9"/>
            <color indexed="81"/>
            <rFont val="Tahoma"/>
            <family val="2"/>
          </rPr>
          <t xml:space="preserve">
Max values</t>
        </r>
      </text>
    </comment>
  </commentList>
</comments>
</file>

<file path=xl/sharedStrings.xml><?xml version="1.0" encoding="utf-8"?>
<sst xmlns="http://schemas.openxmlformats.org/spreadsheetml/2006/main" count="175" uniqueCount="69">
  <si>
    <t>Substance</t>
  </si>
  <si>
    <t>Discharge</t>
  </si>
  <si>
    <t>Conc</t>
  </si>
  <si>
    <t>Rate</t>
  </si>
  <si>
    <t>River Flow</t>
  </si>
  <si>
    <t>STW</t>
  </si>
  <si>
    <t>Reduction</t>
  </si>
  <si>
    <t>Factor</t>
  </si>
  <si>
    <t>(site)</t>
  </si>
  <si>
    <t xml:space="preserve">Conc </t>
  </si>
  <si>
    <t>(to River)</t>
  </si>
  <si>
    <t>Contribution</t>
  </si>
  <si>
    <t>EFR</t>
  </si>
  <si>
    <t>RFR</t>
  </si>
  <si>
    <t>STRF</t>
  </si>
  <si>
    <t>RC-Source</t>
  </si>
  <si>
    <t>Dilution Factor</t>
  </si>
  <si>
    <t>Major Components</t>
  </si>
  <si>
    <t>after</t>
  </si>
  <si>
    <t>mixing</t>
  </si>
  <si>
    <t>mg/l</t>
  </si>
  <si>
    <t xml:space="preserve">Discharge Consent </t>
  </si>
  <si>
    <t>Background</t>
  </si>
  <si>
    <t>PEC</t>
  </si>
  <si>
    <t xml:space="preserve"> </t>
  </si>
  <si>
    <t>EQS</t>
  </si>
  <si>
    <t xml:space="preserve">Process </t>
  </si>
  <si>
    <t>Test 2</t>
  </si>
  <si>
    <t>Test 3</t>
  </si>
  <si>
    <t>PEC-BC</t>
  </si>
  <si>
    <t>Test 4</t>
  </si>
  <si>
    <t>PC</t>
  </si>
  <si>
    <t>Test 1</t>
  </si>
  <si>
    <t>RC-Process</t>
  </si>
  <si>
    <t>Discharge Rate (C )</t>
  </si>
  <si>
    <t>Sewage Reduction Factor (E )</t>
  </si>
  <si>
    <t>BC</t>
  </si>
  <si>
    <t>(% of EQS)</t>
  </si>
  <si>
    <t>EQS-PEC</t>
  </si>
  <si>
    <t>Test Threshold 10%</t>
  </si>
  <si>
    <t>Test Threshold 4%</t>
  </si>
  <si>
    <t>Receiving Watercourse Flow Rate (D )</t>
  </si>
  <si>
    <t>Chloride</t>
  </si>
  <si>
    <t>Sulphate</t>
  </si>
  <si>
    <r>
      <t>m</t>
    </r>
    <r>
      <rPr>
        <b/>
        <vertAlign val="superscript"/>
        <sz val="10"/>
        <rFont val="Source Sans Pro"/>
        <family val="2"/>
      </rPr>
      <t>3</t>
    </r>
    <r>
      <rPr>
        <b/>
        <sz val="10"/>
        <rFont val="Source Sans Pro"/>
        <family val="2"/>
      </rPr>
      <t>/day</t>
    </r>
  </si>
  <si>
    <r>
      <t>m</t>
    </r>
    <r>
      <rPr>
        <b/>
        <vertAlign val="superscript"/>
        <sz val="10"/>
        <rFont val="Source Sans Pro"/>
        <family val="2"/>
      </rPr>
      <t>3</t>
    </r>
    <r>
      <rPr>
        <b/>
        <sz val="10"/>
        <rFont val="Source Sans Pro"/>
        <family val="2"/>
      </rPr>
      <t>/s</t>
    </r>
  </si>
  <si>
    <t>Cadmium</t>
  </si>
  <si>
    <t>Chromium</t>
  </si>
  <si>
    <t>Copper</t>
  </si>
  <si>
    <t>Lead</t>
  </si>
  <si>
    <t>Nickel</t>
  </si>
  <si>
    <t>Zinc</t>
  </si>
  <si>
    <t>Ammoniacal-Nitrogen</t>
  </si>
  <si>
    <t>Mercury</t>
  </si>
  <si>
    <t>RFR+EFR</t>
  </si>
  <si>
    <t>10 X EFR</t>
  </si>
  <si>
    <t>IF EFR+RFR &lt;10X EFR then do additional calculation under Test 3</t>
  </si>
  <si>
    <t>Here: EFR+RFR &gt;10X EFR so not necessary to do calc under Test 3</t>
  </si>
  <si>
    <t>River(D)</t>
  </si>
  <si>
    <t>AA</t>
  </si>
  <si>
    <t>AA EQS-PEC</t>
  </si>
  <si>
    <t>Q95</t>
  </si>
  <si>
    <t>Mecoprop</t>
  </si>
  <si>
    <t>Boron</t>
  </si>
  <si>
    <t>Iron</t>
  </si>
  <si>
    <t>Arsenic</t>
  </si>
  <si>
    <t>AA EQS</t>
  </si>
  <si>
    <t>Q95 river flow - Bescot upstream of Ray Hall STW</t>
  </si>
  <si>
    <t>River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</si>
</sst>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"/>
    <numFmt numFmtId="165" formatCode="0.0000"/>
    <numFmt numFmtId="166" formatCode="0.0"/>
    <numFmt numFmtId="167" formatCode="#,##0.000"/>
    <numFmt numFmtId="168" formatCode="0.0%"/>
    <numFmt numFmtId="169" formatCode="0.00000000"/>
    <numFmt numFmtId="170" formatCode="#,##0.0000"/>
    <numFmt numFmtId="171" formatCode="#,##0.000000"/>
    <numFmt numFmtId="172" formatCode="#,##0.00000"/>
    <numFmt numFmtId="173" formatCode="0.00000"/>
    <numFmt numFmtId="174" formatCode="0.000000"/>
  </numFmts>
  <fonts count="2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ource Sans Pro"/>
      <family val="2"/>
    </font>
    <font>
      <b/>
      <sz val="10"/>
      <color rgb="FFFF0000"/>
      <name val="Source Sans Pro"/>
      <family val="2"/>
    </font>
    <font>
      <b/>
      <sz val="10"/>
      <name val="Source Sans Pro"/>
      <family val="2"/>
    </font>
    <font>
      <b/>
      <vertAlign val="superscript"/>
      <sz val="10"/>
      <name val="Source Sans Pro"/>
      <family val="2"/>
    </font>
    <font>
      <b/>
      <u/>
      <sz val="10"/>
      <name val="Source Sans Pro"/>
      <family val="2"/>
    </font>
    <font>
      <sz val="1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9" applyNumberFormat="0" applyAlignment="0" applyProtection="0"/>
    <xf numFmtId="0" fontId="13" fillId="6" borderId="10" applyNumberFormat="0" applyAlignment="0" applyProtection="0"/>
    <xf numFmtId="0" fontId="14" fillId="6" borderId="9" applyNumberFormat="0" applyAlignment="0" applyProtection="0"/>
    <xf numFmtId="0" fontId="15" fillId="0" borderId="11" applyNumberFormat="0" applyFill="0" applyAlignment="0" applyProtection="0"/>
    <xf numFmtId="0" fontId="16" fillId="7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</cellStyleXfs>
  <cellXfs count="89">
    <xf numFmtId="0" fontId="0" fillId="0" borderId="0" xfId="0"/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center"/>
    </xf>
    <xf numFmtId="9" fontId="2" fillId="0" borderId="0" xfId="1" applyFont="1"/>
    <xf numFmtId="0" fontId="24" fillId="0" borderId="0" xfId="0" applyFont="1"/>
    <xf numFmtId="4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3" fillId="0" borderId="0" xfId="0" applyNumberFormat="1" applyFont="1"/>
    <xf numFmtId="0" fontId="25" fillId="0" borderId="0" xfId="0" applyFont="1"/>
    <xf numFmtId="4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64" fontId="23" fillId="0" borderId="0" xfId="0" applyNumberFormat="1" applyFont="1"/>
    <xf numFmtId="165" fontId="23" fillId="0" borderId="0" xfId="0" applyNumberFormat="1" applyFont="1"/>
    <xf numFmtId="169" fontId="25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left"/>
    </xf>
    <xf numFmtId="3" fontId="23" fillId="0" borderId="0" xfId="0" applyNumberFormat="1" applyFont="1"/>
    <xf numFmtId="0" fontId="23" fillId="0" borderId="0" xfId="0" applyFont="1" applyAlignment="1">
      <alignment horizontal="right"/>
    </xf>
    <xf numFmtId="0" fontId="25" fillId="0" borderId="4" xfId="0" applyFont="1" applyBorder="1" applyAlignment="1">
      <alignment horizontal="center"/>
    </xf>
    <xf numFmtId="4" fontId="25" fillId="0" borderId="4" xfId="0" applyNumberFormat="1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9" fontId="25" fillId="0" borderId="4" xfId="0" applyNumberFormat="1" applyFont="1" applyBorder="1" applyAlignment="1">
      <alignment horizontal="center" wrapText="1"/>
    </xf>
    <xf numFmtId="9" fontId="25" fillId="0" borderId="5" xfId="0" applyNumberFormat="1" applyFont="1" applyBorder="1" applyAlignment="1">
      <alignment horizontal="center" wrapText="1"/>
    </xf>
    <xf numFmtId="2" fontId="25" fillId="0" borderId="1" xfId="0" applyNumberFormat="1" applyFont="1" applyBorder="1" applyAlignment="1">
      <alignment horizontal="center"/>
    </xf>
    <xf numFmtId="0" fontId="25" fillId="33" borderId="4" xfId="0" applyFont="1" applyFill="1" applyBorder="1" applyAlignment="1">
      <alignment horizontal="left"/>
    </xf>
    <xf numFmtId="4" fontId="25" fillId="33" borderId="4" xfId="0" applyNumberFormat="1" applyFont="1" applyFill="1" applyBorder="1" applyAlignment="1">
      <alignment horizontal="center"/>
    </xf>
    <xf numFmtId="0" fontId="25" fillId="33" borderId="4" xfId="0" applyFont="1" applyFill="1" applyBorder="1" applyAlignment="1">
      <alignment horizontal="center"/>
    </xf>
    <xf numFmtId="9" fontId="23" fillId="33" borderId="4" xfId="1" applyFont="1" applyFill="1" applyBorder="1" applyAlignment="1">
      <alignment horizontal="right"/>
    </xf>
    <xf numFmtId="2" fontId="25" fillId="33" borderId="4" xfId="0" applyNumberFormat="1" applyFont="1" applyFill="1" applyBorder="1" applyAlignment="1">
      <alignment horizontal="center"/>
    </xf>
    <xf numFmtId="168" fontId="23" fillId="33" borderId="4" xfId="1" applyNumberFormat="1" applyFont="1" applyFill="1" applyBorder="1" applyAlignment="1">
      <alignment horizontal="right"/>
    </xf>
    <xf numFmtId="0" fontId="23" fillId="0" borderId="4" xfId="0" applyFont="1" applyBorder="1"/>
    <xf numFmtId="167" fontId="23" fillId="0" borderId="4" xfId="0" applyNumberFormat="1" applyFont="1" applyBorder="1" applyAlignment="1">
      <alignment horizontal="center"/>
    </xf>
    <xf numFmtId="165" fontId="23" fillId="0" borderId="4" xfId="0" applyNumberFormat="1" applyFont="1" applyBorder="1" applyAlignment="1">
      <alignment horizontal="center"/>
    </xf>
    <xf numFmtId="4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171" fontId="23" fillId="0" borderId="4" xfId="0" applyNumberFormat="1" applyFont="1" applyBorder="1" applyAlignment="1">
      <alignment horizontal="center"/>
    </xf>
    <xf numFmtId="2" fontId="23" fillId="0" borderId="4" xfId="0" applyNumberFormat="1" applyFont="1" applyBorder="1" applyAlignment="1">
      <alignment horizontal="center"/>
    </xf>
    <xf numFmtId="9" fontId="23" fillId="0" borderId="4" xfId="1" applyFont="1" applyFill="1" applyBorder="1" applyAlignment="1">
      <alignment horizontal="center"/>
    </xf>
    <xf numFmtId="9" fontId="23" fillId="34" borderId="4" xfId="0" applyNumberFormat="1" applyFont="1" applyFill="1" applyBorder="1" applyAlignment="1">
      <alignment horizontal="center"/>
    </xf>
    <xf numFmtId="170" fontId="23" fillId="0" borderId="4" xfId="0" applyNumberFormat="1" applyFont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172" fontId="23" fillId="0" borderId="4" xfId="0" applyNumberFormat="1" applyFont="1" applyBorder="1" applyAlignment="1">
      <alignment horizontal="center"/>
    </xf>
    <xf numFmtId="9" fontId="23" fillId="0" borderId="4" xfId="0" applyNumberFormat="1" applyFont="1" applyBorder="1" applyAlignment="1">
      <alignment horizontal="center"/>
    </xf>
    <xf numFmtId="173" fontId="23" fillId="0" borderId="0" xfId="0" applyNumberFormat="1" applyFont="1"/>
    <xf numFmtId="173" fontId="23" fillId="0" borderId="4" xfId="0" applyNumberFormat="1" applyFont="1" applyBorder="1" applyAlignment="1">
      <alignment horizontal="center"/>
    </xf>
    <xf numFmtId="0" fontId="28" fillId="0" borderId="0" xfId="0" applyFont="1"/>
    <xf numFmtId="173" fontId="0" fillId="0" borderId="0" xfId="0" applyNumberFormat="1"/>
    <xf numFmtId="0" fontId="2" fillId="0" borderId="4" xfId="0" applyFont="1" applyBorder="1"/>
    <xf numFmtId="164" fontId="23" fillId="0" borderId="4" xfId="0" applyNumberFormat="1" applyFont="1" applyBorder="1" applyAlignment="1">
      <alignment horizontal="center"/>
    </xf>
    <xf numFmtId="174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170" fontId="23" fillId="0" borderId="4" xfId="0" applyNumberFormat="1" applyFont="1" applyBorder="1" applyAlignment="1">
      <alignment horizontal="center" vertical="center"/>
    </xf>
    <xf numFmtId="173" fontId="23" fillId="0" borderId="4" xfId="0" applyNumberFormat="1" applyFont="1" applyBorder="1" applyAlignment="1">
      <alignment horizontal="center" vertical="center"/>
    </xf>
    <xf numFmtId="165" fontId="23" fillId="0" borderId="4" xfId="0" applyNumberFormat="1" applyFont="1" applyBorder="1" applyAlignment="1">
      <alignment horizontal="center" vertical="center"/>
    </xf>
    <xf numFmtId="171" fontId="23" fillId="0" borderId="4" xfId="0" applyNumberFormat="1" applyFont="1" applyBorder="1" applyAlignment="1">
      <alignment horizontal="center" vertical="center"/>
    </xf>
    <xf numFmtId="9" fontId="23" fillId="0" borderId="4" xfId="1" applyFont="1" applyFill="1" applyBorder="1" applyAlignment="1">
      <alignment horizontal="center" vertical="center"/>
    </xf>
    <xf numFmtId="9" fontId="23" fillId="34" borderId="4" xfId="0" applyNumberFormat="1" applyFont="1" applyFill="1" applyBorder="1" applyAlignment="1">
      <alignment horizontal="center" vertical="center"/>
    </xf>
    <xf numFmtId="4" fontId="23" fillId="0" borderId="4" xfId="0" applyNumberFormat="1" applyFont="1" applyBorder="1" applyAlignment="1">
      <alignment horizontal="center" vertical="center"/>
    </xf>
    <xf numFmtId="167" fontId="23" fillId="0" borderId="4" xfId="0" applyNumberFormat="1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166" fontId="23" fillId="0" borderId="4" xfId="0" applyNumberFormat="1" applyFont="1" applyBorder="1" applyAlignment="1">
      <alignment horizontal="center" vertical="center"/>
    </xf>
    <xf numFmtId="174" fontId="23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1" fontId="23" fillId="0" borderId="4" xfId="0" applyNumberFormat="1" applyFont="1" applyBorder="1" applyAlignment="1">
      <alignment horizontal="center"/>
    </xf>
    <xf numFmtId="9" fontId="23" fillId="34" borderId="4" xfId="1" applyFont="1" applyFill="1" applyBorder="1" applyAlignment="1">
      <alignment horizontal="center"/>
    </xf>
    <xf numFmtId="168" fontId="23" fillId="34" borderId="4" xfId="1" applyNumberFormat="1" applyFont="1" applyFill="1" applyBorder="1" applyAlignment="1">
      <alignment horizontal="center"/>
    </xf>
    <xf numFmtId="10" fontId="23" fillId="34" borderId="4" xfId="1" applyNumberFormat="1" applyFont="1" applyFill="1" applyBorder="1" applyAlignment="1">
      <alignment horizontal="center"/>
    </xf>
    <xf numFmtId="166" fontId="23" fillId="34" borderId="4" xfId="1" applyNumberFormat="1" applyFont="1" applyFill="1" applyBorder="1" applyAlignment="1">
      <alignment horizontal="center"/>
    </xf>
    <xf numFmtId="174" fontId="23" fillId="34" borderId="4" xfId="1" applyNumberFormat="1" applyFont="1" applyFill="1" applyBorder="1" applyAlignment="1">
      <alignment horizontal="center"/>
    </xf>
    <xf numFmtId="173" fontId="23" fillId="34" borderId="4" xfId="1" applyNumberFormat="1" applyFont="1" applyFill="1" applyBorder="1" applyAlignment="1">
      <alignment horizontal="center"/>
    </xf>
    <xf numFmtId="2" fontId="23" fillId="34" borderId="4" xfId="1" applyNumberFormat="1" applyFont="1" applyFill="1" applyBorder="1" applyAlignment="1">
      <alignment horizontal="center"/>
    </xf>
    <xf numFmtId="165" fontId="23" fillId="34" borderId="4" xfId="1" applyNumberFormat="1" applyFont="1" applyFill="1" applyBorder="1" applyAlignment="1">
      <alignment horizontal="center"/>
    </xf>
    <xf numFmtId="164" fontId="23" fillId="34" borderId="4" xfId="1" applyNumberFormat="1" applyFont="1" applyFill="1" applyBorder="1" applyAlignment="1">
      <alignment horizontal="center"/>
    </xf>
    <xf numFmtId="164" fontId="23" fillId="34" borderId="4" xfId="1" applyNumberFormat="1" applyFont="1" applyFill="1" applyBorder="1" applyAlignment="1">
      <alignment horizontal="center" vertical="center"/>
    </xf>
    <xf numFmtId="166" fontId="23" fillId="34" borderId="4" xfId="1" applyNumberFormat="1" applyFont="1" applyFill="1" applyBorder="1" applyAlignment="1">
      <alignment horizontal="center" vertical="center"/>
    </xf>
    <xf numFmtId="9" fontId="23" fillId="34" borderId="4" xfId="1" applyFont="1" applyFill="1" applyBorder="1" applyAlignment="1">
      <alignment horizontal="center" vertical="center"/>
    </xf>
    <xf numFmtId="10" fontId="23" fillId="0" borderId="4" xfId="1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5000000}"/>
    <cellStyle name="Note 2" xfId="43" xr:uid="{00000000-0005-0000-0000-000026000000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CCFFCC"/>
      <color rgb="FFFF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57AD9-F2BF-496E-9A82-21E1BBB9DAAB}">
  <sheetPr codeName="Sheet1">
    <pageSetUpPr fitToPage="1"/>
  </sheetPr>
  <dimension ref="A1:O29"/>
  <sheetViews>
    <sheetView tabSelected="1" zoomScale="80" zoomScaleNormal="80" zoomScaleSheetLayoutView="100" workbookViewId="0">
      <pane xSplit="1" ySplit="14" topLeftCell="B15" activePane="bottomRight" state="frozen"/>
      <selection activeCell="H18" sqref="H18:J19"/>
      <selection pane="topRight" activeCell="H18" sqref="H18:J19"/>
      <selection pane="bottomLeft" activeCell="H18" sqref="H18:J19"/>
      <selection pane="bottomRight" activeCell="D32" sqref="D32"/>
    </sheetView>
  </sheetViews>
  <sheetFormatPr defaultColWidth="9.33203125" defaultRowHeight="12.75" x14ac:dyDescent="0.2"/>
  <cols>
    <col min="1" max="1" width="25.1640625" style="2" customWidth="1"/>
    <col min="2" max="2" width="19.1640625" style="1" customWidth="1"/>
    <col min="3" max="4" width="19.1640625" style="2" customWidth="1"/>
    <col min="5" max="5" width="30.6640625" style="3" customWidth="1"/>
    <col min="6" max="6" width="19.1640625" style="3" customWidth="1"/>
    <col min="7" max="7" width="19.1640625" style="4" customWidth="1"/>
    <col min="8" max="8" width="19.1640625" style="3" customWidth="1"/>
    <col min="9" max="12" width="19.1640625" style="2" customWidth="1"/>
    <col min="13" max="14" width="19.1640625" style="5" customWidth="1"/>
    <col min="15" max="15" width="20.1640625" style="5" customWidth="1"/>
    <col min="16" max="16" width="20.83203125" style="2" customWidth="1"/>
    <col min="17" max="17" width="20.1640625" style="2" customWidth="1"/>
    <col min="18" max="28" width="9.33203125" style="2"/>
    <col min="29" max="29" width="13.1640625" style="2" bestFit="1" customWidth="1"/>
    <col min="30" max="30" width="9.33203125" style="2"/>
    <col min="31" max="31" width="12" style="2" bestFit="1" customWidth="1"/>
    <col min="32" max="16384" width="9.33203125" style="2"/>
  </cols>
  <sheetData>
    <row r="1" spans="1:15" ht="13.5" x14ac:dyDescent="0.25">
      <c r="A1" s="8"/>
      <c r="B1" s="9"/>
      <c r="C1" s="10"/>
      <c r="D1" s="10"/>
      <c r="E1" s="11"/>
      <c r="F1" s="11"/>
      <c r="G1" s="12"/>
      <c r="H1" s="11"/>
      <c r="I1" s="10"/>
      <c r="J1" s="10"/>
      <c r="K1" s="56" t="s">
        <v>54</v>
      </c>
      <c r="L1" s="57">
        <f>F5+F6</f>
        <v>1.5601574074074074</v>
      </c>
      <c r="M1" s="13"/>
      <c r="N1" s="13"/>
      <c r="O1" s="13"/>
    </row>
    <row r="2" spans="1:15" ht="13.5" x14ac:dyDescent="0.25">
      <c r="A2" s="14"/>
      <c r="B2" s="9"/>
      <c r="C2" s="10"/>
      <c r="D2" s="10"/>
      <c r="E2" s="11"/>
      <c r="F2" s="11"/>
      <c r="G2" s="12"/>
      <c r="H2" s="11"/>
      <c r="I2" s="10"/>
      <c r="J2" s="10"/>
      <c r="K2" s="56" t="s">
        <v>55</v>
      </c>
      <c r="L2">
        <f>10*F5</f>
        <v>1.1574074074074073E-2</v>
      </c>
      <c r="M2" s="13"/>
      <c r="N2" s="13"/>
      <c r="O2" s="13"/>
    </row>
    <row r="3" spans="1:15" ht="13.5" x14ac:dyDescent="0.25">
      <c r="A3" s="14"/>
      <c r="B3" s="9"/>
      <c r="C3" s="10"/>
      <c r="D3" s="10"/>
      <c r="E3" s="11"/>
      <c r="F3" s="14" t="s">
        <v>21</v>
      </c>
      <c r="G3" s="13"/>
      <c r="H3" s="11"/>
      <c r="I3" s="10"/>
      <c r="J3" s="10"/>
      <c r="K3" s="56" t="s">
        <v>56</v>
      </c>
      <c r="L3"/>
      <c r="M3" s="13"/>
      <c r="N3" s="13"/>
      <c r="O3" s="13"/>
    </row>
    <row r="4" spans="1:15" ht="15" x14ac:dyDescent="0.25">
      <c r="A4" s="10"/>
      <c r="B4" s="9"/>
      <c r="C4" s="10"/>
      <c r="D4" s="10"/>
      <c r="E4" s="15" t="s">
        <v>34</v>
      </c>
      <c r="F4" s="10">
        <v>100</v>
      </c>
      <c r="G4" s="16" t="s">
        <v>44</v>
      </c>
      <c r="H4" s="17">
        <f>F4/24/60/60</f>
        <v>1.1574074074074076E-3</v>
      </c>
      <c r="I4" s="18"/>
      <c r="J4" s="18"/>
      <c r="K4" s="56" t="s">
        <v>57</v>
      </c>
      <c r="L4"/>
      <c r="M4" s="13"/>
      <c r="N4" s="13"/>
      <c r="O4" s="13"/>
    </row>
    <row r="5" spans="1:15" ht="15" x14ac:dyDescent="0.25">
      <c r="A5" s="10"/>
      <c r="B5" s="9"/>
      <c r="C5" s="10"/>
      <c r="D5" s="10"/>
      <c r="E5" s="9"/>
      <c r="F5" s="54">
        <f>F4/(60*60*24)</f>
        <v>1.1574074074074073E-3</v>
      </c>
      <c r="G5" s="16" t="s">
        <v>45</v>
      </c>
      <c r="H5" s="11" t="s">
        <v>61</v>
      </c>
      <c r="I5" s="10"/>
      <c r="J5" s="10"/>
      <c r="K5" s="20"/>
      <c r="L5" s="18"/>
      <c r="M5" s="13"/>
      <c r="N5" s="13"/>
      <c r="O5" s="13"/>
    </row>
    <row r="6" spans="1:15" ht="15" x14ac:dyDescent="0.25">
      <c r="A6" s="10"/>
      <c r="B6" s="9"/>
      <c r="C6" s="10"/>
      <c r="D6" s="10"/>
      <c r="E6" s="15" t="s">
        <v>41</v>
      </c>
      <c r="F6" s="19">
        <v>1.5589999999999999</v>
      </c>
      <c r="G6" s="16" t="s">
        <v>45</v>
      </c>
      <c r="H6" s="21" t="s">
        <v>67</v>
      </c>
      <c r="I6" s="19"/>
      <c r="J6" s="19"/>
      <c r="K6" s="16"/>
      <c r="L6" s="10"/>
      <c r="M6" s="13"/>
      <c r="N6" s="13"/>
      <c r="O6" s="13"/>
    </row>
    <row r="7" spans="1:15" ht="13.5" x14ac:dyDescent="0.25">
      <c r="A7" s="10"/>
      <c r="B7" s="9"/>
      <c r="C7" s="10"/>
      <c r="D7" s="10"/>
      <c r="E7" s="15" t="s">
        <v>16</v>
      </c>
      <c r="F7" s="22">
        <f>(F6+F5)/F5</f>
        <v>1347.9760000000001</v>
      </c>
      <c r="G7" s="13"/>
      <c r="H7" s="11"/>
      <c r="I7" s="10"/>
      <c r="J7" s="10"/>
      <c r="K7" s="10"/>
      <c r="L7" s="10"/>
      <c r="M7" s="13"/>
      <c r="N7" s="13"/>
      <c r="O7" s="13"/>
    </row>
    <row r="8" spans="1:15" ht="13.5" x14ac:dyDescent="0.25">
      <c r="A8" s="10"/>
      <c r="B8" s="9"/>
      <c r="C8" s="19"/>
      <c r="D8" s="10"/>
      <c r="E8" s="15" t="s">
        <v>35</v>
      </c>
      <c r="F8" s="23"/>
      <c r="G8" s="12"/>
      <c r="H8" s="11"/>
      <c r="I8" s="10"/>
      <c r="J8" s="10"/>
      <c r="K8" s="10"/>
      <c r="L8" s="10"/>
      <c r="M8" s="13"/>
      <c r="N8" s="13"/>
      <c r="O8" s="13"/>
    </row>
    <row r="9" spans="1:15" ht="13.5" x14ac:dyDescent="0.25">
      <c r="A9" s="10"/>
      <c r="B9" s="15"/>
      <c r="C9" s="19"/>
      <c r="D9" s="10"/>
      <c r="E9" s="11"/>
      <c r="F9" s="23"/>
      <c r="G9" s="12"/>
      <c r="H9" s="11"/>
      <c r="I9" s="10"/>
      <c r="J9" s="10"/>
      <c r="K9" s="10"/>
      <c r="L9" s="10"/>
      <c r="M9" s="13"/>
      <c r="N9" s="13"/>
      <c r="O9" s="13"/>
    </row>
    <row r="10" spans="1:15" ht="13.5" x14ac:dyDescent="0.25">
      <c r="A10" s="10"/>
      <c r="B10" s="15"/>
      <c r="C10" s="19"/>
      <c r="D10" s="10"/>
      <c r="E10" s="11"/>
      <c r="F10" s="11"/>
      <c r="G10" s="12"/>
      <c r="H10" s="11"/>
      <c r="I10" s="10"/>
      <c r="J10" s="10"/>
      <c r="K10" s="10"/>
      <c r="L10" s="11" t="s">
        <v>24</v>
      </c>
      <c r="M10" s="12"/>
      <c r="N10" s="12" t="s">
        <v>24</v>
      </c>
      <c r="O10" s="12" t="s">
        <v>24</v>
      </c>
    </row>
    <row r="11" spans="1:15" s="6" customFormat="1" ht="14.25" customHeight="1" x14ac:dyDescent="0.25">
      <c r="A11" s="24" t="s">
        <v>0</v>
      </c>
      <c r="B11" s="25" t="s">
        <v>1</v>
      </c>
      <c r="C11" s="24" t="s">
        <v>1</v>
      </c>
      <c r="D11" s="24" t="s">
        <v>4</v>
      </c>
      <c r="E11" s="24" t="s">
        <v>5</v>
      </c>
      <c r="F11" s="24" t="s">
        <v>1</v>
      </c>
      <c r="G11" s="26" t="s">
        <v>22</v>
      </c>
      <c r="H11" s="24" t="s">
        <v>26</v>
      </c>
      <c r="I11" s="24" t="s">
        <v>2</v>
      </c>
      <c r="J11" s="24" t="s">
        <v>25</v>
      </c>
      <c r="K11" s="24" t="s">
        <v>32</v>
      </c>
      <c r="L11" s="24" t="s">
        <v>27</v>
      </c>
      <c r="M11" s="27" t="s">
        <v>28</v>
      </c>
      <c r="N11" s="27" t="s">
        <v>30</v>
      </c>
    </row>
    <row r="12" spans="1:15" s="6" customFormat="1" ht="14.25" customHeight="1" x14ac:dyDescent="0.25">
      <c r="A12" s="24"/>
      <c r="B12" s="25" t="s">
        <v>2</v>
      </c>
      <c r="C12" s="24" t="s">
        <v>3</v>
      </c>
      <c r="D12" s="24" t="s">
        <v>3</v>
      </c>
      <c r="E12" s="24" t="s">
        <v>6</v>
      </c>
      <c r="F12" s="24" t="s">
        <v>9</v>
      </c>
      <c r="G12" s="26" t="s">
        <v>2</v>
      </c>
      <c r="H12" s="24" t="s">
        <v>11</v>
      </c>
      <c r="I12" s="24" t="s">
        <v>18</v>
      </c>
      <c r="J12" s="24"/>
      <c r="K12" s="24" t="s">
        <v>37</v>
      </c>
      <c r="L12" s="26"/>
      <c r="M12" s="28" t="s">
        <v>29</v>
      </c>
      <c r="N12" s="29" t="s">
        <v>60</v>
      </c>
    </row>
    <row r="13" spans="1:15" s="6" customFormat="1" ht="14.25" customHeight="1" x14ac:dyDescent="0.25">
      <c r="A13" s="24"/>
      <c r="B13" s="25" t="s">
        <v>8</v>
      </c>
      <c r="C13" s="24"/>
      <c r="D13" s="24"/>
      <c r="E13" s="24"/>
      <c r="F13" s="24" t="s">
        <v>10</v>
      </c>
      <c r="G13" s="26" t="s">
        <v>58</v>
      </c>
      <c r="H13" s="24"/>
      <c r="I13" s="24" t="s">
        <v>19</v>
      </c>
      <c r="J13" s="24"/>
      <c r="K13" s="24"/>
      <c r="L13" s="26"/>
      <c r="M13" s="30" t="s">
        <v>25</v>
      </c>
      <c r="N13" s="31"/>
    </row>
    <row r="14" spans="1:15" s="6" customFormat="1" ht="27" x14ac:dyDescent="0.25">
      <c r="A14" s="24"/>
      <c r="B14" s="25" t="s">
        <v>15</v>
      </c>
      <c r="C14" s="24" t="s">
        <v>12</v>
      </c>
      <c r="D14" s="24" t="s">
        <v>13</v>
      </c>
      <c r="E14" s="24" t="s">
        <v>14</v>
      </c>
      <c r="F14" s="24" t="s">
        <v>33</v>
      </c>
      <c r="G14" s="26" t="s">
        <v>36</v>
      </c>
      <c r="H14" s="24" t="s">
        <v>31</v>
      </c>
      <c r="I14" s="24" t="s">
        <v>23</v>
      </c>
      <c r="J14" s="24" t="s">
        <v>59</v>
      </c>
      <c r="K14" s="32" t="s">
        <v>39</v>
      </c>
      <c r="L14" s="32" t="s">
        <v>40</v>
      </c>
      <c r="M14" s="33" t="s">
        <v>39</v>
      </c>
      <c r="N14" s="34"/>
    </row>
    <row r="15" spans="1:15" ht="14.25" customHeight="1" x14ac:dyDescent="0.25">
      <c r="A15" s="35" t="s">
        <v>17</v>
      </c>
      <c r="B15" s="36" t="s">
        <v>20</v>
      </c>
      <c r="C15" s="37" t="s">
        <v>45</v>
      </c>
      <c r="D15" s="37" t="s">
        <v>45</v>
      </c>
      <c r="E15" s="37" t="s">
        <v>7</v>
      </c>
      <c r="F15" s="37" t="s">
        <v>20</v>
      </c>
      <c r="G15" s="36" t="s">
        <v>20</v>
      </c>
      <c r="H15" s="37" t="s">
        <v>20</v>
      </c>
      <c r="I15" s="37" t="s">
        <v>20</v>
      </c>
      <c r="J15" s="37" t="s">
        <v>20</v>
      </c>
      <c r="K15" s="38" t="s">
        <v>24</v>
      </c>
      <c r="L15" s="39" t="s">
        <v>24</v>
      </c>
      <c r="M15" s="40" t="s">
        <v>24</v>
      </c>
      <c r="N15" s="38" t="s">
        <v>24</v>
      </c>
      <c r="O15" s="2"/>
    </row>
    <row r="16" spans="1:15" ht="13.5" x14ac:dyDescent="0.25">
      <c r="A16" s="41" t="s">
        <v>52</v>
      </c>
      <c r="B16" s="42">
        <v>24.05</v>
      </c>
      <c r="C16" s="55">
        <f>F$4/(24*60*60)</f>
        <v>1.1574074074074073E-3</v>
      </c>
      <c r="D16" s="50">
        <f>F$6</f>
        <v>1.5589999999999999</v>
      </c>
      <c r="E16" s="45">
        <v>0.08</v>
      </c>
      <c r="F16" s="46">
        <f>B16*E16</f>
        <v>1.9240000000000002</v>
      </c>
      <c r="G16" s="47">
        <f>J16/10</f>
        <v>3.9E-2</v>
      </c>
      <c r="H16" s="42">
        <f>(C16*B16)/(C16+D16)</f>
        <v>1.7841563944758661E-2</v>
      </c>
      <c r="I16" s="47">
        <f>((F16*C16)+(G16*D16))/(C16+D16)</f>
        <v>4.0398392849724324E-2</v>
      </c>
      <c r="J16" s="45">
        <v>0.39</v>
      </c>
      <c r="K16" s="48">
        <f t="shared" ref="K16:K29" si="0">F16/J16</f>
        <v>4.9333333333333336</v>
      </c>
      <c r="L16" s="53">
        <f t="shared" ref="L16:L29" si="1">H16/J16</f>
        <v>4.5747599858355539E-2</v>
      </c>
      <c r="M16" s="76">
        <f t="shared" ref="M16:M29" si="2">(I16-G16)/J16</f>
        <v>3.5856226916008305E-3</v>
      </c>
      <c r="N16" s="82">
        <f t="shared" ref="N16:N29" si="3">J16-I16</f>
        <v>0.34960160715027566</v>
      </c>
      <c r="O16" s="2"/>
    </row>
    <row r="17" spans="1:15" ht="14.25" customHeight="1" x14ac:dyDescent="0.25">
      <c r="A17" s="41" t="s">
        <v>42</v>
      </c>
      <c r="B17" s="42">
        <v>230</v>
      </c>
      <c r="C17" s="55">
        <f>F$4/(24*60*60)</f>
        <v>1.1574074074074073E-3</v>
      </c>
      <c r="D17" s="50">
        <f>F$6</f>
        <v>1.5589999999999999</v>
      </c>
      <c r="E17" s="45">
        <v>1</v>
      </c>
      <c r="F17" s="46">
        <f>B17*E17</f>
        <v>230</v>
      </c>
      <c r="G17" s="47">
        <f>J17/10</f>
        <v>25</v>
      </c>
      <c r="H17" s="42">
        <f>(C17*B17)/(C17+D17)</f>
        <v>0.1706261832554882</v>
      </c>
      <c r="I17" s="47">
        <f>((F17*C17)+(G17*D17))/(C17+D17)</f>
        <v>25.152079858988589</v>
      </c>
      <c r="J17" s="45">
        <v>250</v>
      </c>
      <c r="K17" s="48">
        <f t="shared" si="0"/>
        <v>0.92</v>
      </c>
      <c r="L17" s="49">
        <f t="shared" si="1"/>
        <v>6.8250473302195283E-4</v>
      </c>
      <c r="M17" s="76">
        <f t="shared" si="2"/>
        <v>6.0831943595435688E-4</v>
      </c>
      <c r="N17" s="79">
        <f t="shared" si="3"/>
        <v>224.8479201410114</v>
      </c>
      <c r="O17" s="2"/>
    </row>
    <row r="18" spans="1:15" ht="13.5" x14ac:dyDescent="0.25">
      <c r="A18" s="41" t="s">
        <v>46</v>
      </c>
      <c r="B18" s="52">
        <v>1.8000000000000001E-4</v>
      </c>
      <c r="C18" s="55">
        <f>F$4/(24*60*60)</f>
        <v>1.1574074074074073E-3</v>
      </c>
      <c r="D18" s="50">
        <f t="shared" ref="D18:D29" si="4">F$6</f>
        <v>1.5589999999999999</v>
      </c>
      <c r="E18" s="45">
        <v>0.89</v>
      </c>
      <c r="F18" s="46">
        <f t="shared" ref="F18:F23" si="5">B18*E18</f>
        <v>1.6020000000000002E-4</v>
      </c>
      <c r="G18" s="60">
        <f>J18/10</f>
        <v>8.0000000000000013E-6</v>
      </c>
      <c r="H18" s="46">
        <f t="shared" ref="H18:H22" si="6">(C18*B18)/(C18+D18)</f>
        <v>1.3353353472168643E-7</v>
      </c>
      <c r="I18" s="60">
        <f t="shared" ref="I18:I23" si="7">((F18*C18)+(G18*D18))/(C18+D18)</f>
        <v>8.1129100221368932E-6</v>
      </c>
      <c r="J18" s="45">
        <v>8.0000000000000007E-5</v>
      </c>
      <c r="K18" s="48">
        <f t="shared" si="0"/>
        <v>2.0024999999999999</v>
      </c>
      <c r="L18" s="49">
        <f t="shared" si="1"/>
        <v>1.6691691840210804E-3</v>
      </c>
      <c r="M18" s="76">
        <f t="shared" si="2"/>
        <v>1.4113752767111487E-3</v>
      </c>
      <c r="N18" s="83">
        <f t="shared" si="3"/>
        <v>7.1887089977863117E-5</v>
      </c>
      <c r="O18" s="2"/>
    </row>
    <row r="19" spans="1:15" ht="14.25" customHeight="1" x14ac:dyDescent="0.25">
      <c r="A19" s="41" t="s">
        <v>47</v>
      </c>
      <c r="B19" s="52">
        <v>0.01</v>
      </c>
      <c r="C19" s="55">
        <f>F$4/(24*60*60)</f>
        <v>1.1574074074074073E-3</v>
      </c>
      <c r="D19" s="50">
        <f t="shared" si="4"/>
        <v>1.5589999999999999</v>
      </c>
      <c r="E19" s="45">
        <v>0.16</v>
      </c>
      <c r="F19" s="46">
        <f t="shared" si="5"/>
        <v>1.6000000000000001E-3</v>
      </c>
      <c r="G19" s="55">
        <f t="shared" ref="G19:G23" si="8">J19/10</f>
        <v>4.7000000000000004E-4</v>
      </c>
      <c r="H19" s="46">
        <f>(C19*B19)/(C19+D19)</f>
        <v>7.4185297067603571E-6</v>
      </c>
      <c r="I19" s="43">
        <f t="shared" si="7"/>
        <v>4.7083829385686393E-4</v>
      </c>
      <c r="J19" s="45">
        <v>4.7000000000000002E-3</v>
      </c>
      <c r="K19" s="48">
        <f t="shared" si="0"/>
        <v>0.34042553191489361</v>
      </c>
      <c r="L19" s="49">
        <f t="shared" si="1"/>
        <v>1.5784105759064589E-3</v>
      </c>
      <c r="M19" s="76">
        <f t="shared" si="2"/>
        <v>1.783603950774224E-4</v>
      </c>
      <c r="N19" s="84">
        <f t="shared" si="3"/>
        <v>4.2291617061431365E-3</v>
      </c>
      <c r="O19" s="2"/>
    </row>
    <row r="20" spans="1:15" ht="13.5" x14ac:dyDescent="0.25">
      <c r="A20" s="41" t="s">
        <v>48</v>
      </c>
      <c r="B20" s="50">
        <v>1.2999999999999999E-2</v>
      </c>
      <c r="C20" s="55">
        <f t="shared" ref="C20:C28" si="9">F$4/(24*60*60)</f>
        <v>1.1574074074074073E-3</v>
      </c>
      <c r="D20" s="50">
        <f t="shared" si="4"/>
        <v>1.5589999999999999</v>
      </c>
      <c r="E20" s="45">
        <v>0.57999999999999996</v>
      </c>
      <c r="F20" s="46">
        <f>B20*E20</f>
        <v>7.539999999999999E-3</v>
      </c>
      <c r="G20" s="43">
        <f t="shared" si="8"/>
        <v>1E-4</v>
      </c>
      <c r="H20" s="46">
        <f>(C20*B20)/(C20+D20)</f>
        <v>9.6440886187884646E-6</v>
      </c>
      <c r="I20" s="43">
        <f t="shared" si="7"/>
        <v>1.0551938610182971E-4</v>
      </c>
      <c r="J20" s="45">
        <v>1E-3</v>
      </c>
      <c r="K20" s="48">
        <f t="shared" si="0"/>
        <v>7.5399999999999991</v>
      </c>
      <c r="L20" s="49">
        <f t="shared" si="1"/>
        <v>9.6440886187884652E-3</v>
      </c>
      <c r="M20" s="76">
        <f t="shared" si="2"/>
        <v>5.5193861018297064E-3</v>
      </c>
      <c r="N20" s="83">
        <f t="shared" si="3"/>
        <v>8.9448061389817027E-4</v>
      </c>
      <c r="O20" s="2"/>
    </row>
    <row r="21" spans="1:15" ht="13.5" x14ac:dyDescent="0.25">
      <c r="A21" s="41" t="s">
        <v>49</v>
      </c>
      <c r="B21" s="50">
        <v>2.3999999999999998E-3</v>
      </c>
      <c r="C21" s="55">
        <f t="shared" si="9"/>
        <v>1.1574074074074073E-3</v>
      </c>
      <c r="D21" s="50">
        <f t="shared" si="4"/>
        <v>1.5589999999999999</v>
      </c>
      <c r="E21" s="45">
        <v>0.67</v>
      </c>
      <c r="F21" s="46">
        <f t="shared" si="5"/>
        <v>1.6080000000000001E-3</v>
      </c>
      <c r="G21" s="55">
        <f t="shared" si="8"/>
        <v>1.1999999999999999E-4</v>
      </c>
      <c r="H21" s="46">
        <f t="shared" si="6"/>
        <v>1.7804471296224857E-6</v>
      </c>
      <c r="I21" s="55">
        <f t="shared" si="7"/>
        <v>1.2110387722036594E-4</v>
      </c>
      <c r="J21" s="45">
        <v>1.1999999999999999E-3</v>
      </c>
      <c r="K21" s="48">
        <f t="shared" si="0"/>
        <v>1.34</v>
      </c>
      <c r="L21" s="49">
        <f t="shared" si="1"/>
        <v>1.4837059413520715E-3</v>
      </c>
      <c r="M21" s="76">
        <f t="shared" si="2"/>
        <v>9.1989768363828902E-4</v>
      </c>
      <c r="N21" s="84">
        <f t="shared" si="3"/>
        <v>1.0788961227796339E-3</v>
      </c>
      <c r="O21" s="2"/>
    </row>
    <row r="22" spans="1:15" ht="13.5" x14ac:dyDescent="0.25">
      <c r="A22" s="41" t="s">
        <v>50</v>
      </c>
      <c r="B22" s="50">
        <v>3.2000000000000001E-2</v>
      </c>
      <c r="C22" s="55">
        <f t="shared" si="9"/>
        <v>1.1574074074074073E-3</v>
      </c>
      <c r="D22" s="50">
        <f t="shared" si="4"/>
        <v>1.5589999999999999</v>
      </c>
      <c r="E22" s="45">
        <v>1</v>
      </c>
      <c r="F22" s="46">
        <f>B22*E22</f>
        <v>3.2000000000000001E-2</v>
      </c>
      <c r="G22" s="43">
        <f t="shared" si="8"/>
        <v>4.0000000000000002E-4</v>
      </c>
      <c r="H22" s="46">
        <f t="shared" si="6"/>
        <v>2.3739295061633144E-5</v>
      </c>
      <c r="I22" s="55">
        <f t="shared" si="7"/>
        <v>4.234425538733627E-4</v>
      </c>
      <c r="J22" s="45">
        <v>4.0000000000000001E-3</v>
      </c>
      <c r="K22" s="48">
        <f t="shared" si="0"/>
        <v>8</v>
      </c>
      <c r="L22" s="49">
        <f t="shared" si="1"/>
        <v>5.9348237654082859E-3</v>
      </c>
      <c r="M22" s="76">
        <f t="shared" si="2"/>
        <v>5.8606384683406714E-3</v>
      </c>
      <c r="N22" s="84">
        <f t="shared" si="3"/>
        <v>3.5765574461266375E-3</v>
      </c>
      <c r="O22" s="2"/>
    </row>
    <row r="23" spans="1:15" ht="13.5" x14ac:dyDescent="0.25">
      <c r="A23" s="41" t="s">
        <v>51</v>
      </c>
      <c r="B23" s="50">
        <v>9.9000000000000005E-2</v>
      </c>
      <c r="C23" s="55">
        <f t="shared" si="9"/>
        <v>1.1574074074074073E-3</v>
      </c>
      <c r="D23" s="50">
        <f t="shared" si="4"/>
        <v>1.5589999999999999</v>
      </c>
      <c r="E23" s="45">
        <v>1</v>
      </c>
      <c r="F23" s="46">
        <f t="shared" si="5"/>
        <v>9.9000000000000005E-2</v>
      </c>
      <c r="G23" s="55">
        <f t="shared" si="8"/>
        <v>1.08E-3</v>
      </c>
      <c r="H23" s="42">
        <f>(C23*B23)/(C23+D23)</f>
        <v>7.3443444096927548E-5</v>
      </c>
      <c r="I23" s="59">
        <f t="shared" si="7"/>
        <v>1.1526422428885974E-3</v>
      </c>
      <c r="J23" s="45">
        <v>1.0800000000000001E-2</v>
      </c>
      <c r="K23" s="48">
        <f t="shared" si="0"/>
        <v>9.1666666666666661</v>
      </c>
      <c r="L23" s="49">
        <f t="shared" si="1"/>
        <v>6.8003188978636615E-3</v>
      </c>
      <c r="M23" s="76">
        <f t="shared" si="2"/>
        <v>6.7261336007960557E-3</v>
      </c>
      <c r="N23" s="84">
        <f t="shared" si="3"/>
        <v>9.6473577571114036E-3</v>
      </c>
      <c r="O23" s="2"/>
    </row>
    <row r="24" spans="1:15" ht="13.5" x14ac:dyDescent="0.25">
      <c r="A24" s="41" t="s">
        <v>43</v>
      </c>
      <c r="B24" s="44">
        <v>674</v>
      </c>
      <c r="C24" s="55">
        <f t="shared" si="9"/>
        <v>1.1574074074074073E-3</v>
      </c>
      <c r="D24" s="50">
        <f t="shared" si="4"/>
        <v>1.5589999999999999</v>
      </c>
      <c r="E24" s="45"/>
      <c r="F24" s="46">
        <f>B24</f>
        <v>674</v>
      </c>
      <c r="G24" s="47">
        <f>J24/10</f>
        <v>40</v>
      </c>
      <c r="H24" s="42">
        <f>(C24*B24)/(C24+D24)</f>
        <v>0.50000890223564809</v>
      </c>
      <c r="I24" s="51">
        <f>((F24*C24)+(G24*D24))/(C24+D24)</f>
        <v>40.47033478340861</v>
      </c>
      <c r="J24" s="45">
        <v>400</v>
      </c>
      <c r="K24" s="48">
        <f t="shared" si="0"/>
        <v>1.6850000000000001</v>
      </c>
      <c r="L24" s="49">
        <f t="shared" si="1"/>
        <v>1.2500222555891201E-3</v>
      </c>
      <c r="M24" s="76">
        <f t="shared" si="2"/>
        <v>1.1758369585215256E-3</v>
      </c>
      <c r="N24" s="79">
        <f t="shared" si="3"/>
        <v>359.52966521659141</v>
      </c>
      <c r="O24" s="2"/>
    </row>
    <row r="25" spans="1:15" ht="13.5" x14ac:dyDescent="0.25">
      <c r="A25" s="41" t="s">
        <v>53</v>
      </c>
      <c r="B25" s="42">
        <v>2.3E-2</v>
      </c>
      <c r="C25" s="55">
        <f>F$4/(24*60*60)</f>
        <v>1.1574074074074073E-3</v>
      </c>
      <c r="D25" s="50">
        <f t="shared" si="4"/>
        <v>1.5589999999999999</v>
      </c>
      <c r="E25" s="45">
        <v>1</v>
      </c>
      <c r="F25" s="46">
        <f>B25*E25</f>
        <v>2.3E-2</v>
      </c>
      <c r="G25" s="60">
        <f>J25/10</f>
        <v>7.0000000000000007E-6</v>
      </c>
      <c r="H25" s="46">
        <f>(C25*B25)/(C25+D25)</f>
        <v>1.7062618325548823E-5</v>
      </c>
      <c r="I25" s="55">
        <f>((F25*C25)+(G25*D25))/(C25+D25)</f>
        <v>2.4057425354754088E-5</v>
      </c>
      <c r="J25" s="45">
        <v>7.0000000000000007E-5</v>
      </c>
      <c r="K25" s="48">
        <f t="shared" si="0"/>
        <v>328.57142857142856</v>
      </c>
      <c r="L25" s="53">
        <f t="shared" si="1"/>
        <v>0.24375169036498318</v>
      </c>
      <c r="M25" s="48">
        <f>(I25-G25)/J25</f>
        <v>0.2436775050679155</v>
      </c>
      <c r="N25" s="81">
        <f t="shared" si="3"/>
        <v>4.594257464524592E-5</v>
      </c>
      <c r="O25" s="2"/>
    </row>
    <row r="26" spans="1:15" ht="13.5" x14ac:dyDescent="0.2">
      <c r="A26" s="74" t="s">
        <v>62</v>
      </c>
      <c r="B26" s="62">
        <v>4.0000000000000002E-4</v>
      </c>
      <c r="C26" s="63">
        <f t="shared" si="9"/>
        <v>1.1574074074074073E-3</v>
      </c>
      <c r="D26" s="62">
        <f t="shared" si="4"/>
        <v>1.5589999999999999</v>
      </c>
      <c r="E26" s="61"/>
      <c r="F26" s="62">
        <f>B26</f>
        <v>4.0000000000000002E-4</v>
      </c>
      <c r="G26" s="64">
        <f>J26/10</f>
        <v>1.8E-3</v>
      </c>
      <c r="H26" s="65">
        <f>(C26*B26)/(C26+D26)</f>
        <v>2.9674118827041433E-7</v>
      </c>
      <c r="I26" s="63">
        <f t="shared" ref="I26:I27" si="10">((F26*C26)+(G26*D26))/(C26+D26)</f>
        <v>1.7989614058410537E-3</v>
      </c>
      <c r="J26" s="61">
        <v>1.7999999999999999E-2</v>
      </c>
      <c r="K26" s="87">
        <f t="shared" si="0"/>
        <v>2.2222222222222227E-2</v>
      </c>
      <c r="L26" s="67">
        <f t="shared" si="1"/>
        <v>1.6485621570578575E-5</v>
      </c>
      <c r="M26" s="87">
        <f t="shared" si="2"/>
        <v>-5.7699675497016623E-5</v>
      </c>
      <c r="N26" s="85">
        <f t="shared" si="3"/>
        <v>1.6201038594158945E-2</v>
      </c>
      <c r="O26" s="2"/>
    </row>
    <row r="27" spans="1:15" ht="13.5" x14ac:dyDescent="0.2">
      <c r="A27" s="74" t="s">
        <v>63</v>
      </c>
      <c r="B27" s="68">
        <v>0.12</v>
      </c>
      <c r="C27" s="63">
        <f t="shared" si="9"/>
        <v>1.1574074074074073E-3</v>
      </c>
      <c r="D27" s="62">
        <f t="shared" si="4"/>
        <v>1.5589999999999999</v>
      </c>
      <c r="E27" s="61"/>
      <c r="F27" s="68">
        <f t="shared" ref="F27:F29" si="11">B27</f>
        <v>0.12</v>
      </c>
      <c r="G27" s="63">
        <f t="shared" ref="G27" si="12">J27/10</f>
        <v>0.2</v>
      </c>
      <c r="H27" s="69">
        <f t="shared" ref="H27" si="13">(C27*B27)/(C27+D27)</f>
        <v>8.9022356481124299E-5</v>
      </c>
      <c r="I27" s="70">
        <f t="shared" si="10"/>
        <v>0.19994065176234596</v>
      </c>
      <c r="J27" s="61">
        <v>2</v>
      </c>
      <c r="K27" s="87">
        <f t="shared" si="0"/>
        <v>0.06</v>
      </c>
      <c r="L27" s="67">
        <f t="shared" si="1"/>
        <v>4.4511178240562149E-5</v>
      </c>
      <c r="M27" s="87">
        <f t="shared" si="2"/>
        <v>-2.9674118827024976E-5</v>
      </c>
      <c r="N27" s="85">
        <f t="shared" si="3"/>
        <v>1.8000593482376541</v>
      </c>
      <c r="O27" s="2"/>
    </row>
    <row r="28" spans="1:15" ht="13.5" x14ac:dyDescent="0.2">
      <c r="A28" s="74" t="s">
        <v>64</v>
      </c>
      <c r="B28" s="68">
        <v>0.46100000000000002</v>
      </c>
      <c r="C28" s="63">
        <f t="shared" si="9"/>
        <v>1.1574074074074073E-3</v>
      </c>
      <c r="D28" s="62">
        <f t="shared" si="4"/>
        <v>1.5589999999999999</v>
      </c>
      <c r="E28" s="61"/>
      <c r="F28" s="68">
        <f t="shared" si="11"/>
        <v>0.46100000000000002</v>
      </c>
      <c r="G28" s="71">
        <f>J28/10</f>
        <v>0.1</v>
      </c>
      <c r="H28" s="69">
        <f>(C28*B28)/(C28+D28)</f>
        <v>3.419942194816525E-4</v>
      </c>
      <c r="I28" s="72">
        <f>((F28*C28)+(G28*D28))/(C28+D28)</f>
        <v>0.10026780892241406</v>
      </c>
      <c r="J28" s="61">
        <v>1</v>
      </c>
      <c r="K28" s="66">
        <f t="shared" si="0"/>
        <v>0.46100000000000002</v>
      </c>
      <c r="L28" s="67">
        <f t="shared" si="1"/>
        <v>3.419942194816525E-4</v>
      </c>
      <c r="M28" s="87">
        <f t="shared" si="2"/>
        <v>2.6780892241405618E-4</v>
      </c>
      <c r="N28" s="85">
        <f t="shared" si="3"/>
        <v>0.89973219107758595</v>
      </c>
      <c r="O28" s="2"/>
    </row>
    <row r="29" spans="1:15" ht="13.5" x14ac:dyDescent="0.2">
      <c r="A29" s="74" t="s">
        <v>65</v>
      </c>
      <c r="B29" s="62">
        <v>9.2999999999999992E-3</v>
      </c>
      <c r="C29" s="63">
        <f>F$4/(24*60*60)</f>
        <v>1.1574074074074073E-3</v>
      </c>
      <c r="D29" s="62">
        <f t="shared" si="4"/>
        <v>1.5589999999999999</v>
      </c>
      <c r="E29" s="61"/>
      <c r="F29" s="62">
        <f t="shared" si="11"/>
        <v>9.2999999999999992E-3</v>
      </c>
      <c r="G29" s="73">
        <f>J29/10</f>
        <v>5.0000000000000001E-3</v>
      </c>
      <c r="H29" s="65">
        <f>(C29*B29)/(C29+D29)</f>
        <v>6.8992326272871321E-6</v>
      </c>
      <c r="I29" s="63">
        <f>((F29*C29)+(G29*D29))/(C29+D29)</f>
        <v>5.0031899677739069E-3</v>
      </c>
      <c r="J29" s="61">
        <v>0.05</v>
      </c>
      <c r="K29" s="66">
        <f t="shared" si="0"/>
        <v>0.18599999999999997</v>
      </c>
      <c r="L29" s="67">
        <f t="shared" si="1"/>
        <v>1.3798465254574263E-4</v>
      </c>
      <c r="M29" s="87">
        <f t="shared" si="2"/>
        <v>6.379935547813631E-5</v>
      </c>
      <c r="N29" s="86">
        <f t="shared" si="3"/>
        <v>4.4996810032226095E-2</v>
      </c>
      <c r="O29" s="2"/>
    </row>
  </sheetData>
  <conditionalFormatting sqref="K15:K29">
    <cfRule type="cellIs" dxfId="9" priority="3" operator="greaterThan">
      <formula>10%</formula>
    </cfRule>
  </conditionalFormatting>
  <conditionalFormatting sqref="M1:M10 L15:L29 M30:M1048576">
    <cfRule type="cellIs" dxfId="8" priority="2" operator="greaterThan">
      <formula>0.04</formula>
    </cfRule>
  </conditionalFormatting>
  <conditionalFormatting sqref="M15:M29">
    <cfRule type="cellIs" dxfId="7" priority="4" operator="greaterThan">
      <formula>0.1</formula>
    </cfRule>
  </conditionalFormatting>
  <conditionalFormatting sqref="N15:N29">
    <cfRule type="cellIs" dxfId="6" priority="1" operator="lessThan">
      <formula>0</formula>
    </cfRule>
  </conditionalFormatting>
  <conditionalFormatting sqref="O1:O10 N13:N14 O30:O1048576">
    <cfRule type="cellIs" dxfId="5" priority="7" operator="greaterThan">
      <formula>1.1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r:id="rId1"/>
  <headerFooter alignWithMargins="0">
    <oddHeader>&amp;L&amp;"Source Sans Pro,Regular"K0084 Ellel Crag Quarry
H1 Assessment&amp;R&amp;G</oddHeader>
    <oddFooter>&amp;L&amp;"Source Sans Pro,Regular"May 2022&amp;R&amp;"Source Sans Pro,Regular"K0084 Ellel Crag Quarry
Permit Variation Application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AA3F8-111B-44A1-971E-26F4F450501D}">
  <sheetPr codeName="Sheet2">
    <pageSetUpPr fitToPage="1"/>
  </sheetPr>
  <dimension ref="A1:O29"/>
  <sheetViews>
    <sheetView zoomScale="80" zoomScaleNormal="80" workbookViewId="0">
      <pane xSplit="1" ySplit="14" topLeftCell="I15" activePane="bottomRight" state="frozen"/>
      <selection activeCell="H18" sqref="H18:J19"/>
      <selection pane="topRight" activeCell="H18" sqref="H18:J19"/>
      <selection pane="bottomLeft" activeCell="H18" sqref="H18:J19"/>
      <selection pane="bottomRight" activeCell="G38" sqref="G38"/>
    </sheetView>
  </sheetViews>
  <sheetFormatPr defaultColWidth="9.33203125" defaultRowHeight="12.75" x14ac:dyDescent="0.2"/>
  <cols>
    <col min="1" max="1" width="25.1640625" style="2" customWidth="1"/>
    <col min="2" max="2" width="19.1640625" style="1" customWidth="1"/>
    <col min="3" max="4" width="19.1640625" style="2" customWidth="1"/>
    <col min="5" max="6" width="19.1640625" style="3" customWidth="1"/>
    <col min="7" max="7" width="19.1640625" style="4" customWidth="1"/>
    <col min="8" max="8" width="19.1640625" style="3" customWidth="1"/>
    <col min="9" max="11" width="19.1640625" style="2" customWidth="1"/>
    <col min="12" max="14" width="19.1640625" style="5" customWidth="1"/>
    <col min="15" max="15" width="20.83203125" style="2" customWidth="1"/>
    <col min="16" max="16" width="20.1640625" style="2" customWidth="1"/>
    <col min="17" max="27" width="9.33203125" style="2"/>
    <col min="28" max="28" width="13.1640625" style="2" bestFit="1" customWidth="1"/>
    <col min="29" max="29" width="9.33203125" style="2"/>
    <col min="30" max="30" width="12" style="2" bestFit="1" customWidth="1"/>
    <col min="31" max="16384" width="9.33203125" style="2"/>
  </cols>
  <sheetData>
    <row r="1" spans="1:15" ht="13.5" x14ac:dyDescent="0.25">
      <c r="A1" s="8"/>
      <c r="B1" s="9"/>
      <c r="C1" s="10"/>
      <c r="D1" s="10"/>
      <c r="E1" s="11"/>
      <c r="F1" s="11"/>
      <c r="G1" s="12"/>
      <c r="H1" s="11"/>
      <c r="I1" s="10"/>
      <c r="J1" s="56" t="s">
        <v>54</v>
      </c>
      <c r="K1" s="57">
        <f>F5+F6</f>
        <v>1.5601574074074074</v>
      </c>
      <c r="L1" s="13"/>
      <c r="M1" s="13"/>
      <c r="N1" s="13"/>
    </row>
    <row r="2" spans="1:15" ht="13.5" x14ac:dyDescent="0.25">
      <c r="A2" s="14"/>
      <c r="B2" s="9"/>
      <c r="C2" s="10"/>
      <c r="D2" s="10"/>
      <c r="E2" s="11"/>
      <c r="F2" s="11"/>
      <c r="G2" s="12"/>
      <c r="H2" s="11"/>
      <c r="I2" s="10"/>
      <c r="J2" s="56" t="s">
        <v>55</v>
      </c>
      <c r="K2">
        <f>10*F5</f>
        <v>1.1574074074074073E-2</v>
      </c>
      <c r="L2" s="13"/>
      <c r="M2" s="13"/>
      <c r="N2" s="13"/>
    </row>
    <row r="3" spans="1:15" ht="13.5" x14ac:dyDescent="0.25">
      <c r="A3" s="14"/>
      <c r="B3" s="9"/>
      <c r="C3" s="10"/>
      <c r="D3" s="10"/>
      <c r="E3" s="11"/>
      <c r="F3" s="14" t="s">
        <v>21</v>
      </c>
      <c r="G3" s="13"/>
      <c r="H3" s="11"/>
      <c r="I3" s="10"/>
      <c r="J3" s="56" t="s">
        <v>56</v>
      </c>
      <c r="K3"/>
      <c r="L3" s="13"/>
      <c r="M3" s="13"/>
      <c r="N3" s="13"/>
    </row>
    <row r="4" spans="1:15" ht="15" x14ac:dyDescent="0.25">
      <c r="A4" s="10"/>
      <c r="B4" s="9"/>
      <c r="C4" s="10"/>
      <c r="D4" s="10"/>
      <c r="E4" s="15" t="s">
        <v>34</v>
      </c>
      <c r="F4" s="10">
        <v>100</v>
      </c>
      <c r="G4" s="16" t="s">
        <v>44</v>
      </c>
      <c r="H4" s="17"/>
      <c r="I4" s="18"/>
      <c r="J4" s="56" t="s">
        <v>57</v>
      </c>
      <c r="K4"/>
      <c r="L4" s="13"/>
      <c r="M4" s="13"/>
      <c r="N4" s="13"/>
    </row>
    <row r="5" spans="1:15" ht="15" x14ac:dyDescent="0.25">
      <c r="A5" s="10"/>
      <c r="B5" s="9"/>
      <c r="C5" s="10"/>
      <c r="D5" s="10"/>
      <c r="E5" s="9"/>
      <c r="F5" s="54">
        <f>F4/(60*60*24)</f>
        <v>1.1574074074074073E-3</v>
      </c>
      <c r="G5" s="16" t="s">
        <v>45</v>
      </c>
      <c r="H5" s="11" t="s">
        <v>61</v>
      </c>
      <c r="I5" s="10"/>
      <c r="J5" s="20"/>
      <c r="K5" s="18"/>
      <c r="L5" s="13"/>
      <c r="M5" s="13"/>
      <c r="N5" s="13"/>
    </row>
    <row r="6" spans="1:15" ht="15" x14ac:dyDescent="0.25">
      <c r="A6" s="10"/>
      <c r="B6" s="9"/>
      <c r="C6" s="10"/>
      <c r="D6" s="10"/>
      <c r="E6" s="15" t="s">
        <v>41</v>
      </c>
      <c r="F6" s="19">
        <v>1.5589999999999999</v>
      </c>
      <c r="G6" s="16" t="s">
        <v>45</v>
      </c>
      <c r="H6" s="21" t="s">
        <v>67</v>
      </c>
      <c r="I6" s="19"/>
      <c r="J6" s="19"/>
      <c r="K6" s="10"/>
      <c r="L6" s="13"/>
      <c r="M6" s="13"/>
      <c r="N6" s="13"/>
    </row>
    <row r="7" spans="1:15" ht="13.5" x14ac:dyDescent="0.25">
      <c r="A7" s="10"/>
      <c r="B7" s="9"/>
      <c r="C7" s="10"/>
      <c r="D7" s="10"/>
      <c r="E7" s="15" t="s">
        <v>16</v>
      </c>
      <c r="F7" s="22">
        <f>(F6+F5)/F5</f>
        <v>1347.9760000000001</v>
      </c>
      <c r="G7" s="13"/>
      <c r="H7" s="11"/>
      <c r="I7" s="10"/>
      <c r="J7" s="10"/>
      <c r="K7" s="10"/>
      <c r="L7" s="13"/>
      <c r="M7" s="13"/>
      <c r="N7" s="13"/>
    </row>
    <row r="8" spans="1:15" ht="13.5" x14ac:dyDescent="0.25">
      <c r="A8" s="10"/>
      <c r="B8" s="9"/>
      <c r="C8" s="19"/>
      <c r="D8" s="10"/>
      <c r="E8" s="15" t="s">
        <v>35</v>
      </c>
      <c r="F8" s="23"/>
      <c r="G8" s="12"/>
      <c r="H8" s="11"/>
      <c r="I8" s="10"/>
      <c r="J8" s="10"/>
      <c r="K8" s="10"/>
      <c r="L8" s="13"/>
      <c r="M8" s="13"/>
      <c r="N8" s="13"/>
    </row>
    <row r="9" spans="1:15" ht="13.5" x14ac:dyDescent="0.25">
      <c r="A9" s="10"/>
      <c r="B9" s="15"/>
      <c r="C9" s="19"/>
      <c r="D9" s="10"/>
      <c r="E9" s="11"/>
      <c r="F9" s="23"/>
      <c r="G9" s="12"/>
      <c r="H9" s="11"/>
      <c r="I9" s="10"/>
      <c r="J9" s="10"/>
      <c r="K9" s="10"/>
      <c r="L9" s="13"/>
      <c r="M9" s="13"/>
      <c r="N9" s="13"/>
    </row>
    <row r="10" spans="1:15" ht="13.5" x14ac:dyDescent="0.25">
      <c r="A10" s="10"/>
      <c r="B10" s="15"/>
      <c r="C10" s="19"/>
      <c r="D10" s="10"/>
      <c r="E10" s="11"/>
      <c r="F10" s="11"/>
      <c r="G10" s="12"/>
      <c r="H10" s="11"/>
      <c r="I10" s="10"/>
      <c r="J10" s="10"/>
      <c r="K10" s="11" t="s">
        <v>24</v>
      </c>
      <c r="L10" s="12"/>
      <c r="M10" s="12" t="s">
        <v>24</v>
      </c>
      <c r="N10" s="12" t="s">
        <v>24</v>
      </c>
    </row>
    <row r="11" spans="1:15" s="6" customFormat="1" ht="14.25" customHeight="1" x14ac:dyDescent="0.25">
      <c r="A11" s="24" t="s">
        <v>0</v>
      </c>
      <c r="B11" s="25" t="s">
        <v>1</v>
      </c>
      <c r="C11" s="24" t="s">
        <v>1</v>
      </c>
      <c r="D11" s="24" t="s">
        <v>4</v>
      </c>
      <c r="E11" s="24" t="s">
        <v>5</v>
      </c>
      <c r="F11" s="24" t="s">
        <v>1</v>
      </c>
      <c r="G11" s="26" t="s">
        <v>22</v>
      </c>
      <c r="H11" s="24" t="s">
        <v>26</v>
      </c>
      <c r="I11" s="24" t="s">
        <v>2</v>
      </c>
      <c r="J11" s="24" t="s">
        <v>25</v>
      </c>
      <c r="K11" s="24" t="s">
        <v>32</v>
      </c>
      <c r="L11" s="24" t="s">
        <v>27</v>
      </c>
      <c r="M11" s="27" t="s">
        <v>28</v>
      </c>
      <c r="N11" s="27" t="s">
        <v>30</v>
      </c>
    </row>
    <row r="12" spans="1:15" s="6" customFormat="1" ht="14.25" customHeight="1" x14ac:dyDescent="0.25">
      <c r="A12" s="24"/>
      <c r="B12" s="25" t="s">
        <v>2</v>
      </c>
      <c r="C12" s="24" t="s">
        <v>3</v>
      </c>
      <c r="D12" s="24" t="s">
        <v>3</v>
      </c>
      <c r="E12" s="24" t="s">
        <v>6</v>
      </c>
      <c r="F12" s="24" t="s">
        <v>9</v>
      </c>
      <c r="G12" s="26" t="s">
        <v>2</v>
      </c>
      <c r="H12" s="24" t="s">
        <v>11</v>
      </c>
      <c r="I12" s="24" t="s">
        <v>18</v>
      </c>
      <c r="J12" s="24"/>
      <c r="K12" s="24" t="s">
        <v>37</v>
      </c>
      <c r="L12" s="26"/>
      <c r="M12" s="28" t="s">
        <v>29</v>
      </c>
      <c r="N12" s="29" t="s">
        <v>38</v>
      </c>
    </row>
    <row r="13" spans="1:15" s="6" customFormat="1" ht="14.25" customHeight="1" x14ac:dyDescent="0.25">
      <c r="A13" s="24"/>
      <c r="B13" s="25" t="s">
        <v>8</v>
      </c>
      <c r="C13" s="24"/>
      <c r="D13" s="24"/>
      <c r="E13" s="24"/>
      <c r="F13" s="24" t="s">
        <v>10</v>
      </c>
      <c r="G13" s="26" t="s">
        <v>68</v>
      </c>
      <c r="H13" s="24"/>
      <c r="I13" s="24" t="s">
        <v>19</v>
      </c>
      <c r="J13" s="24"/>
      <c r="K13" s="24"/>
      <c r="L13" s="26"/>
      <c r="M13" s="30" t="s">
        <v>66</v>
      </c>
      <c r="N13" s="31"/>
    </row>
    <row r="14" spans="1:15" s="6" customFormat="1" ht="27" x14ac:dyDescent="0.25">
      <c r="A14" s="24"/>
      <c r="B14" s="25" t="s">
        <v>15</v>
      </c>
      <c r="C14" s="24" t="s">
        <v>12</v>
      </c>
      <c r="D14" s="24" t="s">
        <v>13</v>
      </c>
      <c r="E14" s="24" t="s">
        <v>14</v>
      </c>
      <c r="F14" s="24" t="s">
        <v>33</v>
      </c>
      <c r="G14" s="26" t="s">
        <v>36</v>
      </c>
      <c r="H14" s="24" t="s">
        <v>31</v>
      </c>
      <c r="I14" s="24" t="s">
        <v>23</v>
      </c>
      <c r="J14" s="24" t="s">
        <v>59</v>
      </c>
      <c r="K14" s="32" t="s">
        <v>39</v>
      </c>
      <c r="L14" s="32" t="s">
        <v>40</v>
      </c>
      <c r="M14" s="33" t="s">
        <v>39</v>
      </c>
      <c r="N14" s="34"/>
    </row>
    <row r="15" spans="1:15" ht="14.25" customHeight="1" x14ac:dyDescent="0.25">
      <c r="A15" s="35" t="s">
        <v>17</v>
      </c>
      <c r="B15" s="36" t="s">
        <v>20</v>
      </c>
      <c r="C15" s="37" t="s">
        <v>45</v>
      </c>
      <c r="D15" s="37" t="s">
        <v>45</v>
      </c>
      <c r="E15" s="37" t="s">
        <v>7</v>
      </c>
      <c r="F15" s="37" t="s">
        <v>20</v>
      </c>
      <c r="G15" s="36" t="s">
        <v>20</v>
      </c>
      <c r="H15" s="37" t="s">
        <v>20</v>
      </c>
      <c r="I15" s="37" t="s">
        <v>20</v>
      </c>
      <c r="J15" s="37" t="s">
        <v>20</v>
      </c>
      <c r="K15" s="38" t="s">
        <v>24</v>
      </c>
      <c r="L15" s="39" t="s">
        <v>24</v>
      </c>
      <c r="M15" s="40" t="s">
        <v>24</v>
      </c>
      <c r="N15" s="38" t="s">
        <v>24</v>
      </c>
    </row>
    <row r="16" spans="1:15" ht="14.25" customHeight="1" x14ac:dyDescent="0.25">
      <c r="A16" s="58" t="s">
        <v>52</v>
      </c>
      <c r="B16" s="42">
        <v>24.05</v>
      </c>
      <c r="C16" s="55">
        <f>F$4/(24*60*60)</f>
        <v>1.1574074074074073E-3</v>
      </c>
      <c r="D16" s="50">
        <f>F$6</f>
        <v>1.5589999999999999</v>
      </c>
      <c r="E16" s="45">
        <v>0.08</v>
      </c>
      <c r="F16" s="46">
        <f>B16*E16</f>
        <v>1.9240000000000002</v>
      </c>
      <c r="G16" s="47">
        <f>J16/2</f>
        <v>0.19500000000000001</v>
      </c>
      <c r="H16" s="42">
        <f>(C16*B16)/(C16+D16)</f>
        <v>1.7841563944758661E-2</v>
      </c>
      <c r="I16" s="47">
        <f>((F16*C16)+(G16*D16))/(C16+D16)</f>
        <v>0.19628266378629888</v>
      </c>
      <c r="J16" s="45">
        <v>0.39</v>
      </c>
      <c r="K16" s="48">
        <f>F16/J16</f>
        <v>4.9333333333333336</v>
      </c>
      <c r="L16" s="53">
        <f>H16/J16</f>
        <v>4.5747599858355539E-2</v>
      </c>
      <c r="M16" s="76">
        <f>(I16-G16)/J16</f>
        <v>3.2888815033304524E-3</v>
      </c>
      <c r="N16" s="79">
        <f>J16-I16</f>
        <v>0.19371733621370113</v>
      </c>
      <c r="O16" s="7" t="s">
        <v>24</v>
      </c>
    </row>
    <row r="17" spans="1:14" ht="13.5" x14ac:dyDescent="0.25">
      <c r="A17" s="41" t="s">
        <v>42</v>
      </c>
      <c r="B17" s="42">
        <v>230</v>
      </c>
      <c r="C17" s="55">
        <f>F$4/(24*60*60)</f>
        <v>1.1574074074074073E-3</v>
      </c>
      <c r="D17" s="50">
        <f>F$6</f>
        <v>1.5589999999999999</v>
      </c>
      <c r="E17" s="45">
        <v>1</v>
      </c>
      <c r="F17" s="46">
        <f>B17*E17</f>
        <v>230</v>
      </c>
      <c r="G17" s="47">
        <f t="shared" ref="G17:G29" si="0">J17/2</f>
        <v>125</v>
      </c>
      <c r="H17" s="42">
        <f t="shared" ref="H17:H29" si="1">(C17*B17)/(C17+D17)</f>
        <v>0.1706261832554882</v>
      </c>
      <c r="I17" s="51">
        <f>((F17*C17)+(G17*D17))/(C17+D17)</f>
        <v>125.07789456192098</v>
      </c>
      <c r="J17" s="45">
        <v>250</v>
      </c>
      <c r="K17" s="48">
        <f>F17/J17</f>
        <v>0.92</v>
      </c>
      <c r="L17" s="49">
        <f>H17/J17</f>
        <v>6.8250473302195283E-4</v>
      </c>
      <c r="M17" s="76">
        <f>(I17-G17)/J17</f>
        <v>3.1157824768393994E-4</v>
      </c>
      <c r="N17" s="79">
        <f t="shared" ref="N17" si="2">J17-I17</f>
        <v>124.92210543807902</v>
      </c>
    </row>
    <row r="18" spans="1:14" ht="13.5" x14ac:dyDescent="0.25">
      <c r="A18" s="41" t="s">
        <v>46</v>
      </c>
      <c r="B18" s="46">
        <v>1.8000000000000001E-4</v>
      </c>
      <c r="C18" s="55">
        <f>F$4/(24*60*60)</f>
        <v>1.1574074074074073E-3</v>
      </c>
      <c r="D18" s="50">
        <f t="shared" ref="D18:D29" si="3">F$6</f>
        <v>1.5589999999999999</v>
      </c>
      <c r="E18" s="45">
        <v>0.89</v>
      </c>
      <c r="F18" s="46">
        <f t="shared" ref="F18:F23" si="4">B18*E18</f>
        <v>1.6020000000000002E-4</v>
      </c>
      <c r="G18" s="55">
        <f>J18/2</f>
        <v>4.0000000000000003E-5</v>
      </c>
      <c r="H18" s="46">
        <f t="shared" si="1"/>
        <v>1.3353353472168643E-7</v>
      </c>
      <c r="I18" s="47">
        <f t="shared" ref="I18:I29" si="5">((F18*C18)+(G18*D18))/(C18+D18)</f>
        <v>4.0089170727075261E-5</v>
      </c>
      <c r="J18" s="45">
        <v>8.0000000000000007E-5</v>
      </c>
      <c r="K18" s="48">
        <f>F18/J18</f>
        <v>2.0024999999999999</v>
      </c>
      <c r="L18" s="49">
        <f>H18/J18</f>
        <v>1.6691691840210804E-3</v>
      </c>
      <c r="M18" s="78">
        <f>(I18-G18)/J18</f>
        <v>1.1146340884407165E-3</v>
      </c>
      <c r="N18" s="81">
        <f>J18-I18</f>
        <v>3.9910829272924746E-5</v>
      </c>
    </row>
    <row r="19" spans="1:14" ht="14.25" customHeight="1" x14ac:dyDescent="0.25">
      <c r="A19" s="41" t="s">
        <v>47</v>
      </c>
      <c r="B19" s="52">
        <v>0.01</v>
      </c>
      <c r="C19" s="55">
        <f>F$4/(24*60*60)</f>
        <v>1.1574074074074073E-3</v>
      </c>
      <c r="D19" s="50">
        <f t="shared" si="3"/>
        <v>1.5589999999999999</v>
      </c>
      <c r="E19" s="45">
        <v>0.16</v>
      </c>
      <c r="F19" s="46">
        <f t="shared" si="4"/>
        <v>1.6000000000000001E-3</v>
      </c>
      <c r="G19" s="59">
        <f t="shared" si="0"/>
        <v>2.3500000000000001E-3</v>
      </c>
      <c r="H19" s="46">
        <f t="shared" si="1"/>
        <v>7.4185297067603571E-6</v>
      </c>
      <c r="I19" s="47">
        <f t="shared" si="5"/>
        <v>2.3494436102719932E-3</v>
      </c>
      <c r="J19" s="45">
        <v>4.7000000000000002E-3</v>
      </c>
      <c r="K19" s="48">
        <f t="shared" ref="K19:K25" si="6">F19/J19</f>
        <v>0.34042553191489361</v>
      </c>
      <c r="L19" s="49">
        <f t="shared" ref="L19:L25" si="7">H19/J19</f>
        <v>1.5784105759064589E-3</v>
      </c>
      <c r="M19" s="76">
        <f t="shared" ref="M19:M25" si="8">(I19-G19)/J19</f>
        <v>-1.183807931929557E-4</v>
      </c>
      <c r="N19" s="84">
        <f t="shared" ref="N19:N25" si="9">J19-I19</f>
        <v>2.350556389728007E-3</v>
      </c>
    </row>
    <row r="20" spans="1:14" ht="13.5" x14ac:dyDescent="0.25">
      <c r="A20" s="41" t="s">
        <v>48</v>
      </c>
      <c r="B20" s="50">
        <v>1.2999999999999999E-2</v>
      </c>
      <c r="C20" s="55">
        <f t="shared" ref="C20:C28" si="10">F$4/(24*60*60)</f>
        <v>1.1574074074074073E-3</v>
      </c>
      <c r="D20" s="50">
        <f t="shared" si="3"/>
        <v>1.5589999999999999</v>
      </c>
      <c r="E20" s="45">
        <v>0.57999999999999996</v>
      </c>
      <c r="F20" s="46">
        <f>B20*E20</f>
        <v>7.539999999999999E-3</v>
      </c>
      <c r="G20" s="43">
        <f t="shared" si="0"/>
        <v>5.0000000000000001E-4</v>
      </c>
      <c r="H20" s="46">
        <f>(C20*B20)/(C20+D20)</f>
        <v>9.6440886187884646E-6</v>
      </c>
      <c r="I20" s="43">
        <f t="shared" si="5"/>
        <v>5.0522264491355935E-4</v>
      </c>
      <c r="J20" s="45">
        <v>1E-3</v>
      </c>
      <c r="K20" s="48">
        <f>F20/J20</f>
        <v>7.5399999999999991</v>
      </c>
      <c r="L20" s="49">
        <f>H20/J20</f>
        <v>9.6440886187884652E-3</v>
      </c>
      <c r="M20" s="78">
        <f>(I20-G20)/J20</f>
        <v>5.2226449135593352E-3</v>
      </c>
      <c r="N20" s="80">
        <f>J20-I20</f>
        <v>4.9477735508644068E-4</v>
      </c>
    </row>
    <row r="21" spans="1:14" ht="13.5" x14ac:dyDescent="0.25">
      <c r="A21" s="41" t="s">
        <v>49</v>
      </c>
      <c r="B21" s="50">
        <v>2.3999999999999998E-3</v>
      </c>
      <c r="C21" s="55">
        <f t="shared" si="10"/>
        <v>1.1574074074074073E-3</v>
      </c>
      <c r="D21" s="50">
        <f t="shared" si="3"/>
        <v>1.5589999999999999</v>
      </c>
      <c r="E21" s="45">
        <v>0.67</v>
      </c>
      <c r="F21" s="46">
        <f t="shared" si="4"/>
        <v>1.6080000000000001E-3</v>
      </c>
      <c r="G21" s="59">
        <f t="shared" si="0"/>
        <v>5.9999999999999995E-4</v>
      </c>
      <c r="H21" s="46">
        <f t="shared" si="1"/>
        <v>1.7804471296224857E-6</v>
      </c>
      <c r="I21" s="47">
        <f t="shared" si="5"/>
        <v>6.0074778779444133E-4</v>
      </c>
      <c r="J21" s="45">
        <v>1.1999999999999999E-3</v>
      </c>
      <c r="K21" s="48">
        <f t="shared" si="6"/>
        <v>1.34</v>
      </c>
      <c r="L21" s="49">
        <f t="shared" si="7"/>
        <v>1.4837059413520715E-3</v>
      </c>
      <c r="M21" s="78">
        <f t="shared" si="8"/>
        <v>6.2315649536782297E-4</v>
      </c>
      <c r="N21" s="83">
        <f t="shared" si="9"/>
        <v>5.9925221220555856E-4</v>
      </c>
    </row>
    <row r="22" spans="1:14" ht="13.5" x14ac:dyDescent="0.25">
      <c r="A22" s="41" t="s">
        <v>50</v>
      </c>
      <c r="B22" s="50">
        <v>3.2000000000000001E-2</v>
      </c>
      <c r="C22" s="55">
        <f t="shared" si="10"/>
        <v>1.1574074074074073E-3</v>
      </c>
      <c r="D22" s="50">
        <f t="shared" si="3"/>
        <v>1.5589999999999999</v>
      </c>
      <c r="E22" s="45">
        <v>1</v>
      </c>
      <c r="F22" s="46">
        <f>B22*E22</f>
        <v>3.2000000000000001E-2</v>
      </c>
      <c r="G22" s="59">
        <f t="shared" si="0"/>
        <v>2E-3</v>
      </c>
      <c r="H22" s="46">
        <f t="shared" si="1"/>
        <v>2.3739295061633144E-5</v>
      </c>
      <c r="I22" s="47">
        <f t="shared" si="5"/>
        <v>2.0222555891202814E-3</v>
      </c>
      <c r="J22" s="45">
        <v>4.0000000000000001E-3</v>
      </c>
      <c r="K22" s="48">
        <f t="shared" ref="K22" si="11">F22/J22</f>
        <v>8</v>
      </c>
      <c r="L22" s="49">
        <f t="shared" ref="L22" si="12">H22/J22</f>
        <v>5.9348237654082859E-3</v>
      </c>
      <c r="M22" s="76">
        <f t="shared" ref="M22" si="13">(I22-G22)/J22</f>
        <v>5.5638972800703271E-3</v>
      </c>
      <c r="N22" s="81">
        <f t="shared" ref="N22" si="14">J22-I22</f>
        <v>1.9777444108797187E-3</v>
      </c>
    </row>
    <row r="23" spans="1:14" ht="13.5" x14ac:dyDescent="0.25">
      <c r="A23" s="41" t="s">
        <v>51</v>
      </c>
      <c r="B23" s="50">
        <v>9.9000000000000005E-2</v>
      </c>
      <c r="C23" s="55">
        <f t="shared" si="10"/>
        <v>1.1574074074074073E-3</v>
      </c>
      <c r="D23" s="50">
        <f t="shared" si="3"/>
        <v>1.5589999999999999</v>
      </c>
      <c r="E23" s="45">
        <v>1</v>
      </c>
      <c r="F23" s="46">
        <f t="shared" si="4"/>
        <v>9.9000000000000005E-2</v>
      </c>
      <c r="G23" s="59">
        <f t="shared" si="0"/>
        <v>5.4000000000000003E-3</v>
      </c>
      <c r="H23" s="46">
        <f t="shared" si="1"/>
        <v>7.3443444096927548E-5</v>
      </c>
      <c r="I23" s="47">
        <f t="shared" si="5"/>
        <v>5.4694374380552767E-3</v>
      </c>
      <c r="J23" s="45">
        <v>1.0800000000000001E-2</v>
      </c>
      <c r="K23" s="48">
        <f t="shared" si="6"/>
        <v>9.1666666666666661</v>
      </c>
      <c r="L23" s="49">
        <f t="shared" si="7"/>
        <v>6.8003188978636615E-3</v>
      </c>
      <c r="M23" s="76">
        <f t="shared" si="8"/>
        <v>6.4293924125255917E-3</v>
      </c>
      <c r="N23" s="83">
        <f t="shared" si="9"/>
        <v>5.3305625619447239E-3</v>
      </c>
    </row>
    <row r="24" spans="1:14" ht="13.5" x14ac:dyDescent="0.25">
      <c r="A24" s="41" t="s">
        <v>43</v>
      </c>
      <c r="B24" s="44">
        <v>674</v>
      </c>
      <c r="C24" s="55">
        <f t="shared" si="10"/>
        <v>1.1574074074074073E-3</v>
      </c>
      <c r="D24" s="50">
        <f t="shared" si="3"/>
        <v>1.5589999999999999</v>
      </c>
      <c r="E24" s="45"/>
      <c r="F24" s="46">
        <f>B24</f>
        <v>674</v>
      </c>
      <c r="G24" s="75">
        <f>J24/2</f>
        <v>200</v>
      </c>
      <c r="H24" s="46">
        <f t="shared" si="1"/>
        <v>0.50000890223564809</v>
      </c>
      <c r="I24" s="51">
        <f t="shared" si="5"/>
        <v>200.35163830810046</v>
      </c>
      <c r="J24" s="45">
        <v>400</v>
      </c>
      <c r="K24" s="48">
        <f t="shared" si="6"/>
        <v>1.6850000000000001</v>
      </c>
      <c r="L24" s="49">
        <f t="shared" si="7"/>
        <v>1.2500222555891201E-3</v>
      </c>
      <c r="M24" s="78">
        <f t="shared" si="8"/>
        <v>8.7909577025115484E-4</v>
      </c>
      <c r="N24" s="79">
        <f t="shared" si="9"/>
        <v>199.64836169189954</v>
      </c>
    </row>
    <row r="25" spans="1:14" ht="13.5" x14ac:dyDescent="0.25">
      <c r="A25" s="41" t="s">
        <v>53</v>
      </c>
      <c r="B25" s="42">
        <v>2.3E-2</v>
      </c>
      <c r="C25" s="55">
        <f>F$4/(24*60*60)</f>
        <v>1.1574074074074073E-3</v>
      </c>
      <c r="D25" s="50">
        <f t="shared" si="3"/>
        <v>1.5589999999999999</v>
      </c>
      <c r="E25" s="45">
        <v>1</v>
      </c>
      <c r="F25" s="46">
        <f>B25*E25</f>
        <v>2.3E-2</v>
      </c>
      <c r="G25" s="60">
        <f t="shared" si="0"/>
        <v>3.5000000000000004E-5</v>
      </c>
      <c r="H25" s="50">
        <f t="shared" si="1"/>
        <v>1.7062618325548823E-5</v>
      </c>
      <c r="I25" s="47">
        <f t="shared" si="5"/>
        <v>5.2036653471575166E-5</v>
      </c>
      <c r="J25" s="45">
        <v>7.0000000000000007E-5</v>
      </c>
      <c r="K25" s="48">
        <f t="shared" si="6"/>
        <v>328.57142857142856</v>
      </c>
      <c r="L25" s="53">
        <f t="shared" si="7"/>
        <v>0.24375169036498318</v>
      </c>
      <c r="M25" s="88">
        <f t="shared" si="8"/>
        <v>0.24338076387964513</v>
      </c>
      <c r="N25" s="81">
        <f t="shared" si="9"/>
        <v>1.7963346528424842E-5</v>
      </c>
    </row>
    <row r="26" spans="1:14" ht="13.5" x14ac:dyDescent="0.25">
      <c r="A26" s="74" t="s">
        <v>62</v>
      </c>
      <c r="B26" s="62">
        <v>4.0000000000000002E-4</v>
      </c>
      <c r="C26" s="63">
        <f t="shared" si="10"/>
        <v>1.1574074074074073E-3</v>
      </c>
      <c r="D26" s="62">
        <f t="shared" si="3"/>
        <v>1.5589999999999999</v>
      </c>
      <c r="E26" s="61"/>
      <c r="F26" s="62">
        <f>B26</f>
        <v>4.0000000000000002E-4</v>
      </c>
      <c r="G26" s="59">
        <f t="shared" si="0"/>
        <v>8.9999999999999993E-3</v>
      </c>
      <c r="H26" s="46">
        <f t="shared" si="1"/>
        <v>2.9674118827041433E-7</v>
      </c>
      <c r="I26" s="47">
        <f t="shared" si="5"/>
        <v>8.9936200644521857E-3</v>
      </c>
      <c r="J26" s="61">
        <v>1.7999999999999999E-2</v>
      </c>
      <c r="K26" s="77">
        <f t="shared" ref="K26" si="15">F26/J26</f>
        <v>2.2222222222222227E-2</v>
      </c>
      <c r="L26" s="49">
        <f t="shared" ref="L26" si="16">H26/J26</f>
        <v>1.6485621570578575E-5</v>
      </c>
      <c r="M26" s="76">
        <f t="shared" ref="M26" si="17">(I26-G26)/J26</f>
        <v>-3.5444086376742399E-4</v>
      </c>
      <c r="N26" s="84">
        <f t="shared" ref="N26" si="18">J26-I26</f>
        <v>9.006379935547813E-3</v>
      </c>
    </row>
    <row r="27" spans="1:14" ht="13.5" x14ac:dyDescent="0.25">
      <c r="A27" s="74" t="s">
        <v>63</v>
      </c>
      <c r="B27" s="68">
        <v>0.12</v>
      </c>
      <c r="C27" s="63">
        <f t="shared" si="10"/>
        <v>1.1574074074074073E-3</v>
      </c>
      <c r="D27" s="62">
        <f t="shared" si="3"/>
        <v>1.5589999999999999</v>
      </c>
      <c r="E27" s="61"/>
      <c r="F27" s="68">
        <f t="shared" ref="F27:F29" si="19">B27</f>
        <v>0.12</v>
      </c>
      <c r="G27" s="75">
        <f t="shared" si="0"/>
        <v>1</v>
      </c>
      <c r="H27" s="46">
        <f t="shared" si="1"/>
        <v>8.9022356481124299E-5</v>
      </c>
      <c r="I27" s="47">
        <f>((F27*C27)+(G27*D27))/(C27+D27)</f>
        <v>0.99934716938580503</v>
      </c>
      <c r="J27" s="61">
        <v>2</v>
      </c>
      <c r="K27" s="76">
        <f>F27/J27</f>
        <v>0.06</v>
      </c>
      <c r="L27" s="49">
        <f>H27/J27</f>
        <v>4.4511178240562149E-5</v>
      </c>
      <c r="M27" s="78">
        <f>(I27-G27)/J27</f>
        <v>-3.264153070974829E-4</v>
      </c>
      <c r="N27" s="80">
        <f>J27-I27</f>
        <v>1.0006528306141949</v>
      </c>
    </row>
    <row r="28" spans="1:14" ht="13.5" x14ac:dyDescent="0.25">
      <c r="A28" s="74" t="s">
        <v>64</v>
      </c>
      <c r="B28" s="68">
        <v>0.46100000000000002</v>
      </c>
      <c r="C28" s="63">
        <f t="shared" si="10"/>
        <v>1.1574074074074073E-3</v>
      </c>
      <c r="D28" s="62">
        <f t="shared" si="3"/>
        <v>1.5589999999999999</v>
      </c>
      <c r="E28" s="61"/>
      <c r="F28" s="68">
        <f t="shared" si="19"/>
        <v>0.46100000000000002</v>
      </c>
      <c r="G28" s="51">
        <f t="shared" si="0"/>
        <v>0.5</v>
      </c>
      <c r="H28" s="46">
        <f t="shared" si="1"/>
        <v>3.419942194816525E-4</v>
      </c>
      <c r="I28" s="51">
        <f t="shared" si="5"/>
        <v>0.49997106773414363</v>
      </c>
      <c r="J28" s="61">
        <v>1</v>
      </c>
      <c r="K28" s="48">
        <f t="shared" ref="K28:K29" si="20">F28/J28</f>
        <v>0.46100000000000002</v>
      </c>
      <c r="L28" s="49">
        <f t="shared" ref="L28:L29" si="21">H28/J28</f>
        <v>3.419942194816525E-4</v>
      </c>
      <c r="M28" s="78">
        <f t="shared" ref="M28:M29" si="22">(I28-G28)/J28</f>
        <v>-2.8932265856373984E-5</v>
      </c>
      <c r="N28" s="79">
        <f t="shared" ref="N28:N29" si="23">J28-I28</f>
        <v>0.50002893226585643</v>
      </c>
    </row>
    <row r="29" spans="1:14" ht="13.5" x14ac:dyDescent="0.25">
      <c r="A29" s="74" t="s">
        <v>65</v>
      </c>
      <c r="B29" s="62">
        <v>9.2999999999999992E-3</v>
      </c>
      <c r="C29" s="63">
        <f>F$4/(24*60*60)</f>
        <v>1.1574074074074073E-3</v>
      </c>
      <c r="D29" s="62">
        <f t="shared" si="3"/>
        <v>1.5589999999999999</v>
      </c>
      <c r="E29" s="61"/>
      <c r="F29" s="62">
        <f t="shared" si="19"/>
        <v>9.2999999999999992E-3</v>
      </c>
      <c r="G29" s="59">
        <f t="shared" si="0"/>
        <v>2.5000000000000001E-2</v>
      </c>
      <c r="H29" s="46">
        <f t="shared" si="1"/>
        <v>6.8992326272871321E-6</v>
      </c>
      <c r="I29" s="47">
        <f t="shared" si="5"/>
        <v>2.4988352908360389E-2</v>
      </c>
      <c r="J29" s="61">
        <v>0.05</v>
      </c>
      <c r="K29" s="76">
        <f t="shared" si="20"/>
        <v>0.18599999999999997</v>
      </c>
      <c r="L29" s="49">
        <f t="shared" si="21"/>
        <v>1.3798465254574263E-4</v>
      </c>
      <c r="M29" s="76">
        <f t="shared" si="22"/>
        <v>-2.3294183279225222E-4</v>
      </c>
      <c r="N29" s="81">
        <f t="shared" si="23"/>
        <v>2.5011647091639614E-2</v>
      </c>
    </row>
  </sheetData>
  <conditionalFormatting sqref="K15:K29">
    <cfRule type="cellIs" dxfId="4" priority="7" operator="greaterThan">
      <formula>10%</formula>
    </cfRule>
  </conditionalFormatting>
  <conditionalFormatting sqref="L1:L10 L15:L1048576">
    <cfRule type="cellIs" dxfId="3" priority="6" operator="greaterThan">
      <formula>0.04</formula>
    </cfRule>
  </conditionalFormatting>
  <conditionalFormatting sqref="M15:M29">
    <cfRule type="cellIs" dxfId="2" priority="8" operator="greaterThan">
      <formula>0.1</formula>
    </cfRule>
  </conditionalFormatting>
  <conditionalFormatting sqref="N1:N10 N13:N14 N30:N1048576">
    <cfRule type="cellIs" dxfId="1" priority="11" operator="greaterThan">
      <formula>1.1</formula>
    </cfRule>
  </conditionalFormatting>
  <conditionalFormatting sqref="N15:N29">
    <cfRule type="cellIs" dxfId="0" priority="5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r:id="rId1"/>
  <headerFooter alignWithMargins="0">
    <oddHeader>&amp;L&amp;"Source Sans Pro,Regular"K0084 Ellel Crag Quarry
H1 Assessment&amp;R&amp;G</oddHeader>
    <oddFooter>&amp;L&amp;"Source Sans Pro,Regular"May 2022&amp;R&amp;"Source Sans Pro,Regular"K0084 Ellel Crag Quarry
Permit Variation Application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2023-12-10T00:00:00+00:00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epr-hp3632rp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Waste Recycling Group (Central) Ltd</Customer_x002f_OperatorName>
    <lcf76f155ced4ddcb4097134ff3c332f xmlns="78dbe001-c251-4e73-ac7d-a437e8f0ea50">
      <Terms xmlns="http://schemas.microsoft.com/office/infopath/2007/PartnerControls"/>
    </lcf76f155ced4ddcb4097134ff3c332f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2023-12-10T00:00:00+00:00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EPR/HP3632RP/V003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B65 9BT</FacilityAddressPostcode>
    <TaxCatchAll xmlns="662745e8-e224-48e8-a2e3-254862b8c2f5">
      <Value>181</Value>
      <Value>12</Value>
      <Value>10</Value>
      <Value>9</Value>
      <Value>38</Value>
    </TaxCatchAll>
    <ExternalAuthor xmlns="eebef177-55b5-4448-a5fb-28ea454417ee">Waste recycling group</ExternalAuthor>
    <SiteName xmlns="eebef177-55b5-4448-a5fb-28ea454417ee">Edwin Richards Quarry - Soil Treatment Centre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Portway Road Rowley Regis Warley West Midlands B65 9BT</FacilityAddress>
    <_Flow_SignoffStatus xmlns="78dbe001-c251-4e73-ac7d-a437e8f0ea5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3D79BE554BA5FA4C855D1235E340D070" ma:contentTypeVersion="48" ma:contentTypeDescription="Create a new document." ma:contentTypeScope="" ma:versionID="f1042701037ef956eedddc55ef19fe3b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78dbe001-c251-4e73-ac7d-a437e8f0ea50" targetNamespace="http://schemas.microsoft.com/office/2006/metadata/properties" ma:root="true" ma:fieldsID="a26ec219fd99187ce2f6cd30a84b6b69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78dbe001-c251-4e73-ac7d-a437e8f0ea50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  <xsd:element ref="ns6:MediaServiceObjectDetectorVersions" minOccurs="0"/>
                <xsd:element ref="ns6:MediaServiceSearchProperties" minOccurs="0"/>
                <xsd:element ref="ns6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be001-c251-4e73-ac7d-a437e8f0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5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51" nillable="true" ma:displayName="Tags" ma:internalName="MediaServiceAutoTags" ma:readOnly="true">
      <xsd:simpleType>
        <xsd:restriction base="dms:Text"/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65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23A742-E33D-471F-BE47-710A0685F0F8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eebef177-55b5-4448-a5fb-28ea454417ee"/>
    <ds:schemaRef ds:uri="http://schemas.microsoft.com/office/2006/metadata/properties"/>
    <ds:schemaRef ds:uri="5ffd8e36-f429-4edc-ab50-c5be84842779"/>
    <ds:schemaRef ds:uri="8595a0ec-c146-4eeb-925a-270f4bc4be6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8dbe001-c251-4e73-ac7d-a437e8f0ea50"/>
    <ds:schemaRef ds:uri="662745e8-e224-48e8-a2e3-254862b8c2f5"/>
  </ds:schemaRefs>
</ds:datastoreItem>
</file>

<file path=customXml/itemProps2.xml><?xml version="1.0" encoding="utf-8"?>
<ds:datastoreItem xmlns:ds="http://schemas.openxmlformats.org/officeDocument/2006/customXml" ds:itemID="{147B7164-6EF1-4EFE-A8D7-4214CD6082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9AB1DA-5025-45B2-AEEC-988FA1D74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5a0ec-c146-4eeb-925a-270f4bc4be63"/>
    <ds:schemaRef ds:uri="662745e8-e224-48e8-a2e3-254862b8c2f5"/>
    <ds:schemaRef ds:uri="eebef177-55b5-4448-a5fb-28ea454417ee"/>
    <ds:schemaRef ds:uri="5ffd8e36-f429-4edc-ab50-c5be84842779"/>
    <ds:schemaRef ds:uri="78dbe001-c251-4e73-ac7d-a437e8f0ea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Q95 Flow (Background) 10% EQS</vt:lpstr>
      <vt:lpstr>Q95 Flow (Background) 50% EQS</vt:lpstr>
    </vt:vector>
  </TitlesOfParts>
  <Company>AERC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Fannin</dc:creator>
  <cp:lastModifiedBy>Morton, Annette</cp:lastModifiedBy>
  <cp:lastPrinted>2022-07-04T12:55:42Z</cp:lastPrinted>
  <dcterms:created xsi:type="dcterms:W3CDTF">2006-10-05T09:13:49Z</dcterms:created>
  <dcterms:modified xsi:type="dcterms:W3CDTF">2024-01-31T12:48:53Z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0x0101000E9AD557692E154F9D2697C8C6432F76003D79BE554BA5FA4C855D1235E340D070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9;#N/A - Do not select for New Permits|0430e4c2-ee0a-4b2d-9af6-df735aafbcb2</vt:lpwstr>
  </property>
  <property fmtid="{D5CDD505-2E9C-101B-9397-08002B2CF9AE}" pid="6" name="DisclosureStatus">
    <vt:lpwstr>181;#Public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38;#Installations|645f1c9c-65df-490a-9ce3-4a2aa7c5ff7f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  <property fmtid="{D5CDD505-2E9C-101B-9397-08002B2CF9AE}" pid="15" name="RegulatedActivitySub-Class">
    <vt:lpwstr/>
  </property>
</Properties>
</file>